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<sst xmlns="http://schemas.openxmlformats.org/spreadsheetml/2006/main" count="1189" uniqueCount="809">
  <si>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</si>
  <si>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</si>
  <si>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</si>
  <si>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</si>
  <si>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</si>
  <si>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</si>
  <si>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</si>
  <si>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</si>
  <si>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</si>
  <si>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</si>
  <si>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</si>
  <si>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</si>
  <si>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</si>
  <si>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</si>
  <si>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</si>
  <si>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</si>
  <si>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</si>
  <si>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</si>
  <si>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</si>
  <si>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</si>
  <si>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</si>
  <si>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</si>
  <si>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</si>
  <si>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</si>
  <si>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</si>
  <si>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</si>
  <si>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</si>
  <si>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</si>
  <si>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</si>
  <si>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</si>
  <si>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</si>
  <si>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</si>
  <si>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</si>
  <si>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</si>
  <si>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</si>
  <si>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</si>
  <si>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</si>
  <si>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</si>
  <si>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</si>
  <si>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</si>
  <si>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</si>
  <si>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</si>
  <si>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</si>
  <si>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</si>
  <si>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</si>
  <si>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</si>
  <si>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</si>
  <si>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</si>
  <si>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</si>
  <si>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</si>
  <si>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</si>
  <si>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</si>
  <si>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</si>
  <si>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</si>
  <si>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</si>
  <si>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</si>
  <si>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</si>
  <si>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</si>
  <si>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</si>
  <si>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</si>
  <si>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</si>
  <si>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</si>
  <si>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</si>
  <si>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</si>
  <si>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</si>
  <si>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</si>
  <si>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</si>
  <si>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</si>
  <si>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</si>
  <si>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</si>
  <si>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</si>
  <si>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</si>
  <si>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</si>
  <si>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</si>
  <si>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</si>
  <si>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</si>
  <si>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</si>
  <si>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</si>
  <si>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</si>
  <si>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</si>
  <si>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</si>
  <si>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</si>
  <si>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</si>
  <si>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</si>
  <si>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</si>
  <si>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</si>
  <si>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</si>
  <si>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</si>
  <si>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</si>
  <si>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</si>
  <si>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</si>
  <si>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</si>
  <si>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</si>
  <si>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</si>
  <si>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</si>
  <si>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</si>
  <si>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</si>
  <si>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</si>
  <si>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</si>
  <si>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</si>
  <si>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</si>
  <si>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</si>
  <si>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</si>
  <si>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</si>
  <si>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</si>
  <si>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</si>
  <si>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</si>
  <si>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</si>
  <si>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</si>
  <si>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</si>
  <si>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</si>
  <si>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</si>
  <si>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</si>
  <si>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</si>
  <si>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</si>
  <si>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</si>
  <si>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</si>
  <si>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</si>
  <si>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</si>
  <si>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</si>
  <si>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</si>
  <si>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</si>
  <si>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</si>
  <si>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</si>
  <si>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</si>
  <si>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</si>
  <si>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</si>
  <si>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</si>
  <si>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</si>
  <si>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</si>
  <si>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</si>
  <si>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</si>
  <si>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</si>
  <si>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</si>
  <si>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</si>
  <si>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</si>
  <si>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</si>
  <si>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</si>
  <si>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</si>
  <si>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</si>
  <si>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</si>
  <si>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</si>
  <si>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</si>
  <si>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</si>
  <si>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</si>
  <si>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</si>
  <si>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</si>
  <si>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</si>
  <si>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</si>
  <si>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</si>
  <si>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</si>
  <si>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</si>
  <si>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</si>
  <si>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</si>
  <si>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</si>
  <si>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</si>
  <si>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</si>
  <si>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</si>
  <si>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</si>
  <si>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</si>
  <si>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</si>
  <si>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</si>
  <si>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</si>
  <si>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</si>
  <si>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</si>
  <si>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</si>
  <si>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</si>
  <si>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</si>
  <si>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</si>
  <si>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</si>
  <si>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</si>
  <si>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</si>
  <si>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</si>
  <si>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</si>
  <si>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</si>
  <si>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</si>
  <si>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</si>
  <si>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</si>
  <si>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</si>
  <si>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</si>
  <si>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</si>
  <si>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</si>
  <si>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</si>
  <si>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</si>
  <si>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</si>
  <si>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</si>
  <si>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</si>
  <si>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</si>
  <si>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</si>
  <si>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</si>
  <si>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</si>
  <si>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</si>
  <si>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</si>
  <si>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</si>
  <si>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</si>
  <si>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</si>
  <si>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</si>
  <si>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</si>
  <si>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</si>
  <si>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</si>
  <si>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</si>
  <si>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</si>
  <si>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</si>
  <si>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</si>
  <si>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</si>
  <si>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</si>
  <si>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</si>
  <si>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</si>
  <si>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</si>
  <si>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</si>
  <si>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</si>
  <si>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</si>
  <si>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</si>
  <si>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</si>
  <si>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</si>
  <si>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</si>
  <si>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</si>
  <si>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</si>
  <si>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</si>
  <si>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</si>
  <si>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</si>
  <si>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</si>
  <si>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</si>
  <si>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</si>
  <si>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</si>
  <si>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</si>
  <si>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</si>
  <si>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</si>
  <si>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</si>
  <si>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</si>
  <si>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</si>
  <si>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</si>
  <si>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</si>
  <si>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</si>
  <si>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</si>
  <si>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</si>
  <si>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</si>
  <si>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</si>
  <si>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</si>
  <si>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</si>
  <si>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</si>
  <si>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</si>
  <si>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</si>
  <si>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</si>
  <si>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</si>
  <si>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</si>
  <si>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</si>
  <si>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</si>
  <si>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</si>
  <si>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</si>
  <si>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</si>
  <si>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</si>
  <si>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</si>
  <si>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</si>
  <si>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</si>
  <si>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</si>
  <si>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</si>
  <si>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</si>
  <si>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</si>
  <si>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</si>
  <si>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</si>
  <si>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</si>
  <si>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</si>
  <si>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</si>
  <si>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</si>
  <si>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</si>
  <si>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</si>
  <si>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</si>
  <si>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</si>
  <si>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</si>
  <si>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</si>
  <si>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</si>
  <si>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</si>
  <si>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</si>
  <si>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</si>
  <si>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</si>
  <si>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</si>
  <si>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</si>
  <si>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</si>
  <si>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</si>
  <si>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</si>
  <si>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</si>
  <si>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</si>
  <si>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</si>
  <si>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</si>
  <si>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</si>
  <si>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</si>
  <si>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</si>
  <si>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</si>
  <si>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</si>
  <si>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</si>
  <si>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</si>
  <si>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</si>
  <si>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</si>
  <si>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</si>
  <si>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</si>
  <si>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</si>
  <si>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</si>
  <si>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</si>
  <si>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</si>
  <si>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</si>
  <si>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</si>
  <si>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</si>
  <si>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</si>
  <si>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</si>
  <si>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</si>
  <si>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</si>
  <si>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</si>
  <si>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</si>
  <si>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</si>
  <si>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</si>
  <si>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</si>
  <si>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</si>
  <si>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</si>
  <si>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</si>
  <si>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</si>
  <si>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</si>
  <si>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</si>
  <si>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</si>
  <si>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</si>
  <si>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</si>
  <si>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</si>
  <si>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</si>
  <si>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</si>
  <si>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</si>
  <si>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</si>
  <si>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</si>
  <si>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</si>
  <si>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</si>
  <si>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</si>
  <si>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</si>
  <si>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</si>
  <si>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</si>
  <si>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</si>
  <si>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</si>
  <si>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</si>
  <si>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</si>
  <si>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</si>
  <si>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</si>
  <si>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</si>
  <si>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</si>
  <si>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</si>
  <si>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</si>
  <si>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</si>
  <si>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</si>
  <si>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</si>
  <si>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</si>
  <si>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</si>
  <si>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</si>
  <si>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</si>
  <si>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</si>
  <si>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</si>
  <si>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</si>
  <si>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</si>
  <si>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</si>
  <si>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</si>
  <si>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</si>
  <si>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</si>
  <si>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</si>
  <si>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</si>
  <si>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</si>
  <si>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</si>
  <si>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</si>
  <si>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</si>
  <si>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</si>
  <si>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</si>
  <si>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</si>
  <si>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</si>
  <si>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</si>
  <si>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</si>
  <si>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</si>
  <si>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</si>
  <si>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</si>
  <si>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</si>
  <si>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</si>
  <si>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</si>
  <si>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</si>
  <si>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</si>
  <si>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</si>
  <si>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</si>
  <si>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</si>
  <si>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</si>
  <si>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</si>
  <si>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</si>
  <si>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</si>
  <si>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</si>
  <si>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</si>
  <si>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</si>
  <si>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</si>
  <si>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</si>
  <si>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</si>
  <si>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</si>
  <si>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</si>
  <si>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</si>
  <si>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</si>
  <si>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</si>
  <si>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</si>
  <si>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</si>
  <si>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</si>
  <si>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</si>
  <si>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</si>
  <si>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</si>
  <si>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</si>
  <si>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</si>
  <si>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</si>
  <si>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</si>
  <si>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</si>
  <si>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</si>
  <si>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</si>
  <si>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</si>
  <si>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</si>
  <si>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</si>
  <si>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</si>
  <si>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</si>
  <si>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</si>
  <si>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</si>
  <si>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</si>
  <si>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</si>
  <si>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</si>
  <si>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</si>
  <si>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</si>
  <si>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</si>
  <si>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</si>
  <si>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</si>
  <si>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</si>
  <si>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</si>
  <si>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</si>
  <si>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</si>
  <si>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</si>
  <si>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</si>
  <si>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</si>
  <si>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</si>
  <si>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</si>
  <si>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</si>
  <si>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</si>
  <si>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</si>
  <si>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</si>
  <si>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</si>
  <si>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</si>
  <si>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</si>
  <si>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</si>
  <si>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</si>
  <si>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</si>
  <si>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</si>
  <si>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</si>
  <si>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</si>
  <si>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</si>
  <si>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</si>
  <si>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</si>
  <si>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</si>
  <si>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</si>
  <si>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</si>
  <si>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</si>
  <si>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</si>
  <si>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</si>
  <si>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</si>
  <si>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</si>
  <si>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</si>
  <si>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</si>
  <si>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</si>
  <si>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</si>
  <si>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</si>
  <si>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</si>
  <si>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</si>
  <si>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</si>
  <si>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</si>
  <si>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</si>
  <si>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</si>
  <si>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</si>
  <si>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</si>
  <si>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</si>
  <si>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</si>
  <si>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</si>
  <si>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</si>
  <si>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</si>
  <si>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</si>
  <si>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</si>
  <si>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</si>
  <si>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</si>
  <si>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</si>
  <si>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</si>
  <si>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</si>
  <si>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</si>
  <si>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</si>
  <si>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</si>
  <si>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</si>
  <si>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</si>
  <si>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</si>
  <si>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</si>
  <si>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</si>
  <si>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</si>
  <si>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</si>
  <si>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</si>
  <si>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</si>
  <si>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</si>
  <si>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</si>
  <si>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</si>
  <si>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</si>
  <si>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</si>
  <si>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</si>
  <si>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</si>
  <si>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</si>
  <si>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</si>
  <si>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</si>
  <si>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</si>
  <si>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</si>
  <si>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</si>
  <si>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</si>
  <si>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</si>
  <si>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</si>
  <si>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</si>
  <si>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</si>
  <si>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</si>
  <si>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</si>
  <si>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</si>
  <si>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</si>
  <si>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</si>
  <si>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</si>
  <si>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</si>
  <si>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</si>
  <si>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</si>
  <si>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</si>
  <si>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</si>
  <si>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</si>
  <si>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</si>
  <si>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</si>
  <si>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</si>
  <si>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</si>
  <si>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</si>
  <si>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</si>
  <si>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</si>
  <si>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</si>
  <si>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</si>
  <si>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</si>
  <si>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</si>
  <si>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</si>
  <si>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</si>
  <si>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</si>
  <si>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</si>
  <si>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</si>
  <si>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</si>
  <si>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</si>
  <si>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</si>
  <si>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</si>
  <si>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</si>
  <si>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</si>
  <si>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</si>
  <si>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</si>
  <si>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</si>
  <si>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</si>
  <si>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</si>
  <si>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</si>
  <si>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</si>
  <si>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</si>
  <si>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</si>
  <si>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</si>
  <si>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</si>
  <si>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</si>
  <si>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</si>
  <si>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</si>
  <si>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</si>
  <si>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</si>
  <si>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</si>
  <si>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</si>
  <si>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</si>
  <si>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</si>
  <si>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</si>
  <si>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</si>
  <si>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</si>
  <si>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</si>
  <si>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</si>
  <si>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</si>
  <si>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</si>
  <si>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</si>
  <si>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</si>
  <si>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</si>
  <si>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</si>
  <si>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</si>
  <si>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</si>
  <si>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</si>
  <si>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</si>
  <si>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</si>
  <si>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</si>
  <si>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</si>
  <si>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</si>
  <si>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</si>
  <si>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</si>
  <si>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</si>
  <si>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</si>
  <si>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</si>
  <si>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</si>
  <si>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</si>
  <si>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</si>
  <si>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</si>
  <si>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</si>
  <si>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</si>
  <si>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</si>
  <si>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</si>
  <si>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</si>
  <si>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</si>
  <si>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</si>
  <si>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</si>
  <si>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</si>
  <si>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</si>
  <si>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</si>
  <si>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</si>
  <si>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</si>
  <si>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</si>
  <si>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</si>
  <si>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</si>
  <si>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</si>
  <si>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</si>
  <si>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</si>
  <si>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</si>
  <si>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</si>
  <si>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</si>
  <si>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</si>
  <si>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</si>
  <si>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</si>
  <si>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</si>
  <si>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</si>
  <si>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</si>
  <si>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</si>
  <si>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</si>
  <si>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</si>
  <si>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</si>
  <si>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</si>
  <si>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</si>
  <si>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</si>
  <si>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</si>
  <si>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</si>
  <si>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</si>
  <si>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</si>
  <si>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</si>
  <si>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</si>
  <si>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</si>
  <si>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</si>
  <si>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</si>
  <si>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</si>
  <si>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</si>
  <si>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</si>
  <si>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</si>
  <si>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</si>
  <si>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</si>
  <si>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</si>
  <si>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</si>
  <si>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</si>
  <si>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</si>
  <si>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</si>
  <si>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</si>
  <si>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</si>
  <si>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</si>
  <si>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</si>
  <si>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</si>
  <si>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</si>
  <si>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</si>
  <si>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</si>
  <si>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</si>
  <si>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</si>
  <si>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</si>
  <si>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</si>
  <si>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</si>
  <si>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</si>
  <si>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</si>
  <si>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</si>
  <si>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</si>
  <si>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</si>
  <si>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</si>
  <si>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</si>
  <si>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</si>
  <si>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</si>
  <si>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</si>
  <si>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</si>
  <si>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</si>
  <si>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</si>
  <si>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</si>
  <si>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</si>
  <si>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</si>
  <si>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</si>
  <si>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</si>
  <si>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</si>
  <si>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</si>
  <si>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</si>
  <si>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</si>
  <si>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</si>
  <si>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</si>
  <si>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</si>
  <si>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</si>
  <si>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</si>
  <si>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</si>
  <si>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</si>
  <si>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</si>
  <si>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</si>
  <si>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</si>
  <si>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</si>
  <si>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</si>
  <si>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</si>
  <si>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</si>
  <si>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</si>
  <si>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</si>
  <si>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</si>
  <si>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</si>
  <si>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</si>
  <si>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</si>
  <si>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</si>
  <si>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</si>
  <si>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</si>
  <si>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</si>
  <si>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</si>
  <si>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</si>
  <si>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</si>
  <si>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</si>
  <si>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</si>
  <si>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</si>
  <si>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</si>
  <si>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</si>
  <si>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</si>
  <si>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</si>
  <si>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</si>
  <si>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</si>
  <si>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</si>
  <si>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</si>
  <si>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</si>
  <si>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</si>
  <si>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</si>
  <si>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</si>
  <si>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</si>
  <si>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</si>
  <si>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</si>
  <si>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</si>
  <si>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</si>
  <si>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</si>
  <si>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</si>
  <si>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</si>
  <si>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</si>
  <si>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</si>
  <si>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</si>
  <si>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</si>
  <si>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</si>
  <si>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</si>
  <si>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</si>
  <si>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</si>
  <si>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</si>
  <si>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</si>
  <si>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</si>
  <si>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</si>
  <si>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</si>
  <si>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</si>
  <si>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</si>
  <si>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</si>
  <si>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</si>
  <si>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</si>
  <si>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</si>
  <si>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</si>
  <si>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</si>
  <si>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</si>
  <si>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</si>
  <si>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</si>
  <si>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</si>
  <si>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</si>
  <si>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</si>
  <si>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</si>
  <si>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</si>
  <si>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</si>
  <si>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</si>
  <si>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</si>
  <si>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</si>
  <si>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</si>
  <si>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</si>
  <si>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</si>
  <si>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</si>
  <si>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</si>
  <si>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</si>
  <si>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</si>
  <si>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</si>
  <si>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</si>
  <si>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</si>
  <si>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</si>
  <si>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</si>
  <si>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</si>
  <si>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</si>
  <si>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</si>
  <si>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</si>
  <si>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</si>
  <si>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</si>
  <si>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</si>
  <si>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</si>
  <si>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</si>
  <si>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</si>
  <si>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</si>
  <si>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</si>
  <si>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</si>
  <si>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Sumner Cemetery</t>
  </si>
  <si>
    <t>Osborne County</t>
  </si>
  <si>
    <t>Donations</t>
  </si>
  <si>
    <t>Burial Permits</t>
  </si>
  <si>
    <t>Mowing</t>
  </si>
  <si>
    <t>Operations</t>
  </si>
  <si>
    <t>Equipment</t>
  </si>
  <si>
    <t>Maintenance</t>
  </si>
  <si>
    <t>Robin Dibble, Treasurer</t>
  </si>
  <si>
    <t>August 12, 2013</t>
  </si>
  <si>
    <t>2:00 p.m.</t>
  </si>
  <si>
    <t>Osborne County Courthouse, 423 W. Main</t>
  </si>
  <si>
    <t>Osborne County Clerk's Office</t>
  </si>
  <si>
    <t>Vienna Janis</t>
  </si>
  <si>
    <t>Osborne County Clerk</t>
  </si>
  <si>
    <t>423 W. Main</t>
  </si>
  <si>
    <t>Osborne, KS 67473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</si>
</sst>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Sumner Cemetery</v>
      </c>
      <c r="C1" s="18"/>
      <c r="D1" s="18"/>
      <c r="E1" s="18"/>
      <c r="F1" s="18"/>
      <c r="G1" s="18"/>
      <c r="H1" s="18"/>
      <c r="I1" s="18"/>
      <c r="J1" s="18"/>
      <c r="K1" s="18"/>
      <c r="L1" s="182">
        <f>inputPrYr!D6</f>
        <v>2014</v>
      </c>
    </row>
    <row r="2" spans="2:12" ht="15.75">
      <c r="B2" s="18" t="str">
        <f>inputPrYr!$D$4</f>
        <v>Osborne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3">
      <selection activeCell="E40" sqref="E40"/>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Sumner Cemetery</v>
      </c>
      <c r="C1" s="222"/>
      <c r="D1" s="18"/>
      <c r="E1" s="182"/>
    </row>
    <row r="2" spans="2:5" ht="15.75">
      <c r="B2" s="18" t="str">
        <f>inputPrYr!D4</f>
        <v>Osborne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17909</v>
      </c>
      <c r="D7" s="373">
        <f>C62</f>
        <v>14725</v>
      </c>
      <c r="E7" s="45">
        <f>D62</f>
        <v>5715</v>
      </c>
    </row>
    <row r="8" spans="2:5" ht="15.75">
      <c r="B8" s="226" t="s">
        <v>127</v>
      </c>
      <c r="C8" s="227"/>
      <c r="D8" s="227"/>
      <c r="E8" s="123"/>
    </row>
    <row r="9" spans="2:5" ht="15.75">
      <c r="B9" s="119" t="s">
        <v>33</v>
      </c>
      <c r="C9" s="366">
        <v>8651</v>
      </c>
      <c r="D9" s="373">
        <f>IF(inputPrYr!H18&gt;0,inputPrYr!G19,inputPrYr!E19)</f>
        <v>9296</v>
      </c>
      <c r="E9" s="128" t="s">
        <v>28</v>
      </c>
    </row>
    <row r="10" spans="2:5" ht="15.75">
      <c r="B10" s="119" t="s">
        <v>34</v>
      </c>
      <c r="C10" s="366">
        <v>22</v>
      </c>
      <c r="D10" s="366"/>
      <c r="E10" s="198"/>
    </row>
    <row r="11" spans="2:5" ht="15.75">
      <c r="B11" s="119" t="s">
        <v>35</v>
      </c>
      <c r="C11" s="366">
        <v>554</v>
      </c>
      <c r="D11" s="366">
        <v>609</v>
      </c>
      <c r="E11" s="45">
        <f>mvalloc!D11</f>
        <v>560</v>
      </c>
    </row>
    <row r="12" spans="2:5" ht="15.75">
      <c r="B12" s="119" t="s">
        <v>36</v>
      </c>
      <c r="C12" s="366">
        <v>1</v>
      </c>
      <c r="D12" s="366">
        <v>9</v>
      </c>
      <c r="E12" s="45">
        <f>mvalloc!E11</f>
        <v>1</v>
      </c>
    </row>
    <row r="13" spans="2:5" ht="15.75">
      <c r="B13" s="227" t="s">
        <v>109</v>
      </c>
      <c r="C13" s="366">
        <v>167</v>
      </c>
      <c r="D13" s="366">
        <v>163</v>
      </c>
      <c r="E13" s="45">
        <f>mvalloc!F11</f>
        <v>150</v>
      </c>
    </row>
    <row r="14" spans="2:5" ht="15.75">
      <c r="B14" s="227" t="s">
        <v>159</v>
      </c>
      <c r="C14" s="366"/>
      <c r="D14" s="366"/>
      <c r="E14" s="45">
        <f>inputOth!E30</f>
        <v>0</v>
      </c>
    </row>
    <row r="15" spans="2:5" ht="15.75">
      <c r="B15" s="228" t="s">
        <v>37</v>
      </c>
      <c r="C15" s="366"/>
      <c r="D15" s="366"/>
      <c r="E15" s="198"/>
    </row>
    <row r="16" spans="2:5" ht="15.75">
      <c r="B16" s="228" t="s">
        <v>794</v>
      </c>
      <c r="C16" s="366">
        <v>100</v>
      </c>
      <c r="D16" s="366"/>
      <c r="E16" s="198"/>
    </row>
    <row r="17" spans="2:5" ht="15.75">
      <c r="B17" s="228" t="s">
        <v>795</v>
      </c>
      <c r="C17" s="366">
        <v>900</v>
      </c>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10395</v>
      </c>
      <c r="D33" s="368">
        <f>SUM(D9:D31)</f>
        <v>10077</v>
      </c>
      <c r="E33" s="234">
        <f>SUM(E9:E31)</f>
        <v>711</v>
      </c>
    </row>
    <row r="34" spans="2:5" ht="15.75">
      <c r="B34" s="233" t="s">
        <v>40</v>
      </c>
      <c r="C34" s="368">
        <f>C7+C33</f>
        <v>28304</v>
      </c>
      <c r="D34" s="368">
        <f>D7+D33</f>
        <v>24802</v>
      </c>
      <c r="E34" s="234">
        <f>E7+E33</f>
        <v>6426</v>
      </c>
    </row>
    <row r="35" spans="2:5" ht="15.75">
      <c r="B35" s="119" t="s">
        <v>41</v>
      </c>
      <c r="C35" s="121"/>
      <c r="D35" s="121"/>
      <c r="E35" s="36"/>
    </row>
    <row r="36" spans="2:5" ht="15.75">
      <c r="B36" s="228" t="s">
        <v>796</v>
      </c>
      <c r="C36" s="366">
        <v>1753</v>
      </c>
      <c r="D36" s="366">
        <v>5000</v>
      </c>
      <c r="E36" s="198">
        <v>3000</v>
      </c>
    </row>
    <row r="37" spans="2:5" ht="15.75">
      <c r="B37" s="228" t="s">
        <v>797</v>
      </c>
      <c r="C37" s="366">
        <v>3266</v>
      </c>
      <c r="D37" s="366">
        <v>7000</v>
      </c>
      <c r="E37" s="198">
        <v>5000</v>
      </c>
    </row>
    <row r="38" spans="2:5" ht="15.75">
      <c r="B38" s="228" t="s">
        <v>798</v>
      </c>
      <c r="C38" s="366">
        <v>8560</v>
      </c>
      <c r="D38" s="366">
        <v>1087</v>
      </c>
      <c r="E38" s="198">
        <v>4000</v>
      </c>
    </row>
    <row r="39" spans="2:5" ht="15.75">
      <c r="B39" s="228" t="s">
        <v>799</v>
      </c>
      <c r="C39" s="366"/>
      <c r="D39" s="366">
        <v>6000</v>
      </c>
      <c r="E39" s="198">
        <v>4048</v>
      </c>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13579</v>
      </c>
      <c r="D61" s="368">
        <f>SUM(D36:D59)</f>
        <v>19087</v>
      </c>
      <c r="E61" s="234">
        <f>SUM(E36:E59)</f>
        <v>16048</v>
      </c>
      <c r="F61" s="16"/>
      <c r="G61" s="489">
        <f>D62</f>
        <v>5715</v>
      </c>
      <c r="H61" s="488" t="str">
        <f>CONCATENATE("",E3-1," Ending Cash Balance (est.)")</f>
        <v>2013 Ending Cash Balance (est.)</v>
      </c>
      <c r="I61" s="584"/>
      <c r="J61" s="483"/>
      <c r="K61" s="16"/>
    </row>
    <row r="62" spans="2:11" ht="15.75">
      <c r="B62" s="119" t="s">
        <v>126</v>
      </c>
      <c r="C62" s="369">
        <f>C34-C61</f>
        <v>14725</v>
      </c>
      <c r="D62" s="369">
        <f>D34-D61</f>
        <v>5715</v>
      </c>
      <c r="E62" s="128" t="s">
        <v>28</v>
      </c>
      <c r="F62" s="16"/>
      <c r="G62" s="489">
        <f>E33</f>
        <v>711</v>
      </c>
      <c r="H62" s="482" t="str">
        <f>CONCATENATE("",E3," Non-AV Receipts (est.)")</f>
        <v>2014 Non-AV Receipts (est.)</v>
      </c>
      <c r="I62" s="584"/>
      <c r="J62" s="483"/>
      <c r="K62" s="16"/>
    </row>
    <row r="63" spans="2:11" ht="15.75">
      <c r="B63" s="138" t="str">
        <f>CONCATENATE("",E3-2,"/",E3-1," Budget Authority Amount:")</f>
        <v>2012/2013 Budget Authority Amount:</v>
      </c>
      <c r="C63" s="120">
        <f>inputOth!B41</f>
        <v>18917</v>
      </c>
      <c r="D63" s="387">
        <f>inputPrYr!D19</f>
        <v>19087</v>
      </c>
      <c r="E63" s="128" t="s">
        <v>28</v>
      </c>
      <c r="F63" s="251"/>
      <c r="G63" s="481">
        <f>IF(E67&gt;0,E66,E68)</f>
        <v>9622</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16048</v>
      </c>
      <c r="H64" s="482" t="str">
        <f>CONCATENATE("Total ",E3," Resources Available")</f>
        <v>Total 2014 Resources Available</v>
      </c>
      <c r="I64" s="584"/>
      <c r="J64" s="483"/>
      <c r="K64" s="16"/>
    </row>
    <row r="65" spans="2:11" ht="15.75">
      <c r="B65" s="385" t="str">
        <f>CONCATENATE(C81,"     ",D81)</f>
        <v>     </v>
      </c>
      <c r="C65" s="696" t="s">
        <v>659</v>
      </c>
      <c r="D65" s="697"/>
      <c r="E65" s="45">
        <f>E61+E64</f>
        <v>16048</v>
      </c>
      <c r="F65" s="16"/>
      <c r="G65" s="480"/>
      <c r="H65" s="482"/>
      <c r="I65" s="482"/>
      <c r="J65" s="483"/>
      <c r="K65" s="16"/>
    </row>
    <row r="66" spans="2:11" ht="15.75">
      <c r="B66" s="385" t="str">
        <f>CONCATENATE(C82,"     ",D82)</f>
        <v>     </v>
      </c>
      <c r="C66" s="493"/>
      <c r="D66" s="492" t="s">
        <v>660</v>
      </c>
      <c r="E66" s="42">
        <f>IF(E65-E34&gt;0,E65-E34,0)</f>
        <v>9622</v>
      </c>
      <c r="F66" s="16"/>
      <c r="G66" s="481">
        <f>ROUND(C61*0.05+C61,0)</f>
        <v>14258</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1790</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9622</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5.399</v>
      </c>
      <c r="H71" s="488" t="str">
        <f>CONCATENATE("",E3," Fund Mill Rate")</f>
        <v>2014 Fund Mill Rate</v>
      </c>
      <c r="I71" s="570"/>
      <c r="J71" s="589"/>
      <c r="K71" s="16"/>
    </row>
    <row r="72" spans="2:11" ht="15.75">
      <c r="B72" s="18"/>
      <c r="C72" s="18"/>
      <c r="D72" s="18"/>
      <c r="E72" s="18"/>
      <c r="F72" s="591"/>
      <c r="G72" s="592">
        <f>summ!E16</f>
        <v>5.83</v>
      </c>
      <c r="H72" s="488" t="str">
        <f>CONCATENATE("",E3-1," Fund Mill Rate")</f>
        <v>2013 Fund Mill Rate</v>
      </c>
      <c r="I72" s="570"/>
      <c r="J72" s="589"/>
      <c r="K72" s="16"/>
    </row>
    <row r="73" spans="2:11" ht="15.75">
      <c r="B73" s="18"/>
      <c r="C73" s="222"/>
      <c r="D73" s="222"/>
      <c r="E73" s="222"/>
      <c r="F73" s="575"/>
      <c r="G73" s="593">
        <f>summ!H23</f>
        <v>5.399</v>
      </c>
      <c r="H73" s="488" t="str">
        <f>CONCATENATE("Total ",E3," Mill Rate")</f>
        <v>Total 2014 Mill Rate</v>
      </c>
      <c r="I73" s="570"/>
      <c r="J73" s="589"/>
      <c r="K73" s="16"/>
    </row>
    <row r="74" spans="2:11" ht="15.75">
      <c r="B74" s="138"/>
      <c r="C74" s="18" t="s">
        <v>227</v>
      </c>
      <c r="D74" s="18"/>
      <c r="E74" s="18"/>
      <c r="F74" s="575"/>
      <c r="G74" s="592">
        <f>summ!E23</f>
        <v>5.83</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Sumner Cemetery</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5.399</v>
      </c>
      <c r="H65" s="488" t="str">
        <f>CONCATENATE("Total ",E1," Mill Rate")</f>
        <v>Total 2014 Mill Rate</v>
      </c>
      <c r="I65" s="570"/>
      <c r="J65" s="589"/>
      <c r="K65" s="597"/>
    </row>
    <row r="66" spans="6:11" ht="15.75">
      <c r="F66"/>
      <c r="G66" s="592">
        <f>summ!E23</f>
        <v>5.83</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Sumner Cemetery</v>
      </c>
      <c r="C1" s="18"/>
      <c r="D1" s="18"/>
      <c r="E1" s="182"/>
    </row>
    <row r="2" spans="2:5" ht="15.75">
      <c r="B2" s="18" t="str">
        <f>inputPrYr!D4</f>
        <v>Osborne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5.399</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5.83</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5.399</v>
      </c>
      <c r="H86" s="488" t="str">
        <f>CONCATENATE("Total ",E3," Mill Rate")</f>
        <v>Total 2014 Mill Rate</v>
      </c>
      <c r="I86" s="570"/>
      <c r="J86" s="589"/>
      <c r="K86" s="16"/>
    </row>
    <row r="87" spans="3:11" ht="15.75" customHeight="1">
      <c r="C87" s="95">
        <f>IF(C33&gt;C35,"See Tab A","")</f>
      </c>
      <c r="D87" s="95">
        <f>IF(D33&gt;D35,"See Tab C","")</f>
      </c>
      <c r="F87" s="16"/>
      <c r="G87" s="592">
        <f>summ!E23</f>
        <v>5.83</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Sumner Cemetery</v>
      </c>
      <c r="C1" s="222"/>
      <c r="D1" s="18"/>
      <c r="E1" s="182"/>
    </row>
    <row r="2" spans="2:5" ht="15.75">
      <c r="B2" s="18" t="str">
        <f>inputPrYr!D4</f>
        <v>Osborne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Sumner Cemetery</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F22" sqref="F2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0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Sumner Cemetery</v>
      </c>
      <c r="B4" s="650"/>
      <c r="C4" s="650"/>
      <c r="D4" s="650"/>
      <c r="E4" s="650"/>
      <c r="F4" s="650"/>
      <c r="G4" s="650"/>
      <c r="H4" s="650"/>
    </row>
    <row r="5" spans="1:8" ht="15.75">
      <c r="A5" s="709" t="str">
        <f>inputPrYr!D4</f>
        <v>Osborne County</v>
      </c>
      <c r="B5" s="709"/>
      <c r="C5" s="709"/>
      <c r="D5" s="709"/>
      <c r="E5" s="709"/>
      <c r="F5" s="709"/>
      <c r="G5" s="709"/>
      <c r="H5" s="709"/>
    </row>
    <row r="6" spans="1:8" ht="15.75">
      <c r="A6" s="668" t="str">
        <f>CONCATENATE("will meet on ",inputBudSum!B7," at ",inputBudSum!B9," at ",inputBudSum!B11," for the purpose of hearing and")</f>
        <v>will meet on August 12, 2013 at 2:00 p.m. at Osborne County Courthouse, 423 W. Main for the purpose of hearing and</v>
      </c>
      <c r="B6" s="668"/>
      <c r="C6" s="668"/>
      <c r="D6" s="668"/>
      <c r="E6" s="668"/>
      <c r="F6" s="668"/>
      <c r="G6" s="668"/>
      <c r="H6" s="668"/>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Osborne County Clerk's Office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12" t="str">
        <f>CONCATENATE("Estimated Value Of One Mill For ",I3,"")</f>
        <v>Estimated Value Of One Mill For 2014</v>
      </c>
      <c r="K12" s="713"/>
      <c r="L12" s="713"/>
      <c r="M12" s="714"/>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07" t="str">
        <f>CONCATENATE("Amount of ",I3-1," Ad Valorem Tax")</f>
        <v>Amount of 2013 Ad Valorem Tax</v>
      </c>
      <c r="H14" s="293" t="s">
        <v>565</v>
      </c>
      <c r="J14" s="500" t="s">
        <v>666</v>
      </c>
      <c r="K14" s="501"/>
      <c r="L14" s="501"/>
      <c r="M14" s="502">
        <f>ROUND(F27/1000,0)</f>
        <v>1782</v>
      </c>
    </row>
    <row r="15" spans="1:13" ht="15.75">
      <c r="A15" s="169" t="s">
        <v>52</v>
      </c>
      <c r="B15" s="114" t="s">
        <v>53</v>
      </c>
      <c r="C15" s="294" t="s">
        <v>197</v>
      </c>
      <c r="D15" s="114" t="s">
        <v>53</v>
      </c>
      <c r="E15" s="294" t="s">
        <v>197</v>
      </c>
      <c r="F15" s="114" t="s">
        <v>560</v>
      </c>
      <c r="G15" s="708"/>
      <c r="H15" s="294" t="s">
        <v>197</v>
      </c>
      <c r="J15" s="16"/>
      <c r="K15" s="16"/>
      <c r="L15" s="16"/>
      <c r="M15" s="16"/>
    </row>
    <row r="16" spans="1:13" ht="15.75">
      <c r="A16" s="36" t="str">
        <f>inputPrYr!B19</f>
        <v>General</v>
      </c>
      <c r="B16" s="123">
        <f>IF(gen!$C$61&lt;&gt;0,gen!$C$61,"  ")</f>
        <v>13579</v>
      </c>
      <c r="C16" s="622">
        <f>IF(inputPrYr!D38&gt;0,inputPrYr!D38,"  ")</f>
        <v>6.072</v>
      </c>
      <c r="D16" s="560">
        <f>IF(gen!$D$61&lt;&gt;0,gen!$D$61,"  ")</f>
        <v>19087</v>
      </c>
      <c r="E16" s="625">
        <f>IF(inputOth!D16&gt;0,inputOth!D16,"  ")</f>
        <v>5.83</v>
      </c>
      <c r="F16" s="560">
        <f>IF(gen!$E$61&lt;&gt;0,gen!$E$61,"  ")</f>
        <v>16048</v>
      </c>
      <c r="G16" s="243">
        <f>IF(gen!$E$68&lt;&gt;0,gen!$E$68,"  ")</f>
        <v>9622</v>
      </c>
      <c r="H16" s="622">
        <f>IF(gen!E68&gt;0,ROUND(G16/$F$27*1000,3)," ")</f>
        <v>5.399</v>
      </c>
      <c r="J16" s="712" t="str">
        <f>CONCATENATE("Want The Mill Rate The Same As For ",I3-1,"?")</f>
        <v>Want The Mill Rate The Same As For 2013?</v>
      </c>
      <c r="K16" s="715"/>
      <c r="L16" s="715"/>
      <c r="M16" s="716"/>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5.83</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768</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13579</v>
      </c>
      <c r="C23" s="624">
        <f aca="true" t="shared" si="0" ref="C23:H23">SUM(C16:C21)</f>
        <v>6.072</v>
      </c>
      <c r="D23" s="619">
        <f t="shared" si="0"/>
        <v>19087</v>
      </c>
      <c r="E23" s="627">
        <f t="shared" si="0"/>
        <v>5.83</v>
      </c>
      <c r="F23" s="619">
        <f t="shared" si="0"/>
        <v>16048</v>
      </c>
      <c r="G23" s="619">
        <f t="shared" si="0"/>
        <v>9622</v>
      </c>
      <c r="H23" s="627">
        <f t="shared" si="0"/>
        <v>5.399</v>
      </c>
      <c r="J23" s="712" t="str">
        <f>CONCATENATE("Impact On Keeping The Same Mill Rate As For ",I3-1,"")</f>
        <v>Impact On Keeping The Same Mill Rate As For 2013</v>
      </c>
      <c r="K23" s="717"/>
      <c r="L23" s="717"/>
      <c r="M23" s="718"/>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13579</v>
      </c>
      <c r="C25" s="296"/>
      <c r="D25" s="129">
        <f>SUM(D23-D24)</f>
        <v>19087</v>
      </c>
      <c r="E25" s="296"/>
      <c r="F25" s="484">
        <f>SUM(F23-F24)</f>
        <v>16048</v>
      </c>
      <c r="G25" s="238"/>
      <c r="H25" s="295"/>
      <c r="J25" s="503" t="str">
        <f>CONCATENATE("",I3," Ad Valorem Tax Revenue:")</f>
        <v>2014 Ad Valorem Tax Revenue:</v>
      </c>
      <c r="K25" s="498"/>
      <c r="L25" s="498"/>
      <c r="M25" s="499">
        <f>G23</f>
        <v>9622</v>
      </c>
    </row>
    <row r="26" spans="1:13" ht="16.5" thickTop="1">
      <c r="A26" s="33" t="s">
        <v>54</v>
      </c>
      <c r="B26" s="619">
        <f>inputPrYr!E44</f>
        <v>8681</v>
      </c>
      <c r="C26" s="215"/>
      <c r="D26" s="619">
        <f>inputPrYr!E24</f>
        <v>9296</v>
      </c>
      <c r="E26" s="215"/>
      <c r="F26" s="83" t="s">
        <v>174</v>
      </c>
      <c r="G26" s="18"/>
      <c r="H26" s="18"/>
      <c r="J26" s="503" t="str">
        <f>CONCATENATE("",I3-1," Ad Valorem Tax Revenue:")</f>
        <v>2013 Ad Valorem Tax Revenue:</v>
      </c>
      <c r="K26" s="498"/>
      <c r="L26" s="498"/>
      <c r="M26" s="512">
        <f>ROUND(F27*M18/1000,0)</f>
        <v>10390</v>
      </c>
    </row>
    <row r="27" spans="1:13" ht="15.75">
      <c r="A27" s="33" t="s">
        <v>170</v>
      </c>
      <c r="B27" s="42">
        <f>inputPrYr!E45</f>
        <v>1429886</v>
      </c>
      <c r="C27" s="215"/>
      <c r="D27" s="42">
        <f>inputOth!E24</f>
        <v>1594620</v>
      </c>
      <c r="E27" s="215"/>
      <c r="F27" s="42">
        <f>inputOth!E7</f>
        <v>1782229</v>
      </c>
      <c r="G27" s="18"/>
      <c r="H27" s="18"/>
      <c r="J27" s="513" t="s">
        <v>667</v>
      </c>
      <c r="K27" s="514"/>
      <c r="L27" s="514"/>
      <c r="M27" s="502">
        <f>M25-M26</f>
        <v>-768</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12" t="s">
        <v>668</v>
      </c>
      <c r="K29" s="715"/>
      <c r="L29" s="715"/>
      <c r="M29" s="716"/>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5.399</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9" t="str">
        <f>inputBudSum!B3</f>
        <v>Robin Dibble, Treasurer</v>
      </c>
      <c r="B40" s="676"/>
      <c r="C40" s="99"/>
      <c r="D40" s="18"/>
      <c r="E40" s="18"/>
      <c r="F40" s="18"/>
      <c r="G40" s="18"/>
      <c r="H40" s="52"/>
    </row>
    <row r="41" spans="1:8" ht="15.75">
      <c r="A41" s="710" t="str">
        <f>inputBudSum!B5</f>
        <v>Sumner Cemetery</v>
      </c>
      <c r="B41" s="711"/>
      <c r="C41" s="18"/>
      <c r="D41" s="138" t="s">
        <v>44</v>
      </c>
      <c r="E41" s="486"/>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Sumner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7" t="str">
        <f>CONCATENATE("",F1," Neighborhood Revitalization Rebate")</f>
        <v>2014 Neighborhood Revitalization Rebate</v>
      </c>
      <c r="C4" s="722"/>
      <c r="D4" s="722"/>
      <c r="E4" s="70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1782229</v>
      </c>
      <c r="E16" s="18"/>
      <c r="F16" s="52"/>
    </row>
    <row r="17" spans="1:6" ht="15.75">
      <c r="A17" s="18"/>
      <c r="B17" s="18"/>
      <c r="C17" s="18"/>
      <c r="D17" s="18"/>
      <c r="E17" s="18"/>
      <c r="F17" s="52"/>
    </row>
    <row r="18" spans="1:6" ht="15.75">
      <c r="A18" s="18"/>
      <c r="B18" s="723" t="s">
        <v>318</v>
      </c>
      <c r="C18" s="723"/>
      <c r="D18" s="309">
        <f>IF(D16&gt;0,(D16*0.001),"")</f>
        <v>1782.229</v>
      </c>
      <c r="E18" s="18"/>
      <c r="F18" s="52"/>
    </row>
    <row r="19" spans="1:6" ht="15.75">
      <c r="A19" s="18"/>
      <c r="B19" s="138"/>
      <c r="C19" s="138"/>
      <c r="D19" s="310"/>
      <c r="E19" s="18"/>
      <c r="F19" s="52"/>
    </row>
    <row r="20" spans="1:6" ht="15.75">
      <c r="A20" s="720" t="s">
        <v>316</v>
      </c>
      <c r="B20" s="706"/>
      <c r="C20" s="706"/>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32" t="s">
        <v>140</v>
      </c>
      <c r="C1" s="732"/>
      <c r="D1" s="732"/>
      <c r="E1" s="732"/>
      <c r="F1" s="732"/>
      <c r="G1" s="732"/>
      <c r="H1" s="732"/>
    </row>
    <row r="2" spans="2:8" ht="15.75">
      <c r="B2" s="6"/>
      <c r="C2"/>
      <c r="D2"/>
      <c r="E2"/>
      <c r="F2"/>
      <c r="G2"/>
      <c r="H2"/>
    </row>
    <row r="3" spans="2:8" ht="15.75">
      <c r="B3" s="733" t="s">
        <v>137</v>
      </c>
      <c r="C3" s="733"/>
      <c r="D3" s="733"/>
      <c r="E3" s="733"/>
      <c r="F3" s="733"/>
      <c r="G3" s="733"/>
      <c r="H3" s="733"/>
    </row>
    <row r="4" spans="2:8" ht="15.75">
      <c r="B4" s="7"/>
      <c r="C4"/>
      <c r="D4"/>
      <c r="E4"/>
      <c r="F4"/>
      <c r="G4"/>
      <c r="H4"/>
    </row>
    <row r="5" spans="2:8" ht="15.75">
      <c r="B5" s="725" t="str">
        <f>CONCATENATE("A resolution expressing the property taxation policy of the Board of ",(inputPrYr!D3)," District with respect to financing the ",inputPrYr!D6," annual budget for ",(inputPrYr!D3)," , ",(inputPrYr!D4)," , Kansas.")</f>
        <v>A resolution expressing the property taxation policy of the Board of Sumner Cemetery District with respect to financing the 2014 annual budget for Sumner Cemetery , Osborne County , Kansas.</v>
      </c>
      <c r="C5" s="726"/>
      <c r="D5" s="726"/>
      <c r="E5" s="726"/>
      <c r="F5" s="726"/>
      <c r="G5" s="726"/>
      <c r="H5" s="726"/>
    </row>
    <row r="6" spans="2:10" ht="15.75">
      <c r="B6" s="726"/>
      <c r="C6" s="726"/>
      <c r="D6" s="726"/>
      <c r="E6" s="726"/>
      <c r="F6" s="726"/>
      <c r="G6" s="726"/>
      <c r="H6" s="726"/>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Sumner Cemetery district budget exceed the amount levied to finance the</v>
      </c>
      <c r="C9"/>
      <c r="D9"/>
      <c r="E9"/>
      <c r="F9"/>
      <c r="G9"/>
      <c r="H9"/>
    </row>
    <row r="10" spans="2:8" ht="15.75">
      <c r="B10" s="12" t="str">
        <f>CONCATENATE("",inputPrYr!D6-1," ",inputPrYr!D3," except with regard to revenue produced and attributable to the")</f>
        <v>2013 Sumner Cemetery except with regard to revenue produced and attributable to the</v>
      </c>
      <c r="C10"/>
      <c r="D10"/>
      <c r="E10"/>
      <c r="F10"/>
      <c r="G10"/>
      <c r="H10"/>
    </row>
    <row r="11" spans="2:8" ht="15.75">
      <c r="B11" s="729" t="s">
        <v>176</v>
      </c>
      <c r="C11" s="734"/>
      <c r="D11" s="734"/>
      <c r="E11" s="734"/>
      <c r="F11" s="734"/>
      <c r="G11" s="734"/>
      <c r="H11" s="734"/>
    </row>
    <row r="12" spans="2:8" ht="15.75">
      <c r="B12" s="734"/>
      <c r="C12" s="734"/>
      <c r="D12" s="734"/>
      <c r="E12" s="734"/>
      <c r="F12" s="734"/>
      <c r="G12" s="734"/>
      <c r="H12" s="734"/>
    </row>
    <row r="13" spans="2:8" ht="15.75">
      <c r="B13" s="734"/>
      <c r="C13" s="734"/>
      <c r="D13" s="734"/>
      <c r="E13" s="734"/>
      <c r="F13" s="734"/>
      <c r="G13" s="734"/>
      <c r="H13" s="734"/>
    </row>
    <row r="14" spans="2:8" ht="15.75">
      <c r="B14" s="734"/>
      <c r="C14" s="734"/>
      <c r="D14" s="734"/>
      <c r="E14" s="734"/>
      <c r="F14" s="734"/>
      <c r="G14" s="734"/>
      <c r="H14" s="734"/>
    </row>
    <row r="15" spans="2:8" ht="15.75">
      <c r="B15" s="1"/>
      <c r="C15" s="1"/>
      <c r="D15" s="1"/>
      <c r="E15" s="1"/>
      <c r="F15" s="1"/>
      <c r="G15" s="1"/>
      <c r="H15" s="1"/>
    </row>
    <row r="16" spans="2:8" ht="15.75">
      <c r="B16" s="727" t="s">
        <v>149</v>
      </c>
      <c r="C16" s="728"/>
      <c r="D16" s="728"/>
      <c r="E16" s="728"/>
      <c r="F16" s="728"/>
      <c r="G16" s="728"/>
      <c r="H16" s="728"/>
    </row>
    <row r="17" spans="2:8" ht="15.75">
      <c r="B17" s="728"/>
      <c r="C17" s="728"/>
      <c r="D17" s="728"/>
      <c r="E17" s="728"/>
      <c r="F17" s="728"/>
      <c r="G17" s="728"/>
      <c r="H17" s="728"/>
    </row>
    <row r="18" spans="2:8" ht="15.75">
      <c r="B18" s="12"/>
      <c r="C18"/>
      <c r="D18"/>
      <c r="E18"/>
      <c r="F18"/>
      <c r="G18"/>
      <c r="H18"/>
    </row>
    <row r="19" spans="2:8" ht="15.75">
      <c r="B19" s="12" t="str">
        <f>CONCATENATE("Whereas, ",(inputPrYr!D3)," provides essential services to district residents; and")</f>
        <v>Whereas, Sumner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Sumner Cemetery that is our desire to notify the public of the possibility of increased property taxes to finance the 2014 Sumner Cemetery  budget as defined above.</v>
      </c>
      <c r="C23" s="730"/>
      <c r="D23" s="730"/>
      <c r="E23" s="730"/>
      <c r="F23" s="730"/>
      <c r="G23" s="730"/>
      <c r="H23" s="730"/>
    </row>
    <row r="24" spans="2:8" ht="15.75">
      <c r="B24" s="730"/>
      <c r="C24" s="730"/>
      <c r="D24" s="730"/>
      <c r="E24" s="730"/>
      <c r="F24" s="730"/>
      <c r="G24" s="730"/>
      <c r="H24" s="730"/>
    </row>
    <row r="25" spans="2:8" ht="15.75">
      <c r="B25" s="730"/>
      <c r="C25" s="730"/>
      <c r="D25" s="730"/>
      <c r="E25" s="730"/>
      <c r="F25" s="730"/>
      <c r="G25" s="730"/>
      <c r="H25" s="730"/>
    </row>
    <row r="26" spans="2:8" ht="15.75">
      <c r="B26" s="12"/>
      <c r="C26"/>
      <c r="D26"/>
      <c r="E26"/>
      <c r="F26"/>
      <c r="G26"/>
      <c r="H26"/>
    </row>
    <row r="27" spans="2:8" ht="15.75">
      <c r="B27" s="727" t="str">
        <f>CONCATENATE("Adopted this _________ day of ___________, ",inputPrYr!D6-1," by the ",(inputPrYr!D3)," District Board, ",(inputPrYr!D4),", Kansas.")</f>
        <v>Adopted this _________ day of ___________, 2013 by the Sumner Cemetery District Board, Osborne County, Kansas.</v>
      </c>
      <c r="C27" s="726"/>
      <c r="D27" s="726"/>
      <c r="E27" s="726"/>
      <c r="F27" s="726"/>
      <c r="G27" s="726"/>
      <c r="H27" s="726"/>
    </row>
    <row r="28" spans="2:8" ht="15.75">
      <c r="B28" s="726"/>
      <c r="C28" s="726"/>
      <c r="D28" s="726"/>
      <c r="E28" s="726"/>
      <c r="F28" s="726"/>
      <c r="G28" s="726"/>
      <c r="H28" s="726"/>
    </row>
    <row r="29" spans="2:8" ht="15.75">
      <c r="B29" s="8"/>
      <c r="C29"/>
      <c r="D29"/>
      <c r="E29"/>
      <c r="F29"/>
      <c r="G29"/>
      <c r="H29"/>
    </row>
    <row r="30" spans="2:8" ht="15.75">
      <c r="B30" s="8"/>
      <c r="C30"/>
      <c r="D30"/>
      <c r="E30"/>
      <c r="F30"/>
      <c r="G30"/>
      <c r="H30"/>
    </row>
    <row r="31" spans="2:8" ht="15.75">
      <c r="B31" s="9" t="str">
        <f>CONCATENATE(" ",(inputPrYr!D3)," District Board")</f>
        <v> Sumner Cemetery District Board</v>
      </c>
      <c r="C31"/>
      <c r="D31"/>
      <c r="E31"/>
      <c r="F31"/>
      <c r="G31"/>
      <c r="H31"/>
    </row>
    <row r="32" spans="2:8" ht="15.75">
      <c r="B32" s="8"/>
      <c r="C32"/>
      <c r="D32"/>
      <c r="E32"/>
      <c r="F32"/>
      <c r="G32"/>
      <c r="H32"/>
    </row>
    <row r="33" spans="2:8" ht="15.75">
      <c r="B33"/>
      <c r="C33"/>
      <c r="D33"/>
      <c r="E33" s="731" t="s">
        <v>138</v>
      </c>
      <c r="F33" s="731"/>
      <c r="G33" s="731"/>
      <c r="H33" s="731"/>
    </row>
    <row r="34" spans="2:8" ht="15.75">
      <c r="B34"/>
      <c r="C34"/>
      <c r="D34"/>
      <c r="E34" s="731" t="s">
        <v>141</v>
      </c>
      <c r="F34" s="731"/>
      <c r="G34" s="731"/>
      <c r="H34" s="731"/>
    </row>
    <row r="35" spans="2:8" ht="15.75">
      <c r="B35" s="8"/>
      <c r="C35"/>
      <c r="D35"/>
      <c r="E35" s="731"/>
      <c r="F35" s="731"/>
      <c r="G35" s="731"/>
      <c r="H35" s="731"/>
    </row>
    <row r="36" spans="2:8" ht="15.75">
      <c r="B36"/>
      <c r="C36"/>
      <c r="D36"/>
      <c r="E36" s="731" t="s">
        <v>138</v>
      </c>
      <c r="F36" s="731"/>
      <c r="G36" s="731"/>
      <c r="H36" s="731"/>
    </row>
    <row r="37" spans="2:8" ht="15.75">
      <c r="B37"/>
      <c r="C37"/>
      <c r="D37"/>
      <c r="E37" s="731" t="s">
        <v>142</v>
      </c>
      <c r="F37" s="731"/>
      <c r="G37" s="731"/>
      <c r="H37" s="731"/>
    </row>
    <row r="38" spans="2:8" ht="15.75">
      <c r="B38" s="8"/>
      <c r="C38"/>
      <c r="D38"/>
      <c r="E38" s="731"/>
      <c r="F38" s="731"/>
      <c r="G38" s="731"/>
      <c r="H38" s="731"/>
    </row>
    <row r="39" spans="2:8" ht="15.75">
      <c r="B39"/>
      <c r="C39"/>
      <c r="D39"/>
      <c r="E39" s="731" t="s">
        <v>138</v>
      </c>
      <c r="F39" s="731"/>
      <c r="G39" s="731"/>
      <c r="H39" s="731"/>
    </row>
    <row r="40" spans="2:8" ht="15.75">
      <c r="B40"/>
      <c r="C40"/>
      <c r="D40"/>
      <c r="E40" s="731" t="s">
        <v>143</v>
      </c>
      <c r="F40" s="731"/>
      <c r="G40" s="731"/>
      <c r="H40" s="73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4"/>
      <c r="F46" s="724"/>
      <c r="G46" s="724"/>
      <c r="H46" s="724"/>
    </row>
    <row r="47" spans="2:8" ht="15.75">
      <c r="B47" s="3"/>
      <c r="E47" s="724"/>
      <c r="F47" s="724"/>
      <c r="G47" s="724"/>
      <c r="H47" s="724"/>
    </row>
    <row r="48" spans="5:8" ht="15.75">
      <c r="E48" s="724"/>
      <c r="F48" s="724"/>
      <c r="G48" s="724"/>
      <c r="H48" s="724"/>
    </row>
    <row r="49" spans="5:8" ht="15.75">
      <c r="E49" s="724"/>
      <c r="F49" s="724"/>
      <c r="G49" s="724"/>
      <c r="H49" s="724"/>
    </row>
    <row r="50" spans="2:8" ht="15.75">
      <c r="B50" s="3"/>
      <c r="E50" s="724"/>
      <c r="F50" s="724"/>
      <c r="G50" s="724"/>
      <c r="H50" s="72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8">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c r="D19" s="35">
        <v>19087</v>
      </c>
      <c r="E19" s="35">
        <v>9296</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9296</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19087</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6.072</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6.072</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8681</v>
      </c>
    </row>
    <row r="45" spans="1:5" ht="15.75">
      <c r="A45" s="49" t="str">
        <f>CONCATENATE("Assessed Valuation (",D6-2," budget column)")</f>
        <v>Assessed Valuation (2012 budget column)</v>
      </c>
      <c r="B45" s="27"/>
      <c r="C45" s="18"/>
      <c r="D45" s="18"/>
      <c r="E45" s="51">
        <v>1429886</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5" t="s">
        <v>566</v>
      </c>
      <c r="C6" s="736"/>
      <c r="D6" s="736"/>
      <c r="E6" s="736"/>
      <c r="F6" s="736"/>
      <c r="G6" s="736"/>
      <c r="H6" s="736"/>
      <c r="I6" s="736"/>
      <c r="J6" s="736"/>
      <c r="K6" s="736"/>
      <c r="L6" s="396"/>
    </row>
    <row r="7" spans="1:12" ht="40.5" customHeight="1">
      <c r="A7" s="393"/>
      <c r="B7" s="737" t="s">
        <v>567</v>
      </c>
      <c r="C7" s="738"/>
      <c r="D7" s="738"/>
      <c r="E7" s="738"/>
      <c r="F7" s="738"/>
      <c r="G7" s="738"/>
      <c r="H7" s="738"/>
      <c r="I7" s="738"/>
      <c r="J7" s="738"/>
      <c r="K7" s="738"/>
      <c r="L7" s="393"/>
    </row>
    <row r="8" spans="1:12" ht="14.25">
      <c r="A8" s="393"/>
      <c r="B8" s="739" t="s">
        <v>568</v>
      </c>
      <c r="C8" s="739"/>
      <c r="D8" s="739"/>
      <c r="E8" s="739"/>
      <c r="F8" s="739"/>
      <c r="G8" s="739"/>
      <c r="H8" s="739"/>
      <c r="I8" s="739"/>
      <c r="J8" s="739"/>
      <c r="K8" s="739"/>
      <c r="L8" s="393"/>
    </row>
    <row r="9" spans="1:12" ht="14.25">
      <c r="A9" s="393"/>
      <c r="L9" s="393"/>
    </row>
    <row r="10" spans="1:12" ht="14.25">
      <c r="A10" s="393"/>
      <c r="B10" s="739" t="s">
        <v>569</v>
      </c>
      <c r="C10" s="739"/>
      <c r="D10" s="739"/>
      <c r="E10" s="739"/>
      <c r="F10" s="739"/>
      <c r="G10" s="739"/>
      <c r="H10" s="739"/>
      <c r="I10" s="739"/>
      <c r="J10" s="739"/>
      <c r="K10" s="739"/>
      <c r="L10" s="393"/>
    </row>
    <row r="11" spans="1:12" ht="14.25">
      <c r="A11" s="393"/>
      <c r="B11" s="532"/>
      <c r="C11" s="532"/>
      <c r="D11" s="532"/>
      <c r="E11" s="532"/>
      <c r="F11" s="532"/>
      <c r="G11" s="532"/>
      <c r="H11" s="532"/>
      <c r="I11" s="532"/>
      <c r="J11" s="532"/>
      <c r="K11" s="532"/>
      <c r="L11" s="393"/>
    </row>
    <row r="12" spans="1:12" ht="32.25" customHeight="1">
      <c r="A12" s="393"/>
      <c r="B12" s="740" t="s">
        <v>570</v>
      </c>
      <c r="C12" s="740"/>
      <c r="D12" s="740"/>
      <c r="E12" s="740"/>
      <c r="F12" s="740"/>
      <c r="G12" s="740"/>
      <c r="H12" s="740"/>
      <c r="I12" s="740"/>
      <c r="J12" s="740"/>
      <c r="K12" s="740"/>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1">
        <v>312000000</v>
      </c>
      <c r="G23" s="741"/>
      <c r="L23" s="393"/>
    </row>
    <row r="24" spans="1:12" ht="14.25">
      <c r="A24" s="393"/>
      <c r="L24" s="393"/>
    </row>
    <row r="25" spans="1:12" ht="14.25">
      <c r="A25" s="393"/>
      <c r="C25" s="742">
        <f>F23</f>
        <v>312000000</v>
      </c>
      <c r="D25" s="74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3" t="s">
        <v>567</v>
      </c>
      <c r="C30" s="743"/>
      <c r="D30" s="743"/>
      <c r="E30" s="743"/>
      <c r="F30" s="743"/>
      <c r="G30" s="743"/>
      <c r="H30" s="743"/>
      <c r="I30" s="743"/>
      <c r="J30" s="743"/>
      <c r="K30" s="743"/>
      <c r="L30" s="393"/>
    </row>
    <row r="31" spans="1:12" ht="14.25">
      <c r="A31" s="393"/>
      <c r="B31" s="739" t="s">
        <v>579</v>
      </c>
      <c r="C31" s="739"/>
      <c r="D31" s="739"/>
      <c r="E31" s="739"/>
      <c r="F31" s="739"/>
      <c r="G31" s="739"/>
      <c r="H31" s="739"/>
      <c r="I31" s="739"/>
      <c r="J31" s="739"/>
      <c r="K31" s="739"/>
      <c r="L31" s="393"/>
    </row>
    <row r="32" spans="1:12" ht="14.25">
      <c r="A32" s="393"/>
      <c r="L32" s="393"/>
    </row>
    <row r="33" spans="1:12" ht="14.25">
      <c r="A33" s="393"/>
      <c r="B33" s="739" t="s">
        <v>580</v>
      </c>
      <c r="C33" s="739"/>
      <c r="D33" s="739"/>
      <c r="E33" s="739"/>
      <c r="F33" s="739"/>
      <c r="G33" s="739"/>
      <c r="H33" s="739"/>
      <c r="I33" s="739"/>
      <c r="J33" s="739"/>
      <c r="K33" s="739"/>
      <c r="L33" s="393"/>
    </row>
    <row r="34" spans="1:12" ht="14.25">
      <c r="A34" s="393"/>
      <c r="L34" s="393"/>
    </row>
    <row r="35" spans="1:12" ht="89.25" customHeight="1">
      <c r="A35" s="393"/>
      <c r="B35" s="740" t="s">
        <v>581</v>
      </c>
      <c r="C35" s="744"/>
      <c r="D35" s="744"/>
      <c r="E35" s="744"/>
      <c r="F35" s="744"/>
      <c r="G35" s="744"/>
      <c r="H35" s="744"/>
      <c r="I35" s="744"/>
      <c r="J35" s="744"/>
      <c r="K35" s="744"/>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45">
        <v>312000000</v>
      </c>
      <c r="D41" s="745"/>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46">
        <v>312000000</v>
      </c>
      <c r="C48" s="741"/>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47" t="s">
        <v>589</v>
      </c>
      <c r="H50" s="748"/>
      <c r="I50" s="528" t="s">
        <v>575</v>
      </c>
      <c r="J50" s="413">
        <f>B50/F50</f>
        <v>0.16025641025641027</v>
      </c>
      <c r="K50" s="405"/>
      <c r="L50" s="393"/>
    </row>
    <row r="51" spans="1:15" ht="15" thickBot="1">
      <c r="A51" s="393"/>
      <c r="B51" s="406"/>
      <c r="C51" s="407"/>
      <c r="D51" s="407"/>
      <c r="E51" s="407"/>
      <c r="F51" s="407"/>
      <c r="G51" s="407"/>
      <c r="H51" s="407"/>
      <c r="I51" s="749" t="s">
        <v>590</v>
      </c>
      <c r="J51" s="749"/>
      <c r="K51" s="750"/>
      <c r="L51" s="393"/>
      <c r="O51" s="414"/>
    </row>
    <row r="52" spans="1:12" ht="40.5" customHeight="1">
      <c r="A52" s="393"/>
      <c r="B52" s="743" t="s">
        <v>567</v>
      </c>
      <c r="C52" s="743"/>
      <c r="D52" s="743"/>
      <c r="E52" s="743"/>
      <c r="F52" s="743"/>
      <c r="G52" s="743"/>
      <c r="H52" s="743"/>
      <c r="I52" s="743"/>
      <c r="J52" s="743"/>
      <c r="K52" s="743"/>
      <c r="L52" s="393"/>
    </row>
    <row r="53" spans="1:12" ht="14.25">
      <c r="A53" s="393"/>
      <c r="B53" s="739" t="s">
        <v>591</v>
      </c>
      <c r="C53" s="739"/>
      <c r="D53" s="739"/>
      <c r="E53" s="739"/>
      <c r="F53" s="739"/>
      <c r="G53" s="739"/>
      <c r="H53" s="739"/>
      <c r="I53" s="739"/>
      <c r="J53" s="739"/>
      <c r="K53" s="739"/>
      <c r="L53" s="393"/>
    </row>
    <row r="54" spans="1:12" ht="14.25">
      <c r="A54" s="393"/>
      <c r="B54" s="532"/>
      <c r="C54" s="532"/>
      <c r="D54" s="532"/>
      <c r="E54" s="532"/>
      <c r="F54" s="532"/>
      <c r="G54" s="532"/>
      <c r="H54" s="532"/>
      <c r="I54" s="532"/>
      <c r="J54" s="532"/>
      <c r="K54" s="532"/>
      <c r="L54" s="393"/>
    </row>
    <row r="55" spans="1:12" ht="14.25">
      <c r="A55" s="393"/>
      <c r="B55" s="735" t="s">
        <v>592</v>
      </c>
      <c r="C55" s="735"/>
      <c r="D55" s="735"/>
      <c r="E55" s="735"/>
      <c r="F55" s="735"/>
      <c r="G55" s="735"/>
      <c r="H55" s="735"/>
      <c r="I55" s="735"/>
      <c r="J55" s="735"/>
      <c r="K55" s="735"/>
      <c r="L55" s="393"/>
    </row>
    <row r="56" spans="1:12" ht="15" customHeight="1">
      <c r="A56" s="393"/>
      <c r="L56" s="393"/>
    </row>
    <row r="57" spans="1:24" ht="74.25" customHeight="1">
      <c r="A57" s="393"/>
      <c r="B57" s="740" t="s">
        <v>593</v>
      </c>
      <c r="C57" s="744"/>
      <c r="D57" s="744"/>
      <c r="E57" s="744"/>
      <c r="F57" s="744"/>
      <c r="G57" s="744"/>
      <c r="H57" s="744"/>
      <c r="I57" s="744"/>
      <c r="J57" s="744"/>
      <c r="K57" s="744"/>
      <c r="L57" s="393"/>
      <c r="M57" s="415"/>
      <c r="N57" s="416"/>
      <c r="O57" s="416"/>
      <c r="P57" s="416"/>
      <c r="Q57" s="416"/>
      <c r="R57" s="416"/>
      <c r="S57" s="416"/>
      <c r="T57" s="416"/>
      <c r="U57" s="416"/>
      <c r="V57" s="416"/>
      <c r="W57" s="416"/>
      <c r="X57" s="416"/>
    </row>
    <row r="58" spans="1:24" ht="15" customHeight="1">
      <c r="A58" s="393"/>
      <c r="B58" s="740"/>
      <c r="C58" s="744"/>
      <c r="D58" s="744"/>
      <c r="E58" s="744"/>
      <c r="F58" s="744"/>
      <c r="G58" s="744"/>
      <c r="H58" s="744"/>
      <c r="I58" s="744"/>
      <c r="J58" s="744"/>
      <c r="K58" s="744"/>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1">
        <v>312000000</v>
      </c>
      <c r="D74" s="741"/>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1">
        <v>50000</v>
      </c>
      <c r="D77" s="741"/>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1">
        <v>100000</v>
      </c>
      <c r="D80" s="741"/>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51">
        <f>H80</f>
        <v>11500</v>
      </c>
      <c r="D83" s="751"/>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3" t="s">
        <v>567</v>
      </c>
      <c r="C85" s="743"/>
      <c r="D85" s="743"/>
      <c r="E85" s="743"/>
      <c r="F85" s="743"/>
      <c r="G85" s="743"/>
      <c r="H85" s="743"/>
      <c r="I85" s="743"/>
      <c r="J85" s="743"/>
      <c r="K85" s="743"/>
      <c r="L85" s="393"/>
    </row>
    <row r="86" spans="1:12" ht="14.25">
      <c r="A86" s="393"/>
      <c r="B86" s="735" t="s">
        <v>609</v>
      </c>
      <c r="C86" s="735"/>
      <c r="D86" s="735"/>
      <c r="E86" s="735"/>
      <c r="F86" s="735"/>
      <c r="G86" s="735"/>
      <c r="H86" s="735"/>
      <c r="I86" s="735"/>
      <c r="J86" s="735"/>
      <c r="K86" s="735"/>
      <c r="L86" s="393"/>
    </row>
    <row r="87" spans="1:12" ht="14.25">
      <c r="A87" s="393"/>
      <c r="B87" s="427"/>
      <c r="C87" s="427"/>
      <c r="D87" s="427"/>
      <c r="E87" s="427"/>
      <c r="F87" s="427"/>
      <c r="G87" s="427"/>
      <c r="H87" s="427"/>
      <c r="I87" s="427"/>
      <c r="J87" s="427"/>
      <c r="K87" s="427"/>
      <c r="L87" s="393"/>
    </row>
    <row r="88" spans="1:12" ht="14.25">
      <c r="A88" s="393"/>
      <c r="B88" s="735" t="s">
        <v>610</v>
      </c>
      <c r="C88" s="735"/>
      <c r="D88" s="735"/>
      <c r="E88" s="735"/>
      <c r="F88" s="735"/>
      <c r="G88" s="735"/>
      <c r="H88" s="735"/>
      <c r="I88" s="735"/>
      <c r="J88" s="735"/>
      <c r="K88" s="735"/>
      <c r="L88" s="393"/>
    </row>
    <row r="89" spans="1:12" ht="14.25">
      <c r="A89" s="393"/>
      <c r="B89" s="527"/>
      <c r="C89" s="527"/>
      <c r="D89" s="527"/>
      <c r="E89" s="527"/>
      <c r="F89" s="527"/>
      <c r="G89" s="527"/>
      <c r="H89" s="527"/>
      <c r="I89" s="527"/>
      <c r="J89" s="527"/>
      <c r="K89" s="527"/>
      <c r="L89" s="393"/>
    </row>
    <row r="90" spans="1:12" ht="45" customHeight="1">
      <c r="A90" s="393"/>
      <c r="B90" s="740" t="s">
        <v>611</v>
      </c>
      <c r="C90" s="740"/>
      <c r="D90" s="740"/>
      <c r="E90" s="740"/>
      <c r="F90" s="740"/>
      <c r="G90" s="740"/>
      <c r="H90" s="740"/>
      <c r="I90" s="740"/>
      <c r="J90" s="740"/>
      <c r="K90" s="740"/>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1">
        <v>312000000</v>
      </c>
      <c r="D94" s="741"/>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1">
        <v>50000</v>
      </c>
      <c r="D97" s="741"/>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1">
        <v>2500000</v>
      </c>
      <c r="D100" s="741"/>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51">
        <f>H100</f>
        <v>750000</v>
      </c>
      <c r="D103" s="751"/>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3" t="s">
        <v>567</v>
      </c>
      <c r="C105" s="752"/>
      <c r="D105" s="752"/>
      <c r="E105" s="752"/>
      <c r="F105" s="752"/>
      <c r="G105" s="752"/>
      <c r="H105" s="752"/>
      <c r="I105" s="752"/>
      <c r="J105" s="752"/>
      <c r="K105" s="752"/>
      <c r="L105" s="393"/>
    </row>
    <row r="106" spans="1:12" ht="15" customHeight="1">
      <c r="A106" s="393"/>
      <c r="B106" s="753" t="s">
        <v>613</v>
      </c>
      <c r="C106" s="736"/>
      <c r="D106" s="736"/>
      <c r="E106" s="736"/>
      <c r="F106" s="736"/>
      <c r="G106" s="736"/>
      <c r="H106" s="736"/>
      <c r="I106" s="736"/>
      <c r="J106" s="736"/>
      <c r="K106" s="736"/>
      <c r="L106" s="393"/>
    </row>
    <row r="107" spans="1:12" ht="15" customHeight="1">
      <c r="A107" s="393"/>
      <c r="B107" s="530"/>
      <c r="C107" s="438"/>
      <c r="D107" s="438"/>
      <c r="E107" s="528"/>
      <c r="F107" s="413"/>
      <c r="G107" s="528"/>
      <c r="H107" s="528"/>
      <c r="I107" s="528"/>
      <c r="J107" s="526"/>
      <c r="K107" s="530"/>
      <c r="L107" s="393"/>
    </row>
    <row r="108" spans="1:12" ht="15" customHeight="1">
      <c r="A108" s="393"/>
      <c r="B108" s="753" t="s">
        <v>614</v>
      </c>
      <c r="C108" s="754"/>
      <c r="D108" s="754"/>
      <c r="E108" s="754"/>
      <c r="F108" s="754"/>
      <c r="G108" s="754"/>
      <c r="H108" s="754"/>
      <c r="I108" s="754"/>
      <c r="J108" s="754"/>
      <c r="K108" s="754"/>
      <c r="L108" s="393"/>
    </row>
    <row r="109" spans="1:12" ht="15" customHeight="1">
      <c r="A109" s="393"/>
      <c r="B109" s="530"/>
      <c r="C109" s="438"/>
      <c r="D109" s="438"/>
      <c r="E109" s="528"/>
      <c r="F109" s="413"/>
      <c r="G109" s="528"/>
      <c r="H109" s="528"/>
      <c r="I109" s="528"/>
      <c r="J109" s="526"/>
      <c r="K109" s="530"/>
      <c r="L109" s="393"/>
    </row>
    <row r="110" spans="1:12" ht="59.25" customHeight="1">
      <c r="A110" s="393"/>
      <c r="B110" s="755" t="s">
        <v>615</v>
      </c>
      <c r="C110" s="744"/>
      <c r="D110" s="744"/>
      <c r="E110" s="744"/>
      <c r="F110" s="744"/>
      <c r="G110" s="744"/>
      <c r="H110" s="744"/>
      <c r="I110" s="744"/>
      <c r="J110" s="744"/>
      <c r="K110" s="744"/>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1">
        <v>312000000</v>
      </c>
      <c r="D114" s="741"/>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1">
        <v>50000</v>
      </c>
      <c r="D117" s="741"/>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1">
        <v>2500000</v>
      </c>
      <c r="D120" s="741"/>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51">
        <f>H120</f>
        <v>625000</v>
      </c>
      <c r="D123" s="751"/>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3" t="s">
        <v>567</v>
      </c>
      <c r="C125" s="743"/>
      <c r="D125" s="743"/>
      <c r="E125" s="743"/>
      <c r="F125" s="743"/>
      <c r="G125" s="743"/>
      <c r="H125" s="743"/>
      <c r="I125" s="743"/>
      <c r="J125" s="743"/>
      <c r="K125" s="743"/>
      <c r="L125" s="439"/>
    </row>
    <row r="126" spans="1:12" ht="14.25">
      <c r="A126" s="393"/>
      <c r="B126" s="735" t="s">
        <v>616</v>
      </c>
      <c r="C126" s="735"/>
      <c r="D126" s="735"/>
      <c r="E126" s="735"/>
      <c r="F126" s="735"/>
      <c r="G126" s="735"/>
      <c r="H126" s="735"/>
      <c r="I126" s="735"/>
      <c r="J126" s="735"/>
      <c r="K126" s="735"/>
      <c r="L126" s="439"/>
    </row>
    <row r="127" spans="1:12" ht="14.25">
      <c r="A127" s="393"/>
      <c r="B127" s="532"/>
      <c r="C127" s="532"/>
      <c r="D127" s="532"/>
      <c r="E127" s="532"/>
      <c r="F127" s="532"/>
      <c r="G127" s="532"/>
      <c r="H127" s="532"/>
      <c r="I127" s="532"/>
      <c r="J127" s="532"/>
      <c r="K127" s="532"/>
      <c r="L127" s="439"/>
    </row>
    <row r="128" spans="1:12" ht="14.25">
      <c r="A128" s="393"/>
      <c r="B128" s="735" t="s">
        <v>617</v>
      </c>
      <c r="C128" s="735"/>
      <c r="D128" s="735"/>
      <c r="E128" s="735"/>
      <c r="F128" s="735"/>
      <c r="G128" s="735"/>
      <c r="H128" s="735"/>
      <c r="I128" s="735"/>
      <c r="J128" s="735"/>
      <c r="K128" s="735"/>
      <c r="L128" s="439"/>
    </row>
    <row r="129" spans="1:12" ht="14.25">
      <c r="A129" s="393"/>
      <c r="B129" s="527"/>
      <c r="C129" s="527"/>
      <c r="D129" s="527"/>
      <c r="E129" s="527"/>
      <c r="F129" s="527"/>
      <c r="G129" s="527"/>
      <c r="H129" s="527"/>
      <c r="I129" s="527"/>
      <c r="J129" s="527"/>
      <c r="K129" s="527"/>
      <c r="L129" s="439"/>
    </row>
    <row r="130" spans="1:12" ht="74.25" customHeight="1">
      <c r="A130" s="393"/>
      <c r="B130" s="740" t="s">
        <v>618</v>
      </c>
      <c r="C130" s="740"/>
      <c r="D130" s="740"/>
      <c r="E130" s="740"/>
      <c r="F130" s="740"/>
      <c r="G130" s="740"/>
      <c r="H130" s="740"/>
      <c r="I130" s="740"/>
      <c r="J130" s="740"/>
      <c r="K130" s="740"/>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56" t="s">
        <v>619</v>
      </c>
      <c r="D133" s="756"/>
      <c r="E133" s="403"/>
      <c r="F133" s="528" t="s">
        <v>620</v>
      </c>
      <c r="G133" s="403"/>
      <c r="H133" s="756" t="s">
        <v>605</v>
      </c>
      <c r="I133" s="756"/>
      <c r="J133" s="403"/>
      <c r="K133" s="405"/>
      <c r="L133" s="393"/>
    </row>
    <row r="134" spans="1:12" ht="14.25">
      <c r="A134" s="393"/>
      <c r="B134" s="411" t="s">
        <v>598</v>
      </c>
      <c r="C134" s="741">
        <v>100000</v>
      </c>
      <c r="D134" s="741"/>
      <c r="E134" s="528" t="s">
        <v>28</v>
      </c>
      <c r="F134" s="528">
        <v>0.115</v>
      </c>
      <c r="G134" s="528" t="s">
        <v>575</v>
      </c>
      <c r="H134" s="757">
        <f>C134*F134</f>
        <v>11500</v>
      </c>
      <c r="I134" s="757"/>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8" t="s">
        <v>605</v>
      </c>
      <c r="D136" s="758"/>
      <c r="E136" s="421"/>
      <c r="F136" s="524" t="s">
        <v>621</v>
      </c>
      <c r="G136" s="524"/>
      <c r="H136" s="421"/>
      <c r="I136" s="421"/>
      <c r="J136" s="421" t="s">
        <v>622</v>
      </c>
      <c r="K136" s="422"/>
      <c r="L136" s="393"/>
    </row>
    <row r="137" spans="1:12" ht="14.25">
      <c r="A137" s="393"/>
      <c r="B137" s="411" t="s">
        <v>601</v>
      </c>
      <c r="C137" s="757">
        <f>H134</f>
        <v>11500</v>
      </c>
      <c r="D137" s="757"/>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9" t="s">
        <v>625</v>
      </c>
      <c r="C144" s="760"/>
      <c r="D144" s="760"/>
      <c r="E144" s="760"/>
      <c r="F144" s="760"/>
      <c r="G144" s="760"/>
      <c r="H144" s="760"/>
      <c r="I144" s="760"/>
      <c r="J144" s="760"/>
      <c r="K144" s="761"/>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57" t="s">
        <v>626</v>
      </c>
      <c r="D147" s="757"/>
      <c r="E147" s="528"/>
      <c r="F147" s="457" t="s">
        <v>627</v>
      </c>
      <c r="G147" s="528"/>
      <c r="H147" s="528"/>
      <c r="I147" s="528"/>
      <c r="J147" s="762" t="s">
        <v>628</v>
      </c>
      <c r="K147" s="763"/>
      <c r="L147" s="393"/>
    </row>
    <row r="148" spans="1:12" ht="14.25">
      <c r="A148" s="393"/>
      <c r="B148" s="411"/>
      <c r="C148" s="764">
        <v>52.869</v>
      </c>
      <c r="D148" s="764"/>
      <c r="E148" s="528" t="s">
        <v>28</v>
      </c>
      <c r="F148" s="529">
        <v>312000000</v>
      </c>
      <c r="G148" s="462" t="s">
        <v>576</v>
      </c>
      <c r="H148" s="528">
        <v>1000</v>
      </c>
      <c r="I148" s="528" t="s">
        <v>575</v>
      </c>
      <c r="J148" s="762">
        <f>C148*(F148/1000)</f>
        <v>16495128</v>
      </c>
      <c r="K148" s="765"/>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Sumner Cemetery</v>
      </c>
      <c r="B1" s="60"/>
      <c r="C1" s="60"/>
      <c r="D1" s="60"/>
      <c r="E1" s="60">
        <f>inputPrYr!D6</f>
        <v>2014</v>
      </c>
    </row>
    <row r="2" spans="1:5" ht="15.75">
      <c r="A2" s="60" t="str">
        <f>inputPrYr!D4</f>
        <v>Osborne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1782229</v>
      </c>
    </row>
    <row r="8" spans="1:5" ht="15.75">
      <c r="A8" s="66" t="str">
        <f>CONCATENATE("New Improvements for ",inputPrYr!D6-1,"")</f>
        <v>New Improvements for 2013</v>
      </c>
      <c r="B8" s="67"/>
      <c r="C8" s="67"/>
      <c r="D8" s="67"/>
      <c r="E8" s="68">
        <v>49108</v>
      </c>
    </row>
    <row r="9" spans="1:5" ht="15.75">
      <c r="A9" s="66" t="str">
        <f>CONCATENATE("Personal Property excluding oil, gas, and mobile homes- ",inputPrYr!D6-1,"")</f>
        <v>Personal Property excluding oil, gas, and mobile homes- 2013</v>
      </c>
      <c r="B9" s="67"/>
      <c r="C9" s="67"/>
      <c r="D9" s="67"/>
      <c r="E9" s="68">
        <v>101749</v>
      </c>
    </row>
    <row r="10" spans="1:5" ht="15.75">
      <c r="A10" s="66" t="str">
        <f>CONCATENATE("Property that has changed in use for ",inputPrYr!D6-1,"")</f>
        <v>Property that has changed in use for 2013</v>
      </c>
      <c r="B10" s="67"/>
      <c r="C10" s="67"/>
      <c r="D10" s="67"/>
      <c r="E10" s="68">
        <v>2241</v>
      </c>
    </row>
    <row r="11" spans="1:5" ht="15.75">
      <c r="A11" s="65" t="str">
        <f>CONCATENATE("Personal Property excluding oil, gas, and mobile homes- ",inputPrYr!D6-2,"")</f>
        <v>Personal Property excluding oil, gas, and mobile homes- 2012</v>
      </c>
      <c r="B11" s="40"/>
      <c r="C11" s="40"/>
      <c r="D11" s="40"/>
      <c r="E11" s="68">
        <v>92728</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5.83</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5.83</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1594620</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560</v>
      </c>
    </row>
    <row r="28" spans="1:5" ht="15.75">
      <c r="A28" s="66" t="s">
        <v>15</v>
      </c>
      <c r="B28" s="67"/>
      <c r="C28" s="67"/>
      <c r="D28" s="84"/>
      <c r="E28" s="35">
        <v>1</v>
      </c>
    </row>
    <row r="29" spans="1:5" ht="15.75">
      <c r="A29" s="66" t="s">
        <v>171</v>
      </c>
      <c r="B29" s="67"/>
      <c r="C29" s="67"/>
      <c r="D29" s="84"/>
      <c r="E29" s="35">
        <v>150</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18917</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800</v>
      </c>
      <c r="C3" s="538"/>
      <c r="J3" s="539" t="s">
        <v>713</v>
      </c>
    </row>
    <row r="4" spans="1:10" ht="15.75">
      <c r="A4" s="339"/>
      <c r="B4" s="339"/>
      <c r="C4" s="339"/>
      <c r="D4" s="340"/>
      <c r="E4" s="339"/>
      <c r="F4" s="339"/>
      <c r="J4" s="539" t="s">
        <v>714</v>
      </c>
    </row>
    <row r="5" spans="1:10" ht="15.75">
      <c r="A5" s="537" t="s">
        <v>710</v>
      </c>
      <c r="B5" s="538" t="s">
        <v>792</v>
      </c>
      <c r="C5" s="339"/>
      <c r="D5" s="340"/>
      <c r="E5" s="339"/>
      <c r="F5" s="339"/>
      <c r="J5" s="539" t="s">
        <v>715</v>
      </c>
    </row>
    <row r="6" spans="1:10" ht="15.75">
      <c r="A6" s="339"/>
      <c r="B6" s="339"/>
      <c r="C6" s="339"/>
      <c r="D6" s="340"/>
      <c r="E6" s="339"/>
      <c r="F6" s="339"/>
      <c r="J6" s="539" t="s">
        <v>716</v>
      </c>
    </row>
    <row r="7" spans="1:10" ht="15.75">
      <c r="A7" s="341" t="s">
        <v>320</v>
      </c>
      <c r="B7" s="342" t="s">
        <v>801</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2, 2013</v>
      </c>
      <c r="E8" s="339"/>
      <c r="F8" s="339"/>
      <c r="J8" s="539" t="s">
        <v>718</v>
      </c>
    </row>
    <row r="9" spans="1:10" ht="15.75">
      <c r="A9" s="341" t="s">
        <v>321</v>
      </c>
      <c r="B9" s="342" t="s">
        <v>802</v>
      </c>
      <c r="C9" s="346"/>
      <c r="D9" s="341"/>
      <c r="E9" s="339"/>
      <c r="F9" s="339"/>
      <c r="J9" s="539" t="s">
        <v>719</v>
      </c>
    </row>
    <row r="10" spans="1:10" ht="15.75">
      <c r="A10" s="341"/>
      <c r="B10" s="341"/>
      <c r="C10" s="341"/>
      <c r="D10" s="341"/>
      <c r="E10" s="339"/>
      <c r="F10" s="339"/>
      <c r="J10" s="539" t="s">
        <v>720</v>
      </c>
    </row>
    <row r="11" spans="1:10" ht="15.75">
      <c r="A11" s="341" t="s">
        <v>322</v>
      </c>
      <c r="B11" s="347" t="s">
        <v>803</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804</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41488</v>
      </c>
    </row>
    <row r="21" spans="1:7" ht="15.75">
      <c r="A21" s="341" t="s">
        <v>321</v>
      </c>
      <c r="B21" s="341" t="s">
        <v>326</v>
      </c>
      <c r="C21" s="341"/>
      <c r="D21" s="341"/>
      <c r="E21" s="341"/>
      <c r="G21" s="543">
        <f>IF(B7="","",MONTH(G20))</f>
        <v>8</v>
      </c>
    </row>
    <row r="22" spans="1:7" ht="15.75">
      <c r="A22" s="341"/>
      <c r="B22" s="341"/>
      <c r="C22" s="341"/>
      <c r="D22" s="341"/>
      <c r="E22" s="341"/>
      <c r="G22" s="544">
        <f>IF(B7="","",DAY(G20))</f>
        <v>2</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6">
      <selection activeCell="G24" sqref="G2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7" t="s">
        <v>79</v>
      </c>
      <c r="B2" s="667"/>
      <c r="C2" s="667"/>
      <c r="D2" s="667"/>
      <c r="E2" s="667"/>
      <c r="F2" s="667"/>
      <c r="G2" s="667"/>
    </row>
    <row r="3" spans="1:7" ht="15.75">
      <c r="A3" s="18"/>
      <c r="B3" s="18"/>
      <c r="C3" s="18"/>
      <c r="D3" s="18"/>
      <c r="E3" s="18"/>
      <c r="F3" s="18"/>
      <c r="G3" s="60">
        <f>inputPrYr!D6</f>
        <v>2014</v>
      </c>
    </row>
    <row r="4" spans="1:7" ht="15.75">
      <c r="A4" s="668" t="str">
        <f>CONCATENATE("To the Clerk of ",inputPrYr!D4,", State of Kansas")</f>
        <v>To the Clerk of Osborne County, State of Kansas</v>
      </c>
      <c r="B4" s="668"/>
      <c r="C4" s="668"/>
      <c r="D4" s="668"/>
      <c r="E4" s="668"/>
      <c r="F4" s="668"/>
      <c r="G4" s="668"/>
    </row>
    <row r="5" spans="1:7" ht="15.75">
      <c r="A5" s="97" t="s">
        <v>156</v>
      </c>
      <c r="B5" s="24"/>
      <c r="C5" s="24"/>
      <c r="D5" s="24"/>
      <c r="E5" s="24"/>
      <c r="F5" s="24"/>
      <c r="G5" s="24"/>
    </row>
    <row r="6" spans="1:7" ht="15.75">
      <c r="A6" s="650" t="str">
        <f>inputPrYr!D3</f>
        <v>Sumner Cemetery</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9" t="str">
        <f>CONCATENATE("",G3," Adopted Budget")</f>
        <v>2014 Adopted Budget</v>
      </c>
      <c r="F13" s="670"/>
      <c r="G13" s="671"/>
    </row>
    <row r="14" spans="1:8" ht="15.75">
      <c r="A14" s="17"/>
      <c r="B14" s="18"/>
      <c r="C14" s="18"/>
      <c r="D14" s="40"/>
      <c r="E14" s="101" t="s">
        <v>18</v>
      </c>
      <c r="F14" s="102"/>
      <c r="G14" s="103" t="s">
        <v>19</v>
      </c>
      <c r="H14" s="104"/>
    </row>
    <row r="15" spans="1:7" ht="15.75">
      <c r="A15" s="18"/>
      <c r="B15" s="18"/>
      <c r="C15" s="18"/>
      <c r="D15" s="102" t="s">
        <v>20</v>
      </c>
      <c r="E15" s="105" t="s">
        <v>212</v>
      </c>
      <c r="F15" s="672" t="str">
        <f>CONCATENATE("Amount of ",G3-1," Ad Valorem Tax")</f>
        <v>Amount of 2013 Ad Valorem Tax</v>
      </c>
      <c r="G15" s="103" t="s">
        <v>21</v>
      </c>
    </row>
    <row r="16" spans="1:7" ht="15.75">
      <c r="A16" s="17" t="s">
        <v>22</v>
      </c>
      <c r="B16" s="18"/>
      <c r="C16" s="18"/>
      <c r="D16" s="105" t="s">
        <v>23</v>
      </c>
      <c r="E16" s="105" t="s">
        <v>560</v>
      </c>
      <c r="F16" s="67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16048</v>
      </c>
      <c r="F23" s="558">
        <f>IF(gen!$E$68&lt;&gt;0,gen!$E$68,"  ")</f>
        <v>9622</v>
      </c>
      <c r="G23" s="559">
        <v>5.392</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16048</v>
      </c>
      <c r="F30" s="565">
        <f>SUM(F23:F28)</f>
        <v>9622</v>
      </c>
      <c r="G30" s="566">
        <f>IF(SUM(G23:G28)=0,"",SUM(G23:G28))</f>
        <v>5.392</v>
      </c>
    </row>
    <row r="31" spans="1:7" ht="15.75">
      <c r="A31" s="119" t="s">
        <v>204</v>
      </c>
      <c r="B31" s="67"/>
      <c r="C31" s="116"/>
      <c r="D31" s="131">
        <f>summ!E41</f>
        <v>0</v>
      </c>
      <c r="E31" s="135" t="s">
        <v>199</v>
      </c>
      <c r="F31" s="383" t="str">
        <f>IF(F30&gt;computation!J34,"Yes","No")</f>
        <v>No</v>
      </c>
      <c r="G31" s="384" t="s">
        <v>136</v>
      </c>
    </row>
    <row r="32" spans="1:7" ht="15.75">
      <c r="A32" s="119" t="s">
        <v>219</v>
      </c>
      <c r="B32" s="133"/>
      <c r="C32" s="134"/>
      <c r="D32" s="131">
        <f>IF(Nhood!C35=0,"",Nhood!C35)</f>
      </c>
      <c r="E32" s="382"/>
      <c r="F32" s="69"/>
      <c r="G32" s="140">
        <v>1784751</v>
      </c>
    </row>
    <row r="33" spans="1:7" ht="15.75">
      <c r="A33" s="136" t="s">
        <v>198</v>
      </c>
      <c r="B33" s="67"/>
      <c r="C33" s="116"/>
      <c r="D33" s="131">
        <f>IF(Resolution!E45=0,"",Resolution!E45)</f>
      </c>
      <c r="E33" s="60"/>
      <c r="F33" s="69"/>
      <c r="G33" s="673" t="str">
        <f>CONCATENATE("Nov. 1, ",G3-1," Total Assessed Valuation")</f>
        <v>Nov. 1, 2013 Total Assessed Valuation</v>
      </c>
    </row>
    <row r="34" spans="1:7" ht="15.75">
      <c r="A34" s="20"/>
      <c r="B34" s="69"/>
      <c r="C34" s="18"/>
      <c r="D34" s="137"/>
      <c r="E34" s="60"/>
      <c r="F34" s="69"/>
      <c r="G34" s="674"/>
    </row>
    <row r="35" spans="1:7" ht="15.75">
      <c r="A35" s="17" t="s">
        <v>563</v>
      </c>
      <c r="B35" s="69"/>
      <c r="C35" s="69"/>
      <c r="D35" s="69"/>
      <c r="E35" s="132"/>
      <c r="F35" s="69"/>
      <c r="G35" s="18"/>
    </row>
    <row r="36" spans="1:7" ht="15.75">
      <c r="A36" s="520" t="s">
        <v>805</v>
      </c>
      <c r="B36" s="520"/>
      <c r="C36" s="69"/>
      <c r="D36" s="69"/>
      <c r="E36" s="139"/>
      <c r="F36" s="69"/>
      <c r="G36" s="18"/>
    </row>
    <row r="37" spans="1:7" ht="15.75">
      <c r="A37" s="521" t="s">
        <v>806</v>
      </c>
      <c r="B37" s="521"/>
      <c r="C37" s="69"/>
      <c r="D37" s="69"/>
      <c r="E37" s="391"/>
      <c r="F37" s="69"/>
      <c r="G37" s="69"/>
    </row>
    <row r="38" spans="1:7" ht="15.75">
      <c r="A38" s="20" t="s">
        <v>564</v>
      </c>
      <c r="B38" s="69"/>
      <c r="C38" s="69"/>
      <c r="D38" s="69"/>
      <c r="E38" s="553"/>
      <c r="F38" s="69"/>
      <c r="G38" s="69"/>
    </row>
    <row r="39" spans="1:7" ht="15.75">
      <c r="A39" s="520" t="s">
        <v>807</v>
      </c>
      <c r="B39" s="520"/>
      <c r="C39" s="69"/>
      <c r="D39" s="69" t="s">
        <v>729</v>
      </c>
      <c r="E39" s="554"/>
      <c r="F39" s="554"/>
      <c r="G39" s="69"/>
    </row>
    <row r="40" spans="1:7" ht="15.75">
      <c r="A40" s="521" t="s">
        <v>808</v>
      </c>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5"/>
      <c r="B49" s="676"/>
      <c r="C49" s="18"/>
      <c r="D49" s="69" t="s">
        <v>729</v>
      </c>
      <c r="E49" s="69"/>
      <c r="F49" s="69"/>
      <c r="G49" s="69"/>
    </row>
    <row r="50" spans="1:7" ht="15.75">
      <c r="A50" s="24" t="s">
        <v>30</v>
      </c>
      <c r="B50" s="24"/>
      <c r="C50" s="18"/>
      <c r="D50" s="677" t="s">
        <v>29</v>
      </c>
      <c r="E50" s="678"/>
      <c r="F50" s="678"/>
      <c r="G50" s="678"/>
    </row>
    <row r="51" spans="1:7" ht="15.75">
      <c r="A51" s="679"/>
      <c r="B51" s="679"/>
      <c r="C51" s="679"/>
      <c r="D51" s="679"/>
      <c r="E51" s="679"/>
      <c r="F51" s="679"/>
      <c r="G51" s="679"/>
    </row>
    <row r="52" spans="1:7" ht="15.75">
      <c r="A52" s="680"/>
      <c r="B52" s="680"/>
      <c r="C52" s="680"/>
      <c r="D52" s="680"/>
      <c r="E52" s="680"/>
      <c r="F52" s="680"/>
      <c r="G52" s="680"/>
    </row>
    <row r="53" spans="1:7" ht="15.75">
      <c r="A53" s="16"/>
      <c r="B53" s="16"/>
      <c r="C53" s="16"/>
      <c r="D53" s="16"/>
      <c r="E53" s="16"/>
      <c r="F53" s="16"/>
      <c r="G53" s="666"/>
    </row>
    <row r="54" spans="1:7" ht="15.75">
      <c r="A54" s="16"/>
      <c r="B54" s="16"/>
      <c r="C54" s="16"/>
      <c r="D54" s="16"/>
      <c r="E54" s="16"/>
      <c r="F54" s="16"/>
      <c r="G54" s="666"/>
    </row>
    <row r="55" spans="1:7" ht="15.75">
      <c r="A55" s="16"/>
      <c r="B55" s="16"/>
      <c r="C55" s="16"/>
      <c r="D55" s="16"/>
      <c r="E55" s="16"/>
      <c r="F55" s="16"/>
      <c r="G55" s="666"/>
    </row>
    <row r="56" spans="1:7" ht="15.75">
      <c r="A56" s="16"/>
      <c r="B56" s="16"/>
      <c r="C56" s="16"/>
      <c r="D56" s="16"/>
      <c r="E56" s="16"/>
      <c r="F56" s="16"/>
      <c r="G56" s="666"/>
    </row>
    <row r="57" spans="1:7" ht="15.75">
      <c r="A57" s="16"/>
      <c r="B57" s="16"/>
      <c r="C57" s="16"/>
      <c r="D57" s="142"/>
      <c r="E57" s="16"/>
      <c r="F57" s="16"/>
      <c r="G57" s="666"/>
    </row>
    <row r="58" ht="15.75">
      <c r="G58" s="666"/>
    </row>
    <row r="59" ht="15.75">
      <c r="G59" s="666"/>
    </row>
    <row r="60" ht="15.75">
      <c r="G60" s="666"/>
    </row>
    <row r="61" ht="15.75">
      <c r="G61" s="666"/>
    </row>
    <row r="62" ht="15.75">
      <c r="G62" s="666"/>
    </row>
    <row r="63" ht="15.75">
      <c r="G63" s="666"/>
    </row>
    <row r="64" ht="15.75">
      <c r="G64" s="666"/>
    </row>
    <row r="65" ht="15.75">
      <c r="G65" s="66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4">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Sumner Cemetery</v>
      </c>
      <c r="D1" s="18"/>
      <c r="E1" s="18"/>
      <c r="F1" s="18"/>
      <c r="G1" s="18"/>
      <c r="H1" s="18"/>
      <c r="I1" s="18"/>
      <c r="J1" s="18">
        <f>inputPrYr!D6</f>
        <v>2014</v>
      </c>
    </row>
    <row r="2" spans="1:10" ht="15.75" customHeight="1">
      <c r="A2" s="18"/>
      <c r="B2" s="18"/>
      <c r="C2" s="18" t="str">
        <f>inputPrYr!D4</f>
        <v>Osborne County</v>
      </c>
      <c r="D2" s="18"/>
      <c r="E2" s="18"/>
      <c r="F2" s="18"/>
      <c r="G2" s="18"/>
      <c r="H2" s="18"/>
      <c r="I2" s="18"/>
      <c r="J2" s="18"/>
    </row>
    <row r="3" spans="1:10" ht="15.75">
      <c r="A3" s="652" t="str">
        <f>CONCATENATE("Computation to Determine Limit for ",J1,"")</f>
        <v>Computation to Determine Limit for 2014</v>
      </c>
      <c r="B3" s="667"/>
      <c r="C3" s="667"/>
      <c r="D3" s="667"/>
      <c r="E3" s="667"/>
      <c r="F3" s="667"/>
      <c r="G3" s="667"/>
      <c r="H3" s="667"/>
      <c r="I3" s="667"/>
      <c r="J3" s="667"/>
    </row>
    <row r="4" spans="1:10" ht="15.75">
      <c r="A4" s="18"/>
      <c r="B4" s="18"/>
      <c r="C4" s="18"/>
      <c r="D4" s="18"/>
      <c r="E4" s="667"/>
      <c r="F4" s="667"/>
      <c r="G4" s="667"/>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9296</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9296</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49108</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101749</v>
      </c>
      <c r="F14" s="146"/>
      <c r="G14" s="37"/>
      <c r="H14" s="37"/>
      <c r="I14" s="149"/>
      <c r="J14" s="37"/>
    </row>
    <row r="15" spans="1:10" ht="15.75">
      <c r="A15" s="145"/>
      <c r="B15" s="18" t="s">
        <v>99</v>
      </c>
      <c r="C15" s="18" t="str">
        <f>CONCATENATE("Personal Property ",J1-2,"")</f>
        <v>Personal Property 2012</v>
      </c>
      <c r="D15" s="145" t="s">
        <v>95</v>
      </c>
      <c r="E15" s="41">
        <f>inputOth!E11</f>
        <v>92728</v>
      </c>
      <c r="F15" s="146"/>
      <c r="G15" s="149"/>
      <c r="H15" s="149"/>
      <c r="I15" s="37"/>
      <c r="J15" s="37"/>
    </row>
    <row r="16" spans="1:10" ht="15.75">
      <c r="A16" s="145"/>
      <c r="B16" s="18" t="s">
        <v>100</v>
      </c>
      <c r="C16" s="18" t="s">
        <v>114</v>
      </c>
      <c r="D16" s="18"/>
      <c r="E16" s="37"/>
      <c r="F16" s="37" t="s">
        <v>92</v>
      </c>
      <c r="G16" s="148">
        <f>IF(E14&gt;E15,E14-E15,0)</f>
        <v>9021</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2241</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60370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1782229</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1721859</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0.0350609428530443</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326</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9622</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9622</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Sumner Cemetery</v>
      </c>
      <c r="C1" s="18"/>
      <c r="D1" s="18"/>
      <c r="E1" s="18"/>
      <c r="F1" s="18"/>
      <c r="G1" s="18"/>
      <c r="H1" s="18"/>
      <c r="I1" s="155"/>
      <c r="J1" s="18"/>
    </row>
    <row r="2" spans="1:10" ht="15.75">
      <c r="A2" s="18"/>
      <c r="B2" s="18" t="str">
        <f>inputPrYr!D4</f>
        <v>Osborne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69"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9296</v>
      </c>
      <c r="D11" s="123">
        <f>IF(E17=0,0,E17-D12-D13-D14)</f>
        <v>560</v>
      </c>
      <c r="E11" s="123">
        <f>IF(E19=0,0,E19-E12-E13-E14)</f>
        <v>1</v>
      </c>
      <c r="F11" s="123">
        <f>IF(E21=0,0,E21-F12-F13-F14)</f>
        <v>150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9296</v>
      </c>
      <c r="D15" s="130">
        <f>SUM(D11:D14)</f>
        <v>560</v>
      </c>
      <c r="E15" s="130">
        <f>SUM(E11:E14)</f>
        <v>1</v>
      </c>
      <c r="F15" s="203">
        <f>SUM(F11:F14)</f>
        <v>150</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560</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150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0.060240963855421686</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0.00010757314974182444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0.016135972461273667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Sumner Cemetery</v>
      </c>
      <c r="B2" s="165"/>
      <c r="C2" s="18"/>
      <c r="D2" s="18"/>
      <c r="E2" s="155"/>
      <c r="F2" s="18"/>
    </row>
    <row r="3" spans="1:6" ht="15.75">
      <c r="A3" s="165" t="str">
        <f>inputPrYr!D4</f>
        <v>Osborne County</v>
      </c>
      <c r="B3" s="165"/>
      <c r="C3" s="18"/>
      <c r="D3" s="18"/>
      <c r="E3" s="155"/>
      <c r="F3" s="18"/>
    </row>
    <row r="4" spans="1:6" ht="15.75">
      <c r="A4" s="156"/>
      <c r="B4" s="18"/>
      <c r="C4" s="18"/>
      <c r="D4" s="18"/>
      <c r="E4" s="155"/>
      <c r="F4" s="18"/>
    </row>
    <row r="5" spans="1:6" ht="15" customHeight="1">
      <c r="A5" s="667" t="s">
        <v>145</v>
      </c>
      <c r="B5" s="667"/>
      <c r="C5" s="667"/>
      <c r="D5" s="667"/>
      <c r="E5" s="667"/>
      <c r="F5" s="667"/>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2013-07-18T20:20:57Z</cp:lastPrinted>
  <dcterms:created xsi:type="dcterms:W3CDTF">1999-08-06T13:59:57Z</dcterms:created>
  <dcterms:modified xsi:type="dcterms:W3CDTF">2013-11-19T20:12:56Z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