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16"/>
  </bookViews>
  <sheets>
    <sheet name="instructions" sheetId="1" state="hidden" r:id="rId1"/>
    <sheet name="inputPrYr" sheetId="2" state="hidden" r:id="rId2"/>
    <sheet name="inputOth" sheetId="3" state="hidden" r:id="rId3"/>
    <sheet name="inputBudSum" sheetId="4" state="hidden" r:id="rId4"/>
    <sheet name="cert" sheetId="5" r:id="rId5"/>
    <sheet name="computation" sheetId="6" r:id="rId6"/>
    <sheet name="mvalloc" sheetId="7" r:id="rId7"/>
    <sheet name="transfers" sheetId="8" r:id="rId8"/>
    <sheet name="TransferFunds" sheetId="9" state="hidden" r:id="rId9"/>
    <sheet name="debt" sheetId="10" r:id="rId10"/>
    <sheet name="gen" sheetId="11" r:id="rId11"/>
    <sheet name="DebtService" sheetId="12" state="hidden" r:id="rId12"/>
    <sheet name="levypage8" sheetId="13" state="hidden" r:id="rId13"/>
    <sheet name="nolevypage9" sheetId="14" state="hidden" r:id="rId14"/>
    <sheet name="NonBud" sheetId="15" state="hidden" r:id="rId15"/>
    <sheet name="NonBudFunds" sheetId="16" state="hidden" r:id="rId16"/>
    <sheet name="summ" sheetId="17" r:id="rId17"/>
    <sheet name="Nhood" sheetId="18" state="hidden" r:id="rId18"/>
    <sheet name="Resolution" sheetId="19" state="hidden" r:id="rId19"/>
    <sheet name="Tab A" sheetId="20" state="hidden" r:id="rId20"/>
    <sheet name="Tab B" sheetId="21" state="hidden" r:id="rId21"/>
    <sheet name="Tab C" sheetId="22" state="hidden" r:id="rId22"/>
    <sheet name="Tab D" sheetId="23" state="hidden" r:id="rId23"/>
    <sheet name="Tab E" sheetId="24" state="hidden" r:id="rId24"/>
    <sheet name="Mill Rate Computation" sheetId="25" state="hidden" r:id="rId25"/>
    <sheet name="Helpful Links" sheetId="26" state="hidden" r:id="rId26"/>
    <sheet name="legend" sheetId="27" state="hidden" r:id="rId27"/>
  </sheets>
  <externalReferences>
    <externalReference r:id="rId30"/>
  </externalReference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'summ'!$A$1:$I$42</definedName>
  </definedNames>
  <calcPr fullCalcOnLoad="1"/>
</workbook>
</file>

<file path=xl/sharedStrings.xml><?xml version="1.0" encoding="utf-8"?>
<sst xmlns="http://schemas.openxmlformats.org/spreadsheetml/2006/main" count="1184" uniqueCount="803">
  <si>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</si>
  <si>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</si>
  <si>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</si>
  <si>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</si>
  <si>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</si>
  <si>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</si>
  <si>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</si>
  <si>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</si>
  <si>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</si>
  <si>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</si>
  <si>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</si>
  <si>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</si>
  <si>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</si>
  <si>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</si>
  <si>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</si>
  <si>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</si>
  <si>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</si>
  <si>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</si>
  <si>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</si>
  <si>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</si>
  <si>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</si>
  <si>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</si>
  <si>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</si>
  <si>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</si>
  <si>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</si>
  <si>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</si>
  <si>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</si>
  <si>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</si>
  <si>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</si>
  <si>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</si>
  <si>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</si>
  <si>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</si>
  <si>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</si>
  <si>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</si>
  <si>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</si>
  <si>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</si>
  <si>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</si>
  <si>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</si>
  <si>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</si>
  <si>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</si>
  <si>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</si>
  <si>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</si>
  <si>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</si>
  <si>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</si>
  <si>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</si>
  <si>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</si>
  <si>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</si>
  <si>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</si>
  <si>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</si>
  <si>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</si>
  <si>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</si>
  <si>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</si>
  <si>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</si>
  <si>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</si>
  <si>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</si>
  <si>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</si>
  <si>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</si>
  <si>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</si>
  <si>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</si>
  <si>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</si>
  <si>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</si>
  <si>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</si>
  <si>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</si>
  <si>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</si>
  <si>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</si>
  <si>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</si>
  <si>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</si>
  <si>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</si>
  <si>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</si>
  <si>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</si>
  <si>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</si>
  <si>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</si>
  <si>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</si>
  <si>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</si>
  <si>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</si>
  <si>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</si>
  <si>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</si>
  <si>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</si>
  <si>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</si>
  <si>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</si>
  <si>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</si>
  <si>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</si>
  <si>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</si>
  <si>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</si>
  <si>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</si>
  <si>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</si>
  <si>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</si>
  <si>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</si>
  <si>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</si>
  <si>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</si>
  <si>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</si>
  <si>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</si>
  <si>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</si>
  <si>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</si>
  <si>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</si>
  <si>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</si>
  <si>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</si>
  <si>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</si>
  <si>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</si>
  <si>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</si>
  <si>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</si>
  <si>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</si>
  <si>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</si>
  <si>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</si>
  <si>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</si>
  <si>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</si>
  <si>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</si>
  <si>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</si>
  <si>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</si>
  <si>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</si>
  <si>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</si>
  <si>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</si>
  <si>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</si>
  <si>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</si>
  <si>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</si>
  <si>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</si>
  <si>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</si>
  <si>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</si>
  <si>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</si>
  <si>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</si>
  <si>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</si>
  <si>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</si>
  <si>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</si>
  <si>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</si>
  <si>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</si>
  <si>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</si>
  <si>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</si>
  <si>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</si>
  <si>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</si>
  <si>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</si>
  <si>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</si>
  <si>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</si>
  <si>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</si>
  <si>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</si>
  <si>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</si>
  <si>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</si>
  <si>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</si>
  <si>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</si>
  <si>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</si>
  <si>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</si>
  <si>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</si>
  <si>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</si>
  <si>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</si>
  <si>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</si>
  <si>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</si>
  <si>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</si>
  <si>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</si>
  <si>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</si>
  <si>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</si>
  <si>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</si>
  <si>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</si>
  <si>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</si>
  <si>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</si>
  <si>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</si>
  <si>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</si>
  <si>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</si>
  <si>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</si>
  <si>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</si>
  <si>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</si>
  <si>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</si>
  <si>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</si>
  <si>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</si>
  <si>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</si>
  <si>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</si>
  <si>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</si>
  <si>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</si>
  <si>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</si>
  <si>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</si>
  <si>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</si>
  <si>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</si>
  <si>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</si>
  <si>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</si>
  <si>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</si>
  <si>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</si>
  <si>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</si>
  <si>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</si>
  <si>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</si>
  <si>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</si>
  <si>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</si>
  <si>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</si>
  <si>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</si>
  <si>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</si>
  <si>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</si>
  <si>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</si>
  <si>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</si>
  <si>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</si>
  <si>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</si>
  <si>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</si>
  <si>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</si>
  <si>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</si>
  <si>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</si>
  <si>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</si>
  <si>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</si>
  <si>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</si>
  <si>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</si>
  <si>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</si>
  <si>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</si>
  <si>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</si>
  <si>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</si>
  <si>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</si>
  <si>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</si>
  <si>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</si>
  <si>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</si>
  <si>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</si>
  <si>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</si>
  <si>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</si>
  <si>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</si>
  <si>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</si>
  <si>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</si>
  <si>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</si>
  <si>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</si>
  <si>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</si>
  <si>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</si>
  <si>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</si>
  <si>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</si>
  <si>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</si>
  <si>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</si>
  <si>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</si>
  <si>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</si>
  <si>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</si>
  <si>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</si>
  <si>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</si>
  <si>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</si>
  <si>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</si>
  <si>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</si>
  <si>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</si>
  <si>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</si>
  <si>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</si>
  <si>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</si>
  <si>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</si>
  <si>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</si>
  <si>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</si>
  <si>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</si>
  <si>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</si>
  <si>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</si>
  <si>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</si>
  <si>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</si>
  <si>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</si>
  <si>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</si>
  <si>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</si>
  <si>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</si>
  <si>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</si>
  <si>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</si>
  <si>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</si>
  <si>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</si>
  <si>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</si>
  <si>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</si>
  <si>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</si>
  <si>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</si>
  <si>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</si>
  <si>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</si>
  <si>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</si>
  <si>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</si>
  <si>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</si>
  <si>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</si>
  <si>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</si>
  <si>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</si>
  <si>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</si>
  <si>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</si>
  <si>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</si>
  <si>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</si>
  <si>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</si>
  <si>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</si>
  <si>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</si>
  <si>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</si>
  <si>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</si>
  <si>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</si>
  <si>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</si>
  <si>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</si>
  <si>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</si>
  <si>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</si>
  <si>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</si>
  <si>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</si>
  <si>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</si>
  <si>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</si>
  <si>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</si>
  <si>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</si>
  <si>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</si>
  <si>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</si>
  <si>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</si>
  <si>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</si>
  <si>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</si>
  <si>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</si>
  <si>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</si>
  <si>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</si>
  <si>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</si>
  <si>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</si>
  <si>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</si>
  <si>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</si>
  <si>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</si>
  <si>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</si>
  <si>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</si>
  <si>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</si>
  <si>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</si>
  <si>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</si>
  <si>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</si>
  <si>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</si>
  <si>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</si>
  <si>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</si>
  <si>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</si>
  <si>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</si>
  <si>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</si>
  <si>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</si>
  <si>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</si>
  <si>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</si>
  <si>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</si>
  <si>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</si>
  <si>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</si>
  <si>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</si>
  <si>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</si>
  <si>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</si>
  <si>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</si>
  <si>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</si>
  <si>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</si>
  <si>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</si>
  <si>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</si>
  <si>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</si>
  <si>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</si>
  <si>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</si>
  <si>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</si>
  <si>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</si>
  <si>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</si>
  <si>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</si>
  <si>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</si>
  <si>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</si>
  <si>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</si>
  <si>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</si>
  <si>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</si>
  <si>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</si>
  <si>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</si>
  <si>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</si>
  <si>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</si>
  <si>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</si>
  <si>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</si>
  <si>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</si>
  <si>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</si>
  <si>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</si>
  <si>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</si>
  <si>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</si>
  <si>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</si>
  <si>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</si>
  <si>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</si>
  <si>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</si>
  <si>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</si>
  <si>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</si>
  <si>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</si>
  <si>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</si>
  <si>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</si>
  <si>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</si>
  <si>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</si>
  <si>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</si>
  <si>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</si>
  <si>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</si>
  <si>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</si>
  <si>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</si>
  <si>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</si>
  <si>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</si>
  <si>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</si>
  <si>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</si>
  <si>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</si>
  <si>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</si>
  <si>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</si>
  <si>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</si>
  <si>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</si>
  <si>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</si>
  <si>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</si>
  <si>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</si>
  <si>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</si>
  <si>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</si>
  <si>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</si>
  <si>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</si>
  <si>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</si>
  <si>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</si>
  <si>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</si>
  <si>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</si>
  <si>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</si>
  <si>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</si>
  <si>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</si>
  <si>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</si>
  <si>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</si>
  <si>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</si>
  <si>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</si>
  <si>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</si>
  <si>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</si>
  <si>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</si>
  <si>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</si>
  <si>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</si>
  <si>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</si>
  <si>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</si>
  <si>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</si>
  <si>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</si>
  <si>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</si>
  <si>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</si>
  <si>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</si>
  <si>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</si>
  <si>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</si>
  <si>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</si>
  <si>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</si>
  <si>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</si>
  <si>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</si>
  <si>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</si>
  <si>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</si>
  <si>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</si>
  <si>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</si>
  <si>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</si>
  <si>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</si>
  <si>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</si>
  <si>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</si>
  <si>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</si>
  <si>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</si>
  <si>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</si>
  <si>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</si>
  <si>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</si>
  <si>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</si>
  <si>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</si>
  <si>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</si>
  <si>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</si>
  <si>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</si>
  <si>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</si>
  <si>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</si>
  <si>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</si>
  <si>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</si>
  <si>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</si>
  <si>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</si>
  <si>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</si>
  <si>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</si>
  <si>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</si>
  <si>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</si>
  <si>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</si>
  <si>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</si>
  <si>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</si>
  <si>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</si>
  <si>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</si>
  <si>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</si>
  <si>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</si>
  <si>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</si>
  <si>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</si>
  <si>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</si>
  <si>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</si>
  <si>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</si>
  <si>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</si>
  <si>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</si>
  <si>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</si>
  <si>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</si>
  <si>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</si>
  <si>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</si>
  <si>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</si>
  <si>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</si>
  <si>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</si>
  <si>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</si>
  <si>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</si>
  <si>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</si>
  <si>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</si>
  <si>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</si>
  <si>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</si>
  <si>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</si>
  <si>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</si>
  <si>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</si>
  <si>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</si>
  <si>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</si>
  <si>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</si>
  <si>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</si>
  <si>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</si>
  <si>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</si>
  <si>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</si>
  <si>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</si>
  <si>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</si>
  <si>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</si>
  <si>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</si>
  <si>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</si>
  <si>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</si>
  <si>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</si>
  <si>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</si>
  <si>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</si>
  <si>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</si>
  <si>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</si>
  <si>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</si>
  <si>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</si>
  <si>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</si>
  <si>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</si>
  <si>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</si>
  <si>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</si>
  <si>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</si>
  <si>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</si>
  <si>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</si>
  <si>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</si>
  <si>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</si>
  <si>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</si>
  <si>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</si>
  <si>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</si>
  <si>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</si>
  <si>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</si>
  <si>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</si>
  <si>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</si>
  <si>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</si>
  <si>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</si>
  <si>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</si>
  <si>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</si>
  <si>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</si>
  <si>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</si>
  <si>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</si>
  <si>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</si>
  <si>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</si>
  <si>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</si>
  <si>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</si>
  <si>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</si>
  <si>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</si>
  <si>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</si>
  <si>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</si>
  <si>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</si>
  <si>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</si>
  <si>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</si>
  <si>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</si>
  <si>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</si>
  <si>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</si>
  <si>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</si>
  <si>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</si>
  <si>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</si>
  <si>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</si>
  <si>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</si>
  <si>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</si>
  <si>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</si>
  <si>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</si>
  <si>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</si>
  <si>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</si>
  <si>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</si>
  <si>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</si>
  <si>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</si>
  <si>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</si>
  <si>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</si>
  <si>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</si>
  <si>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</si>
  <si>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</si>
  <si>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</si>
  <si>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</si>
  <si>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</si>
  <si>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</si>
  <si>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</si>
  <si>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</si>
  <si>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</si>
  <si>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</si>
  <si>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</si>
  <si>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</si>
  <si>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</si>
  <si>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</si>
  <si>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</si>
  <si>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</si>
  <si>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</si>
  <si>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</si>
  <si>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</si>
  <si>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</si>
  <si>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</si>
  <si>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</si>
  <si>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</si>
  <si>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</si>
  <si>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</si>
  <si>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</si>
  <si>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</si>
  <si>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</si>
  <si>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</si>
  <si>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</si>
  <si>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</si>
  <si>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</si>
  <si>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</si>
  <si>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</si>
  <si>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</si>
  <si>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</si>
  <si>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</si>
  <si>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</si>
  <si>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</si>
  <si>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</si>
  <si>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</si>
  <si>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</si>
  <si>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</si>
  <si>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</si>
  <si>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</si>
  <si>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</si>
  <si>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</si>
  <si>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</si>
  <si>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</si>
  <si>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</si>
  <si>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</si>
  <si>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</si>
  <si>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</si>
  <si>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</si>
  <si>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</si>
  <si>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</si>
  <si>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</si>
  <si>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</si>
  <si>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</si>
  <si>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</si>
  <si>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</si>
  <si>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</si>
  <si>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</si>
  <si>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</si>
  <si>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</si>
  <si>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</si>
  <si>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</si>
  <si>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</si>
  <si>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</si>
  <si>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</si>
  <si>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</si>
  <si>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</si>
  <si>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</si>
  <si>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</si>
  <si>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</si>
  <si>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</si>
  <si>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</si>
  <si>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</si>
  <si>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</si>
  <si>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</si>
  <si>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</si>
  <si>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</si>
  <si>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</si>
  <si>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</si>
  <si>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</si>
  <si>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</si>
  <si>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</si>
  <si>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</si>
  <si>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</si>
  <si>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</si>
  <si>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</si>
  <si>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</si>
  <si>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</si>
  <si>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</si>
  <si>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</si>
  <si>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</si>
  <si>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</si>
  <si>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</si>
  <si>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</si>
  <si>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</si>
  <si>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</si>
  <si>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</si>
  <si>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</si>
  <si>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</si>
  <si>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</si>
  <si>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</si>
  <si>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</si>
  <si>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</si>
  <si>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</si>
  <si>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</si>
  <si>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</si>
  <si>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</si>
  <si>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</si>
  <si>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</si>
  <si>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</si>
  <si>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</si>
  <si>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</si>
  <si>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</si>
  <si>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</si>
  <si>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</si>
  <si>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</si>
  <si>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</si>
  <si>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</si>
  <si>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</si>
  <si>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</si>
  <si>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</si>
  <si>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</si>
  <si>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</si>
  <si>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</si>
  <si>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</si>
  <si>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</si>
  <si>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</si>
  <si>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</si>
  <si>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</si>
  <si>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</si>
  <si>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</si>
  <si>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</si>
  <si>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</si>
  <si>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</si>
  <si>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</si>
  <si>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</si>
  <si>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</si>
  <si>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</si>
  <si>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</si>
  <si>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</si>
  <si>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</si>
  <si>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</si>
  <si>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</si>
  <si>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</si>
  <si>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</si>
  <si>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</si>
  <si>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</si>
  <si>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</si>
  <si>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</si>
  <si>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</si>
  <si>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</si>
  <si>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</si>
  <si>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</si>
  <si>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</si>
  <si>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</si>
  <si>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</si>
  <si>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</si>
  <si>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</si>
  <si>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</si>
  <si>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</si>
  <si>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</si>
  <si>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</si>
  <si>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</si>
  <si>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</si>
  <si>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</si>
  <si>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</si>
  <si>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</si>
  <si>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</si>
  <si>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</si>
  <si>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</si>
  <si>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</si>
  <si>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</si>
  <si>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</si>
  <si>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</si>
  <si>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</si>
  <si>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</si>
  <si>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</si>
  <si>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</si>
  <si>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</si>
  <si>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</si>
  <si>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</si>
  <si>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</si>
  <si>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</si>
  <si>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</si>
  <si>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</si>
  <si>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</si>
  <si>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</si>
  <si>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</si>
  <si>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</si>
  <si>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</si>
  <si>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</si>
  <si>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</si>
  <si>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</si>
  <si>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</si>
  <si>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</si>
  <si>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</si>
  <si>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</si>
  <si>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</si>
  <si>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</si>
  <si>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</si>
  <si>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</si>
  <si>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</si>
  <si>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</si>
  <si>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</si>
  <si>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</si>
  <si>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</si>
  <si>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</si>
  <si>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</si>
  <si>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</si>
  <si>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</si>
  <si>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</si>
  <si>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</si>
  <si>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</si>
  <si>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</si>
  <si>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</si>
  <si>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</si>
  <si>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</si>
  <si>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</si>
  <si>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</si>
  <si>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</si>
  <si>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</si>
  <si>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</si>
  <si>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</si>
  <si>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</si>
  <si>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</si>
  <si>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</si>
  <si>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</si>
  <si>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</si>
  <si>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</si>
  <si>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</si>
  <si>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</si>
  <si>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</si>
  <si>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</si>
  <si>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</si>
  <si>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</si>
  <si>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</si>
  <si>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</si>
  <si>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</si>
  <si>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</si>
  <si>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</si>
  <si>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</si>
  <si>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</si>
  <si>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</si>
  <si>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</si>
  <si>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</si>
  <si>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</si>
  <si>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</si>
  <si>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</si>
  <si>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</si>
  <si>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Sewer District No 4</t>
  </si>
  <si>
    <t>Geary County</t>
  </si>
  <si>
    <t>Rebecca Bossemeyer</t>
  </si>
  <si>
    <t>Pottberg, Gassman &amp; Hoffman, Chtd.</t>
  </si>
  <si>
    <t>Junction City, KS 66441</t>
  </si>
  <si>
    <t>pottberg@pgh-cpa.com</t>
  </si>
  <si>
    <t>19-27a09</t>
  </si>
  <si>
    <t>Use Tax</t>
  </si>
  <si>
    <t>Salaries</t>
  </si>
  <si>
    <t>Electricity</t>
  </si>
  <si>
    <t>Tools, Parts &amp; Supplies</t>
  </si>
  <si>
    <t>Contractual</t>
  </si>
  <si>
    <t>Capital Outlay</t>
  </si>
  <si>
    <t>Water Dist No 2 &amp; 3</t>
  </si>
  <si>
    <t>816 N Washington Street</t>
  </si>
  <si>
    <t>the Geary County Office Building</t>
  </si>
  <si>
    <t>August 19, 2013</t>
  </si>
  <si>
    <t>11:00 a.m.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</si>
</sst>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00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6">
    <xf numFmtId="0" fontId="0" fillId="0" borderId="0" xfId="0" applyAlignment="1">
      <alignment/>
    </xf>
    <xf numFmtId="0" fontId="0" fillId="0" borderId="0" xfId="0" applyAlignment="1">
      <alignment vertical="top"/>
    </xf>
    <xf numFmtId="0" fontId="10" fillId="0" borderId="0" xfId="469">
      <alignment/>
      <protection/>
    </xf>
    <xf numFmtId="0" fontId="7" fillId="0" borderId="0" xfId="469" applyFont="1">
      <alignment/>
      <protection/>
    </xf>
    <xf numFmtId="0" fontId="7" fillId="0" borderId="0" xfId="469" applyFont="1" applyAlignment="1">
      <alignment horizontal="left" indent="1"/>
      <protection/>
    </xf>
    <xf numFmtId="0" fontId="16" fillId="0" borderId="0" xfId="469"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9" applyFont="1" applyAlignment="1">
      <alignment horizontal="center"/>
      <protection/>
    </xf>
    <xf numFmtId="0" fontId="4" fillId="0" borderId="0" xfId="469" applyFont="1" applyAlignment="1">
      <alignment horizontal="right"/>
      <protection/>
    </xf>
    <xf numFmtId="0" fontId="7" fillId="22" borderId="0" xfId="469"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8"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8" applyFont="1" applyFill="1" applyAlignment="1" applyProtection="1">
      <alignment horizontal="centerContinuous" vertical="center"/>
      <protection/>
    </xf>
    <xf numFmtId="0" fontId="4" fillId="4" borderId="0" xfId="468" applyFont="1" applyFill="1" applyAlignment="1" applyProtection="1">
      <alignment vertical="center"/>
      <protection/>
    </xf>
    <xf numFmtId="0" fontId="4" fillId="0" borderId="0" xfId="468" applyFont="1" applyAlignment="1">
      <alignment vertical="center"/>
      <protection/>
    </xf>
    <xf numFmtId="0" fontId="4" fillId="4" borderId="11" xfId="0" applyFont="1" applyFill="1" applyBorder="1" applyAlignment="1" applyProtection="1">
      <alignment vertical="center"/>
      <protection/>
    </xf>
    <xf numFmtId="0" fontId="4" fillId="4" borderId="26" xfId="468" applyFont="1" applyFill="1" applyBorder="1" applyAlignment="1" applyProtection="1">
      <alignment vertical="center"/>
      <protection/>
    </xf>
    <xf numFmtId="0" fontId="4" fillId="4" borderId="0" xfId="468"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12" xfId="0" applyFont="1" applyFill="1" applyBorder="1" applyAlignment="1" applyProtection="1">
      <alignment vertical="center"/>
      <protection/>
    </xf>
    <xf numFmtId="0" fontId="5" fillId="4" borderId="12" xfId="0" applyFont="1" applyFill="1" applyBorder="1" applyAlignment="1" applyProtection="1">
      <alignment horizontal="left" vertical="center"/>
      <protection/>
    </xf>
    <xf numFmtId="37" fontId="4" fillId="4" borderId="12" xfId="0" applyNumberFormat="1" applyFont="1" applyFill="1" applyBorder="1" applyAlignment="1" applyProtection="1">
      <alignment horizontal="right" vertical="center"/>
      <protection/>
    </xf>
    <xf numFmtId="0" fontId="4" fillId="4" borderId="12" xfId="0" applyFont="1" applyFill="1" applyBorder="1" applyAlignment="1" applyProtection="1">
      <alignment horizontal="right" vertical="center"/>
      <protection locked="0"/>
    </xf>
    <xf numFmtId="0" fontId="4" fillId="27" borderId="13" xfId="0" applyFont="1" applyFill="1" applyBorder="1" applyAlignment="1" applyProtection="1">
      <alignment vertical="center"/>
      <protection/>
    </xf>
    <xf numFmtId="0" fontId="4" fillId="27" borderId="13" xfId="0" applyFont="1" applyFill="1" applyBorder="1" applyAlignment="1" applyProtection="1">
      <alignment vertical="center"/>
      <protection/>
    </xf>
    <xf numFmtId="0" fontId="4" fillId="27" borderId="14" xfId="0" applyFont="1" applyFill="1" applyBorder="1" applyAlignment="1" applyProtection="1">
      <alignment vertical="center"/>
      <protection/>
    </xf>
    <xf numFmtId="37" fontId="4" fillId="22" borderId="21" xfId="467" applyNumberFormat="1" applyFont="1" applyFill="1" applyBorder="1" applyProtection="1">
      <alignment/>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8"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9"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gen" xfId="467"/>
    <cellStyle name="Normal_lpform" xfId="468"/>
    <cellStyle name="Normal_Township 07" xfId="469"/>
    <cellStyle name="Note" xfId="470"/>
    <cellStyle name="Output" xfId="471"/>
    <cellStyle name="Percent" xfId="472"/>
    <cellStyle name="Title" xfId="473"/>
    <cellStyle name="Total" xfId="474"/>
    <cellStyle name="Warning Text" xfId="475"/>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ebecca\AppData\Local\Microsoft\Windows\Temporary%20Internet%20Files\Content.Outlook\QAQ7CEC0\Water%20SpecialDistri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Funds"/>
      <sheetName val="debt"/>
      <sheetName val="gen"/>
      <sheetName val="DebtService"/>
      <sheetName val="levypage8"/>
      <sheetName val="nolevypage9"/>
      <sheetName val="NonBud"/>
      <sheetName val="NonBudFunds"/>
      <sheetName val="Chart1"/>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
        <row r="3">
          <cell r="D3" t="str">
            <v>Water Dist No 2 &amp; 3</v>
          </cell>
        </row>
      </sheetData>
      <sheetData sheetId="17">
        <row r="17">
          <cell r="B17">
            <v>13051</v>
          </cell>
          <cell r="C17">
            <v>9.959</v>
          </cell>
          <cell r="D17">
            <v>14230</v>
          </cell>
          <cell r="E17">
            <v>9.874</v>
          </cell>
          <cell r="F17">
            <v>21845</v>
          </cell>
          <cell r="G17">
            <v>6035</v>
          </cell>
          <cell r="H17">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ottberg@pgh-cpa.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E4" sqref="E4"/>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1" t="s">
        <v>745</v>
      </c>
    </row>
    <row r="39" ht="65.25" customHeight="1">
      <c r="A39" s="612" t="s">
        <v>741</v>
      </c>
    </row>
    <row r="40" ht="64.5" customHeight="1">
      <c r="A40" s="612"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14" t="s">
        <v>750</v>
      </c>
    </row>
    <row r="63" ht="70.5" customHeight="1">
      <c r="A63" s="514" t="s">
        <v>751</v>
      </c>
    </row>
    <row r="64" ht="53.25" customHeight="1">
      <c r="A64" s="612"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14" t="s">
        <v>755</v>
      </c>
    </row>
    <row r="81" s="315" customFormat="1" ht="103.5" customHeight="1">
      <c r="A81" s="514" t="s">
        <v>756</v>
      </c>
    </row>
    <row r="82" s="315" customFormat="1" ht="138.75" customHeight="1">
      <c r="A82" s="315" t="s">
        <v>757</v>
      </c>
    </row>
    <row r="83" s="315" customFormat="1" ht="72" customHeight="1">
      <c r="A83" s="315" t="s">
        <v>758</v>
      </c>
    </row>
    <row r="84" s="315" customFormat="1" ht="72" customHeight="1">
      <c r="A84" s="614" t="s">
        <v>759</v>
      </c>
    </row>
    <row r="86" s="315" customFormat="1" ht="33.75" customHeight="1">
      <c r="A86" s="315" t="s">
        <v>545</v>
      </c>
    </row>
    <row r="88" ht="21.75" customHeight="1">
      <c r="A88" s="315" t="s">
        <v>546</v>
      </c>
    </row>
    <row r="90" ht="49.5" customHeight="1">
      <c r="A90" s="514" t="s">
        <v>692</v>
      </c>
    </row>
    <row r="91" ht="81.75" customHeight="1">
      <c r="A91" s="514" t="s">
        <v>693</v>
      </c>
    </row>
    <row r="92" ht="97.5" customHeight="1">
      <c r="A92" s="514"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0" sqref="F4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Sewer District No 4</v>
      </c>
      <c r="C1" s="18"/>
      <c r="D1" s="18"/>
      <c r="E1" s="18"/>
      <c r="F1" s="18"/>
      <c r="G1" s="18"/>
      <c r="H1" s="18"/>
      <c r="I1" s="18"/>
      <c r="J1" s="18"/>
      <c r="K1" s="18"/>
      <c r="L1" s="182">
        <f>inputPrYr!D6</f>
        <v>2014</v>
      </c>
    </row>
    <row r="2" spans="2:12" ht="15.75">
      <c r="B2" s="18" t="str">
        <f>inputPrYr!$D$4</f>
        <v>Geary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726</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3"/>
      <c r="H20" s="204"/>
      <c r="I20" s="203">
        <f>SUM(I18:I19)</f>
        <v>0</v>
      </c>
      <c r="J20" s="203">
        <f>SUM(J18:J19)</f>
        <v>0</v>
      </c>
      <c r="K20" s="203">
        <f>SUM(K18:K19)</f>
        <v>0</v>
      </c>
      <c r="L20" s="203">
        <f>SUM(L18:L19)</f>
        <v>0</v>
      </c>
    </row>
    <row r="21" spans="2:12" s="185" customFormat="1" ht="15.75">
      <c r="B21" s="207" t="s">
        <v>86</v>
      </c>
      <c r="C21" s="541"/>
      <c r="D21" s="544"/>
      <c r="E21" s="545"/>
      <c r="F21" s="208">
        <f>SUM(F12+F16+F20)</f>
        <v>0</v>
      </c>
      <c r="G21" s="542"/>
      <c r="H21" s="544"/>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8" t="s">
        <v>80</v>
      </c>
      <c r="C23" s="643"/>
      <c r="D23" s="643"/>
      <c r="E23" s="643"/>
      <c r="F23" s="643"/>
      <c r="G23" s="643"/>
      <c r="H23" s="643"/>
      <c r="I23" s="64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46"/>
      <c r="C41" s="218"/>
      <c r="D41" s="218"/>
      <c r="E41" s="547"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25">
      <selection activeCell="F40" sqref="F40"/>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Sewer District No 4</v>
      </c>
      <c r="C1" s="222"/>
      <c r="D1" s="18"/>
      <c r="E1" s="182"/>
    </row>
    <row r="2" spans="2:5" ht="15.75">
      <c r="B2" s="18" t="str">
        <f>inputPrYr!D4</f>
        <v>Geary County</v>
      </c>
      <c r="C2" s="222"/>
      <c r="D2" s="18"/>
      <c r="E2" s="138"/>
    </row>
    <row r="3" spans="2:6" ht="15.75">
      <c r="B3" s="490" t="s">
        <v>81</v>
      </c>
      <c r="C3" s="222"/>
      <c r="D3" s="18"/>
      <c r="E3" s="182">
        <f>inputPrYr!$D$6</f>
        <v>2014</v>
      </c>
      <c r="F3" s="562"/>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2012</v>
      </c>
      <c r="D6" s="373" t="str">
        <f>CONCATENATE("Estimate for ",E3-1,"")</f>
        <v>Estimate for 2013</v>
      </c>
      <c r="E6" s="224" t="str">
        <f>CONCATENATE("Year for ",E3,"")</f>
        <v>Year for 2014</v>
      </c>
    </row>
    <row r="7" spans="2:5" ht="15.75">
      <c r="B7" s="119" t="s">
        <v>125</v>
      </c>
      <c r="C7" s="367">
        <v>531</v>
      </c>
      <c r="D7" s="374">
        <f>C62</f>
        <v>382</v>
      </c>
      <c r="E7" s="45">
        <f>D62</f>
        <v>2000</v>
      </c>
    </row>
    <row r="8" spans="2:5" ht="15.75">
      <c r="B8" s="226" t="s">
        <v>127</v>
      </c>
      <c r="C8" s="227"/>
      <c r="D8" s="227"/>
      <c r="E8" s="123"/>
    </row>
    <row r="9" spans="2:5" ht="15.75">
      <c r="B9" s="119" t="s">
        <v>33</v>
      </c>
      <c r="C9" s="367">
        <v>5501</v>
      </c>
      <c r="D9" s="367">
        <v>5509</v>
      </c>
      <c r="E9" s="128" t="s">
        <v>28</v>
      </c>
    </row>
    <row r="10" spans="2:5" ht="15.75">
      <c r="B10" s="119" t="s">
        <v>34</v>
      </c>
      <c r="C10" s="367">
        <v>79</v>
      </c>
      <c r="D10" s="367">
        <v>100</v>
      </c>
      <c r="E10" s="198">
        <v>100</v>
      </c>
    </row>
    <row r="11" spans="2:5" ht="15.75">
      <c r="B11" s="119" t="s">
        <v>35</v>
      </c>
      <c r="C11" s="367">
        <v>922</v>
      </c>
      <c r="D11" s="367">
        <v>355</v>
      </c>
      <c r="E11" s="45">
        <f>mvalloc!D11</f>
        <v>921</v>
      </c>
    </row>
    <row r="12" spans="2:5" ht="15.75">
      <c r="B12" s="119" t="s">
        <v>36</v>
      </c>
      <c r="C12" s="367">
        <v>21</v>
      </c>
      <c r="D12" s="367">
        <v>29</v>
      </c>
      <c r="E12" s="45">
        <f>mvalloc!E11</f>
        <v>21</v>
      </c>
    </row>
    <row r="13" spans="2:5" ht="15.75">
      <c r="B13" s="227" t="s">
        <v>109</v>
      </c>
      <c r="C13" s="367"/>
      <c r="D13" s="367"/>
      <c r="E13" s="45">
        <f>mvalloc!F11</f>
        <v>0</v>
      </c>
    </row>
    <row r="14" spans="2:5" ht="15.75">
      <c r="B14" s="227" t="s">
        <v>159</v>
      </c>
      <c r="C14" s="367"/>
      <c r="D14" s="367"/>
      <c r="E14" s="45">
        <f>inputOth!E30</f>
        <v>0</v>
      </c>
    </row>
    <row r="15" spans="2:5" ht="15.75">
      <c r="B15" s="228" t="s">
        <v>37</v>
      </c>
      <c r="C15" s="367"/>
      <c r="D15" s="367"/>
      <c r="E15" s="198"/>
    </row>
    <row r="16" spans="2:5" ht="15.75">
      <c r="B16" s="228" t="s">
        <v>792</v>
      </c>
      <c r="C16" s="367">
        <v>6781</v>
      </c>
      <c r="D16" s="367">
        <v>7500</v>
      </c>
      <c r="E16" s="198">
        <v>7500</v>
      </c>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13304</v>
      </c>
      <c r="D33" s="369">
        <f>SUM(D9:D31)</f>
        <v>13493</v>
      </c>
      <c r="E33" s="234">
        <f>SUM(E9:E31)</f>
        <v>8542</v>
      </c>
    </row>
    <row r="34" spans="2:5" ht="15.75">
      <c r="B34" s="233" t="s">
        <v>40</v>
      </c>
      <c r="C34" s="369">
        <f>C7+C33</f>
        <v>13835</v>
      </c>
      <c r="D34" s="369">
        <f>D7+D33</f>
        <v>13875</v>
      </c>
      <c r="E34" s="234">
        <f>E7+E33</f>
        <v>10542</v>
      </c>
    </row>
    <row r="35" spans="2:5" ht="15.75">
      <c r="B35" s="119" t="s">
        <v>41</v>
      </c>
      <c r="C35" s="121"/>
      <c r="D35" s="121"/>
      <c r="E35" s="36"/>
    </row>
    <row r="36" spans="2:5" ht="15.75">
      <c r="B36" s="632" t="s">
        <v>793</v>
      </c>
      <c r="C36" s="367">
        <v>5430</v>
      </c>
      <c r="D36" s="198">
        <v>5500</v>
      </c>
      <c r="E36" s="198">
        <v>6000</v>
      </c>
    </row>
    <row r="37" spans="2:5" ht="15.75">
      <c r="B37" s="632" t="s">
        <v>794</v>
      </c>
      <c r="C37" s="367">
        <v>1451</v>
      </c>
      <c r="D37" s="198">
        <v>1500</v>
      </c>
      <c r="E37" s="198">
        <v>2000</v>
      </c>
    </row>
    <row r="38" spans="2:5" ht="15.75">
      <c r="B38" s="632" t="s">
        <v>795</v>
      </c>
      <c r="C38" s="367">
        <v>890</v>
      </c>
      <c r="D38" s="198">
        <v>900</v>
      </c>
      <c r="E38" s="198">
        <v>1000</v>
      </c>
    </row>
    <row r="39" spans="2:5" ht="15.75">
      <c r="B39" s="632" t="s">
        <v>796</v>
      </c>
      <c r="C39" s="367">
        <v>5682</v>
      </c>
      <c r="D39" s="198">
        <v>3975</v>
      </c>
      <c r="E39" s="198">
        <v>5000</v>
      </c>
    </row>
    <row r="40" spans="2:5" ht="15.75">
      <c r="B40" s="632" t="s">
        <v>797</v>
      </c>
      <c r="C40" s="367"/>
      <c r="D40" s="198"/>
      <c r="E40" s="198">
        <v>2345</v>
      </c>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8" t="str">
        <f>CONCATENATE("Desired Carryover Into ",E3+1,"")</f>
        <v>Desired Carryover Into 2015</v>
      </c>
      <c r="H52" s="689"/>
      <c r="I52" s="689"/>
      <c r="J52" s="690"/>
      <c r="K52" s="16"/>
    </row>
    <row r="53" spans="2:11" ht="15.75">
      <c r="B53" s="228"/>
      <c r="C53" s="367"/>
      <c r="D53" s="367"/>
      <c r="E53" s="198"/>
      <c r="F53" s="16"/>
      <c r="G53" s="475"/>
      <c r="H53" s="69"/>
      <c r="I53" s="482"/>
      <c r="J53" s="474"/>
      <c r="K53" s="16"/>
    </row>
    <row r="54" spans="2:11" ht="15.75">
      <c r="B54" s="228"/>
      <c r="C54" s="367"/>
      <c r="D54" s="367"/>
      <c r="E54" s="198"/>
      <c r="F54" s="16"/>
      <c r="G54" s="473" t="s">
        <v>665</v>
      </c>
      <c r="H54" s="482"/>
      <c r="I54" s="482"/>
      <c r="J54" s="472">
        <v>0</v>
      </c>
      <c r="K54" s="16"/>
    </row>
    <row r="55" spans="2:11" ht="15.75">
      <c r="B55" s="228"/>
      <c r="C55" s="367"/>
      <c r="D55" s="367"/>
      <c r="E55" s="198"/>
      <c r="F55" s="16"/>
      <c r="G55" s="475" t="s">
        <v>666</v>
      </c>
      <c r="H55" s="69"/>
      <c r="I55" s="69"/>
      <c r="J55" s="574">
        <f>IF(J54=0,"",ROUND((J54+E68-G67)/inputOth!E7*1000,3)-G72)</f>
      </c>
      <c r="K55" s="16"/>
    </row>
    <row r="56" spans="2:11" ht="15.75">
      <c r="B56" s="228"/>
      <c r="C56" s="367"/>
      <c r="D56" s="367"/>
      <c r="E56" s="198"/>
      <c r="F56" s="16"/>
      <c r="G56" s="575" t="str">
        <f>CONCATENATE("",E3," Tot Exp/Non-Appr Must Be:")</f>
        <v>2014 Tot Exp/Non-Appr Must Be:</v>
      </c>
      <c r="H56" s="564"/>
      <c r="I56" s="563"/>
      <c r="J56" s="576">
        <f>IF(J54&gt;0,IF(E65&lt;E34,IF(J54=G67,E65,((J54-G67)*(1-D67))+E34),E65+(J54-G67)),0)</f>
        <v>0</v>
      </c>
      <c r="K56" s="16"/>
    </row>
    <row r="57" spans="2:11" ht="15.75">
      <c r="B57" s="228"/>
      <c r="C57" s="367"/>
      <c r="D57" s="367"/>
      <c r="E57" s="198"/>
      <c r="F57" s="16"/>
      <c r="G57" s="577" t="s">
        <v>732</v>
      </c>
      <c r="H57" s="578"/>
      <c r="I57" s="578"/>
      <c r="J57" s="579">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8" t="str">
        <f>CONCATENATE("Projected Carryover Into ",E3+1,"")</f>
        <v>Projected Carryover Into 2015</v>
      </c>
      <c r="H59" s="689"/>
      <c r="I59" s="689"/>
      <c r="J59" s="690"/>
      <c r="K59" s="16"/>
    </row>
    <row r="60" spans="2:11" ht="15.75">
      <c r="B60" s="121" t="s">
        <v>562</v>
      </c>
      <c r="C60" s="368">
        <f>IF(C61*0.1&lt;C59,"Exceed 10% Rule","")</f>
      </c>
      <c r="D60" s="368">
        <f>IF(D61*0.1&lt;D59,"Exceed 10% Rule","")</f>
      </c>
      <c r="E60" s="387">
        <f>IF(E61*0.1&lt;E59,"Exceed 10% Rule","")</f>
      </c>
      <c r="F60" s="16"/>
      <c r="G60" s="494"/>
      <c r="H60" s="69"/>
      <c r="I60" s="69"/>
      <c r="J60" s="483"/>
      <c r="K60" s="16"/>
    </row>
    <row r="61" spans="2:11" ht="15.75">
      <c r="B61" s="233" t="s">
        <v>42</v>
      </c>
      <c r="C61" s="369">
        <f>SUM(C36:C59)</f>
        <v>13453</v>
      </c>
      <c r="D61" s="369">
        <f>SUM(D36:D59)</f>
        <v>11875</v>
      </c>
      <c r="E61" s="234">
        <f>SUM(E36:E59)</f>
        <v>16345</v>
      </c>
      <c r="F61" s="16"/>
      <c r="G61" s="489">
        <f>D62</f>
        <v>2000</v>
      </c>
      <c r="H61" s="488" t="str">
        <f>CONCATENATE("",E3-1," Ending Cash Balance (est.)")</f>
        <v>2013 Ending Cash Balance (est.)</v>
      </c>
      <c r="I61" s="580"/>
      <c r="J61" s="483"/>
      <c r="K61" s="16"/>
    </row>
    <row r="62" spans="2:11" ht="15.75">
      <c r="B62" s="119" t="s">
        <v>126</v>
      </c>
      <c r="C62" s="370">
        <f>C34-C61</f>
        <v>382</v>
      </c>
      <c r="D62" s="370">
        <f>D34-D61</f>
        <v>2000</v>
      </c>
      <c r="E62" s="128" t="s">
        <v>28</v>
      </c>
      <c r="F62" s="16"/>
      <c r="G62" s="489">
        <f>E33</f>
        <v>8542</v>
      </c>
      <c r="H62" s="482" t="str">
        <f>CONCATENATE("",E3," Non-AV Receipts (est.)")</f>
        <v>2014 Non-AV Receipts (est.)</v>
      </c>
      <c r="I62" s="580"/>
      <c r="J62" s="483"/>
      <c r="K62" s="16"/>
    </row>
    <row r="63" spans="2:11" ht="15.75">
      <c r="B63" s="138" t="str">
        <f>CONCATENATE("",E3-2,"/",E3-1," Budget Authority Amount:")</f>
        <v>2012/2013 Budget Authority Amount:</v>
      </c>
      <c r="C63" s="120">
        <f>inputOth!B41</f>
        <v>12717</v>
      </c>
      <c r="D63" s="388">
        <f>inputPrYr!D19</f>
        <v>17493</v>
      </c>
      <c r="E63" s="128" t="s">
        <v>28</v>
      </c>
      <c r="F63" s="251"/>
      <c r="G63" s="481">
        <f>IF(E67&gt;0,E66,E68)</f>
        <v>5803</v>
      </c>
      <c r="H63" s="482" t="str">
        <f>CONCATENATE("",E3," Ad Valorem Tax (est.)")</f>
        <v>2014 Ad Valorem Tax (est.)</v>
      </c>
      <c r="I63" s="482"/>
      <c r="J63" s="483"/>
      <c r="K63" s="581" t="str">
        <f>IF(G63=E68,"","Note: Does not include Delinquent Taxes")</f>
        <v>Note: Does not include Delinquent Taxes</v>
      </c>
    </row>
    <row r="64" spans="2:11" ht="15.75">
      <c r="B64" s="138"/>
      <c r="C64" s="684" t="s">
        <v>659</v>
      </c>
      <c r="D64" s="685"/>
      <c r="E64" s="35"/>
      <c r="F64" s="582">
        <f>IF(E61/0.95-E61&lt;E64,"Exceeds 5%","")</f>
      </c>
      <c r="G64" s="489">
        <f>SUM(G61:G63)</f>
        <v>16345</v>
      </c>
      <c r="H64" s="482" t="str">
        <f>CONCATENATE("Total ",E3," Resources Available")</f>
        <v>Total 2014 Resources Available</v>
      </c>
      <c r="I64" s="580"/>
      <c r="J64" s="483"/>
      <c r="K64" s="16"/>
    </row>
    <row r="65" spans="2:11" ht="15.75">
      <c r="B65" s="386" t="str">
        <f>CONCATENATE(C81,"     ",D81)</f>
        <v>See Tab A     </v>
      </c>
      <c r="C65" s="686" t="s">
        <v>660</v>
      </c>
      <c r="D65" s="687"/>
      <c r="E65" s="45">
        <f>E61+E64</f>
        <v>16345</v>
      </c>
      <c r="F65" s="16"/>
      <c r="G65" s="480"/>
      <c r="H65" s="482"/>
      <c r="I65" s="482"/>
      <c r="J65" s="483"/>
      <c r="K65" s="16"/>
    </row>
    <row r="66" spans="2:11" ht="15.75">
      <c r="B66" s="386" t="str">
        <f>CONCATENATE(C82,"     ",D82)</f>
        <v>     </v>
      </c>
      <c r="C66" s="493"/>
      <c r="D66" s="492" t="s">
        <v>661</v>
      </c>
      <c r="E66" s="42">
        <f>IF(E65-E34&gt;0,E65-E34,0)</f>
        <v>5803</v>
      </c>
      <c r="F66" s="16"/>
      <c r="G66" s="481">
        <f>ROUND(C61*0.05+C61,0)</f>
        <v>14126</v>
      </c>
      <c r="H66" s="482" t="str">
        <f>CONCATENATE("Less ",E3-2," Expenditures + 5%")</f>
        <v>Less 2012 Expenditures + 5%</v>
      </c>
      <c r="I66" s="580"/>
      <c r="J66" s="483"/>
      <c r="K66" s="16"/>
    </row>
    <row r="67" spans="2:11" ht="15.75">
      <c r="B67" s="155"/>
      <c r="C67" s="491" t="s">
        <v>662</v>
      </c>
      <c r="D67" s="592">
        <f>inputOth!$E$35</f>
        <v>0.04</v>
      </c>
      <c r="E67" s="45">
        <f>ROUND(IF(D67&gt;0,(E66*D67),0),0)</f>
        <v>232</v>
      </c>
      <c r="F67" s="16"/>
      <c r="G67" s="479">
        <f>G64-G66</f>
        <v>2219</v>
      </c>
      <c r="H67" s="478" t="str">
        <f>CONCATENATE("Projected ",E3+1," Carryover (est.)")</f>
        <v>Projected 2015 Carryover (est.)</v>
      </c>
      <c r="I67" s="583"/>
      <c r="J67" s="477"/>
      <c r="K67" s="16"/>
    </row>
    <row r="68" spans="2:11" ht="15.75">
      <c r="B68" s="18"/>
      <c r="C68" s="682" t="str">
        <f>CONCATENATE("Amount of  ",$E$3-1," Ad Valorem Tax")</f>
        <v>Amount of  2013 Ad Valorem Tax</v>
      </c>
      <c r="D68" s="683"/>
      <c r="E68" s="42">
        <f>E66+E67</f>
        <v>6035</v>
      </c>
      <c r="F68" s="16"/>
      <c r="G68" s="16"/>
      <c r="H68" s="16"/>
      <c r="I68" s="16"/>
      <c r="J68" s="16"/>
      <c r="K68" s="16"/>
    </row>
    <row r="69" spans="2:11" ht="15.75">
      <c r="B69" s="18"/>
      <c r="C69" s="18"/>
      <c r="D69" s="18"/>
      <c r="E69" s="18"/>
      <c r="F69" s="16"/>
      <c r="G69" s="679" t="s">
        <v>733</v>
      </c>
      <c r="H69" s="680"/>
      <c r="I69" s="680"/>
      <c r="J69" s="681"/>
      <c r="K69" s="16"/>
    </row>
    <row r="70" spans="2:11" ht="15.75">
      <c r="B70" s="18"/>
      <c r="C70" s="18"/>
      <c r="D70" s="18"/>
      <c r="E70" s="18"/>
      <c r="F70" s="16"/>
      <c r="G70" s="584"/>
      <c r="H70" s="488"/>
      <c r="I70" s="565"/>
      <c r="J70" s="585"/>
      <c r="K70" s="16"/>
    </row>
    <row r="71" spans="2:11" ht="15.75">
      <c r="B71" s="18"/>
      <c r="C71" s="18"/>
      <c r="D71" s="18"/>
      <c r="E71" s="18"/>
      <c r="F71" s="16"/>
      <c r="G71" s="586">
        <f>summ!H21</f>
        <v>10</v>
      </c>
      <c r="H71" s="488" t="str">
        <f>CONCATENATE("",E3," Fund Mill Rate")</f>
        <v>2014 Fund Mill Rate</v>
      </c>
      <c r="I71" s="565"/>
      <c r="J71" s="585"/>
      <c r="K71" s="16"/>
    </row>
    <row r="72" spans="2:11" ht="15.75">
      <c r="B72" s="18"/>
      <c r="C72" s="18"/>
      <c r="D72" s="18"/>
      <c r="E72" s="18"/>
      <c r="F72" s="587"/>
      <c r="G72" s="588">
        <f>summ!E21</f>
        <v>9.874</v>
      </c>
      <c r="H72" s="488" t="str">
        <f>CONCATENATE("",E3-1," Fund Mill Rate")</f>
        <v>2013 Fund Mill Rate</v>
      </c>
      <c r="I72" s="565"/>
      <c r="J72" s="585"/>
      <c r="K72" s="16"/>
    </row>
    <row r="73" spans="2:11" ht="15.75">
      <c r="B73" s="18"/>
      <c r="C73" s="222"/>
      <c r="D73" s="222"/>
      <c r="E73" s="222"/>
      <c r="F73" s="571"/>
      <c r="G73" s="589">
        <f>summ!H24</f>
        <v>20</v>
      </c>
      <c r="H73" s="488" t="str">
        <f>CONCATENATE("Total ",E3," Mill Rate")</f>
        <v>Total 2014 Mill Rate</v>
      </c>
      <c r="I73" s="565"/>
      <c r="J73" s="585"/>
      <c r="K73" s="16"/>
    </row>
    <row r="74" spans="2:11" ht="15.75">
      <c r="B74" s="138"/>
      <c r="C74" s="18" t="s">
        <v>228</v>
      </c>
      <c r="D74" s="18"/>
      <c r="E74" s="18"/>
      <c r="F74" s="571"/>
      <c r="G74" s="588">
        <f>summ!E24</f>
        <v>19.748</v>
      </c>
      <c r="H74" s="590" t="str">
        <f>CONCATENATE("Total ",E3-1," Mill Rate")</f>
        <v>Total 2013 Mill Rate</v>
      </c>
      <c r="I74" s="591"/>
      <c r="J74" s="78"/>
      <c r="K74" s="16"/>
    </row>
    <row r="76" ht="15.75">
      <c r="B76" s="61"/>
    </row>
    <row r="81" spans="3:4" ht="15.75" hidden="1">
      <c r="C81" s="95" t="str">
        <f>IF(C61&gt;C63,"See Tab A","")</f>
        <v>See Tab A</v>
      </c>
      <c r="D81" s="95">
        <f>IF(D61&gt;D63,"See Tab C","")</f>
      </c>
    </row>
    <row r="82" spans="3:4" ht="15.75" hidden="1">
      <c r="C82" s="95">
        <f>IF(C62&lt;0,"See Tab B","")</f>
      </c>
      <c r="D82" s="95">
        <f>IF(D62&lt;0,"See Tab D","")</f>
      </c>
    </row>
  </sheetData>
  <sheetProtection/>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E4" sqref="E4"/>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Sewer District No 4</v>
      </c>
      <c r="C1" s="18"/>
      <c r="D1" s="18"/>
      <c r="E1" s="236">
        <f>inputPrYr!$D$6</f>
        <v>2014</v>
      </c>
    </row>
    <row r="2" spans="2:5" ht="15.75">
      <c r="B2" s="18"/>
      <c r="C2" s="18"/>
      <c r="D2" s="18"/>
      <c r="E2" s="155"/>
    </row>
    <row r="3" spans="2:6" ht="15.75">
      <c r="B3" s="490" t="s">
        <v>81</v>
      </c>
      <c r="C3" s="222"/>
      <c r="D3" s="222"/>
      <c r="E3" s="237"/>
      <c r="F3" s="562"/>
    </row>
    <row r="4" spans="2:5" ht="15.75">
      <c r="B4" s="43" t="s">
        <v>32</v>
      </c>
      <c r="C4" s="371" t="s">
        <v>247</v>
      </c>
      <c r="D4" s="372" t="s">
        <v>248</v>
      </c>
      <c r="E4" s="223" t="s">
        <v>245</v>
      </c>
    </row>
    <row r="5" spans="2:5" ht="15.75">
      <c r="B5" s="390" t="s">
        <v>272</v>
      </c>
      <c r="C5" s="379" t="str">
        <f>CONCATENATE("Actual for ",E1-2,"")</f>
        <v>Actual for 2012</v>
      </c>
      <c r="D5" s="379" t="str">
        <f>CONCATENATE("Estimate for ",E1-1,"")</f>
        <v>Estimate for 2013</v>
      </c>
      <c r="E5" s="170" t="str">
        <f>CONCATENATE("Year for ",E1,"")</f>
        <v>Year for 2014</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7"/>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3"/>
      <c r="G44" s="688" t="str">
        <f>CONCATENATE("Desired Carryover Into ",E1+1,"")</f>
        <v>Desired Carryover Into 2015</v>
      </c>
      <c r="H44" s="689"/>
      <c r="I44" s="689"/>
      <c r="J44" s="690"/>
      <c r="K44" s="593"/>
    </row>
    <row r="45" spans="2:11" ht="15.75">
      <c r="B45" s="250"/>
      <c r="C45" s="367"/>
      <c r="D45" s="367"/>
      <c r="E45" s="242"/>
      <c r="F45" s="593"/>
      <c r="G45" s="475"/>
      <c r="H45" s="69"/>
      <c r="I45" s="482"/>
      <c r="J45" s="474"/>
      <c r="K45" s="593"/>
    </row>
    <row r="46" spans="2:11" ht="15.75">
      <c r="B46" s="250"/>
      <c r="C46" s="367"/>
      <c r="D46" s="367"/>
      <c r="E46" s="242"/>
      <c r="F46" s="593"/>
      <c r="G46" s="473" t="s">
        <v>665</v>
      </c>
      <c r="H46" s="482"/>
      <c r="I46" s="482"/>
      <c r="J46" s="472">
        <v>0</v>
      </c>
      <c r="K46" s="593"/>
    </row>
    <row r="47" spans="2:11" ht="15.75">
      <c r="B47" s="250"/>
      <c r="C47" s="367"/>
      <c r="D47" s="367"/>
      <c r="E47" s="242"/>
      <c r="F47" s="593"/>
      <c r="G47" s="475" t="s">
        <v>666</v>
      </c>
      <c r="H47" s="69"/>
      <c r="I47" s="69"/>
      <c r="J47" s="594">
        <f>IF(J46=0,"",ROUND((J46+E60-G59)/inputOth!E7*1000,3)-G64)</f>
      </c>
      <c r="K47" s="593"/>
    </row>
    <row r="48" spans="2:11" ht="15.75">
      <c r="B48" s="250"/>
      <c r="C48" s="367"/>
      <c r="D48" s="367"/>
      <c r="E48" s="242"/>
      <c r="F48" s="593"/>
      <c r="G48" s="575" t="str">
        <f>CONCATENATE("",E1," Tot Exp/Non-Appr Must Be:")</f>
        <v>2014 Tot Exp/Non-Appr Must Be:</v>
      </c>
      <c r="H48" s="564"/>
      <c r="I48" s="563"/>
      <c r="J48" s="576">
        <f>IF(J46&gt;0,IF(E57&lt;E30,IF(J46=G59,E57,((J46-G59)*(1-D59))+E30),E57+(J46-G59)),0)</f>
        <v>0</v>
      </c>
      <c r="K48" s="593"/>
    </row>
    <row r="49" spans="2:11" ht="15.75">
      <c r="B49" s="250"/>
      <c r="C49" s="367"/>
      <c r="D49" s="367"/>
      <c r="E49" s="242"/>
      <c r="F49" s="593"/>
      <c r="G49" s="577" t="s">
        <v>732</v>
      </c>
      <c r="H49" s="578"/>
      <c r="I49" s="578"/>
      <c r="J49" s="579">
        <f>IF(J46&gt;0,J48-E57,0)</f>
        <v>0</v>
      </c>
      <c r="K49" s="593"/>
    </row>
    <row r="50" spans="2:11" ht="15.75">
      <c r="B50" s="121" t="s">
        <v>220</v>
      </c>
      <c r="C50" s="376"/>
      <c r="D50" s="376"/>
      <c r="E50" s="176">
        <f>Nhood!E8</f>
      </c>
      <c r="F50" s="593"/>
      <c r="G50" s="593"/>
      <c r="H50" s="593"/>
      <c r="I50" s="593"/>
      <c r="J50" s="593"/>
      <c r="K50" s="593"/>
    </row>
    <row r="51" spans="2:11" ht="15.75">
      <c r="B51" s="121" t="s">
        <v>219</v>
      </c>
      <c r="C51" s="376"/>
      <c r="D51" s="376"/>
      <c r="E51" s="242"/>
      <c r="F51" s="593"/>
      <c r="G51" s="688" t="str">
        <f>CONCATENATE("Projected Carryover Into ",E1+1,"")</f>
        <v>Projected Carryover Into 2015</v>
      </c>
      <c r="H51" s="691"/>
      <c r="I51" s="691"/>
      <c r="J51" s="692"/>
      <c r="K51" s="593"/>
    </row>
    <row r="52" spans="2:11" ht="15.75">
      <c r="B52" s="121" t="s">
        <v>562</v>
      </c>
      <c r="C52" s="368">
        <f>IF(C53*0.1&lt;C51,"Exceed 10% Rule","")</f>
      </c>
      <c r="D52" s="368">
        <f>IF(D53*0.1&lt;D51,"Exceed 10% Rule","")</f>
      </c>
      <c r="E52" s="387">
        <f>IF(E53*0.1&lt;E51,"Exceed 10% Rule","")</f>
      </c>
      <c r="F52" s="593"/>
      <c r="G52" s="475"/>
      <c r="H52" s="482"/>
      <c r="I52" s="482"/>
      <c r="J52" s="595"/>
      <c r="K52" s="593"/>
    </row>
    <row r="53" spans="2:11" ht="15.75">
      <c r="B53" s="233" t="s">
        <v>42</v>
      </c>
      <c r="C53" s="377">
        <f>SUM(C32:C51)</f>
        <v>0</v>
      </c>
      <c r="D53" s="377">
        <f>SUM(D32:D51)</f>
        <v>0</v>
      </c>
      <c r="E53" s="248">
        <f>SUM(E32:E51)</f>
        <v>0</v>
      </c>
      <c r="F53" s="593"/>
      <c r="G53" s="489">
        <f>D54</f>
        <v>0</v>
      </c>
      <c r="H53" s="488" t="str">
        <f>CONCATENATE("",E1-1," Ending Cash Balance (est.)")</f>
        <v>2013 Ending Cash Balance (est.)</v>
      </c>
      <c r="I53" s="580"/>
      <c r="J53" s="595"/>
      <c r="K53" s="593"/>
    </row>
    <row r="54" spans="2:11" ht="15.75">
      <c r="B54" s="113" t="s">
        <v>126</v>
      </c>
      <c r="C54" s="375">
        <f>C30-C53</f>
        <v>0</v>
      </c>
      <c r="D54" s="375">
        <f>D30-D53</f>
        <v>0</v>
      </c>
      <c r="E54" s="241" t="s">
        <v>28</v>
      </c>
      <c r="F54"/>
      <c r="G54" s="489">
        <f>E29</f>
        <v>0</v>
      </c>
      <c r="H54" s="482" t="str">
        <f>CONCATENATE("",E1," Non-AV Receipts (est.)")</f>
        <v>2014 Non-AV Receipts (est.)</v>
      </c>
      <c r="I54" s="580"/>
      <c r="J54" s="595"/>
      <c r="K54" s="593"/>
    </row>
    <row r="55" spans="2:11" ht="15.75">
      <c r="B55" s="138" t="str">
        <f>CONCATENATE("",E1-2,"/",E1-1," Budget Authority Amount:")</f>
        <v>2012/2013 Budget Authority Amount:</v>
      </c>
      <c r="C55" s="120">
        <f>inputOth!B42</f>
        <v>0</v>
      </c>
      <c r="D55" s="388">
        <f>inputPrYr!D20</f>
        <v>0</v>
      </c>
      <c r="E55" s="241" t="s">
        <v>28</v>
      </c>
      <c r="F55" s="251"/>
      <c r="G55" s="481">
        <f>IF(E59&gt;0,E58,E60)</f>
        <v>0</v>
      </c>
      <c r="H55" s="482" t="str">
        <f>CONCATENATE("",E1," Ad Valorem Tax (est.)")</f>
        <v>2014 Ad Valorem Tax (est.)</v>
      </c>
      <c r="I55" s="580"/>
      <c r="J55" s="595"/>
      <c r="K55" s="581">
        <f>IF(G55=E60,"","Note: Does not include Delinquent Taxes")</f>
      </c>
    </row>
    <row r="56" spans="2:11" ht="15.75">
      <c r="B56" s="138"/>
      <c r="C56" s="684" t="s">
        <v>659</v>
      </c>
      <c r="D56" s="685"/>
      <c r="E56" s="35"/>
      <c r="F56" s="596">
        <f>IF(E53/0.95-E53&lt;E56,"Exceeds 5%","")</f>
      </c>
      <c r="G56" s="489">
        <f>SUM(G53:G55)</f>
        <v>0</v>
      </c>
      <c r="H56" s="482" t="str">
        <f>CONCATENATE("Total ",E1," Resources Available")</f>
        <v>Total 2014 Resources Available</v>
      </c>
      <c r="I56" s="580"/>
      <c r="J56" s="595"/>
      <c r="K56" s="593"/>
    </row>
    <row r="57" spans="2:11" ht="15.75">
      <c r="B57" s="386" t="str">
        <f>CONCATENATE(C68,"     ",D68)</f>
        <v>     </v>
      </c>
      <c r="C57" s="686" t="s">
        <v>660</v>
      </c>
      <c r="D57" s="687"/>
      <c r="E57" s="45">
        <f>E53+E56</f>
        <v>0</v>
      </c>
      <c r="F57"/>
      <c r="G57" s="480"/>
      <c r="H57" s="482"/>
      <c r="I57" s="482"/>
      <c r="J57" s="595"/>
      <c r="K57" s="593"/>
    </row>
    <row r="58" spans="2:11" ht="15.75">
      <c r="B58" s="386" t="str">
        <f>CONCATENATE(C69,"     ",D69)</f>
        <v>     </v>
      </c>
      <c r="C58" s="493"/>
      <c r="D58" s="492" t="s">
        <v>661</v>
      </c>
      <c r="E58" s="42">
        <f>IF(E57-E30&gt;0,E57-E30,0)</f>
        <v>0</v>
      </c>
      <c r="F58"/>
      <c r="G58" s="481">
        <f>C53</f>
        <v>0</v>
      </c>
      <c r="H58" s="482" t="str">
        <f>CONCATENATE("Less ",E1-2," Expenditures")</f>
        <v>Less 2012 Expenditures</v>
      </c>
      <c r="I58" s="482"/>
      <c r="J58" s="595"/>
      <c r="K58" s="593"/>
    </row>
    <row r="59" spans="2:11" ht="15.75">
      <c r="B59" s="155"/>
      <c r="C59" s="491" t="s">
        <v>662</v>
      </c>
      <c r="D59" s="592">
        <f>inputOth!$E$35</f>
        <v>0.04</v>
      </c>
      <c r="E59" s="45">
        <f>ROUND(IF(D59&gt;0,(E58*D59),0),0)</f>
        <v>0</v>
      </c>
      <c r="F59"/>
      <c r="G59" s="512">
        <f>G56-G58</f>
        <v>0</v>
      </c>
      <c r="H59" s="471" t="str">
        <f>CONCATENATE("Projected ",E1+1," carryover (est.)")</f>
        <v>Projected 2015 carryover (est.)</v>
      </c>
      <c r="I59" s="583"/>
      <c r="J59" s="597"/>
      <c r="K59" s="593"/>
    </row>
    <row r="60" spans="2:11" ht="15.75">
      <c r="B60" s="18"/>
      <c r="C60" s="682" t="str">
        <f>CONCATENATE("Amount of  ",$E$1-1," Ad Valorem Tax")</f>
        <v>Amount of  2013 Ad Valorem Tax</v>
      </c>
      <c r="D60" s="683"/>
      <c r="E60" s="42">
        <f>E58+E59</f>
        <v>0</v>
      </c>
      <c r="F60"/>
      <c r="G60" s="593"/>
      <c r="H60" s="593"/>
      <c r="I60" s="593"/>
      <c r="J60" s="593"/>
      <c r="K60" s="593"/>
    </row>
    <row r="61" spans="2:11" ht="15.75">
      <c r="B61" s="155"/>
      <c r="C61" s="18"/>
      <c r="D61" s="18"/>
      <c r="E61" s="18"/>
      <c r="F61"/>
      <c r="G61" s="679" t="s">
        <v>733</v>
      </c>
      <c r="H61" s="680"/>
      <c r="I61" s="680"/>
      <c r="J61" s="681"/>
      <c r="K61" s="593"/>
    </row>
    <row r="62" spans="2:11" ht="15.75">
      <c r="B62" s="138" t="s">
        <v>44</v>
      </c>
      <c r="C62" s="252"/>
      <c r="D62" s="18"/>
      <c r="E62" s="18"/>
      <c r="F62"/>
      <c r="G62" s="584"/>
      <c r="H62" s="488"/>
      <c r="I62" s="565"/>
      <c r="J62" s="585"/>
      <c r="K62" s="593"/>
    </row>
    <row r="63" spans="6:11" ht="15.75">
      <c r="F63"/>
      <c r="G63" s="586" t="str">
        <f>summ!H22</f>
        <v> </v>
      </c>
      <c r="H63" s="488" t="str">
        <f>CONCATENATE("",E1," Fund Mill Rate")</f>
        <v>2014 Fund Mill Rate</v>
      </c>
      <c r="I63" s="565"/>
      <c r="J63" s="585"/>
      <c r="K63" s="593"/>
    </row>
    <row r="64" spans="6:11" ht="15.75">
      <c r="F64"/>
      <c r="G64" s="588" t="str">
        <f>summ!E22</f>
        <v>  </v>
      </c>
      <c r="H64" s="488" t="str">
        <f>CONCATENATE("",E1-1," Fund Mill Rate")</f>
        <v>2013 Fund Mill Rate</v>
      </c>
      <c r="I64" s="565"/>
      <c r="J64" s="585"/>
      <c r="K64" s="593"/>
    </row>
    <row r="65" spans="6:11" ht="15.75">
      <c r="F65"/>
      <c r="G65" s="589">
        <f>summ!H24</f>
        <v>20</v>
      </c>
      <c r="H65" s="488" t="str">
        <f>CONCATENATE("Total ",E1," Mill Rate")</f>
        <v>Total 2014 Mill Rate</v>
      </c>
      <c r="I65" s="565"/>
      <c r="J65" s="585"/>
      <c r="K65" s="593"/>
    </row>
    <row r="66" spans="6:11" ht="15.75">
      <c r="F66"/>
      <c r="G66" s="588">
        <f>summ!E24</f>
        <v>19.748</v>
      </c>
      <c r="H66" s="590" t="str">
        <f>CONCATENATE("Total ",E1-1," Mill Rate")</f>
        <v>Total 2013 Mill Rate</v>
      </c>
      <c r="I66" s="591"/>
      <c r="J66" s="78"/>
      <c r="K66" s="593"/>
    </row>
    <row r="67" spans="7:10" ht="15.75">
      <c r="G67" s="568"/>
      <c r="H67" s="476"/>
      <c r="I67" s="568"/>
      <c r="J67" s="566"/>
    </row>
    <row r="68" spans="3:10" ht="15.75" customHeight="1" hidden="1">
      <c r="C68" s="16">
        <f>IF(C53&gt;C55,"See Tab A","")</f>
      </c>
      <c r="D68" s="16">
        <f>IF(D53&gt;D55,"See Tab C","")</f>
      </c>
      <c r="G68" s="567"/>
      <c r="H68" s="568"/>
      <c r="I68" s="568"/>
      <c r="J68" s="572"/>
    </row>
    <row r="69" spans="3:10" ht="15.75" customHeight="1" hidden="1">
      <c r="C69" s="16">
        <f>IF(C54&lt;0,"See Tab B","")</f>
      </c>
      <c r="D69" s="16">
        <f>IF(D54&lt;0,"See Tab D","")</f>
      </c>
      <c r="G69" s="568"/>
      <c r="H69" s="476"/>
      <c r="I69" s="476"/>
      <c r="J69" s="573"/>
    </row>
    <row r="70" spans="7:10" ht="15.75">
      <c r="G70" s="570"/>
      <c r="H70" s="476"/>
      <c r="I70" s="568"/>
      <c r="J70" s="569"/>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E4" sqref="E4"/>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Sewer District No 4</v>
      </c>
      <c r="C1" s="18"/>
      <c r="D1" s="18"/>
      <c r="E1" s="182"/>
    </row>
    <row r="2" spans="2:5" ht="15.75">
      <c r="B2" s="18" t="str">
        <f>inputPrYr!D4</f>
        <v>Geary County</v>
      </c>
      <c r="C2" s="18"/>
      <c r="D2" s="18"/>
      <c r="E2" s="138"/>
    </row>
    <row r="3" spans="2:6" ht="15.75">
      <c r="B3" s="25" t="s">
        <v>81</v>
      </c>
      <c r="C3" s="222"/>
      <c r="D3" s="222"/>
      <c r="E3" s="18">
        <f>inputPrYr!D6</f>
        <v>2014</v>
      </c>
      <c r="F3" s="562"/>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2012</v>
      </c>
      <c r="D6" s="373" t="str">
        <f>CONCATENATE("Estimate for ",E3-1,"")</f>
        <v>Estimate for 2013</v>
      </c>
      <c r="E6" s="224" t="str">
        <f>CONCATENATE("Year for ",E3,"")</f>
        <v>Year for 2014</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8" t="str">
        <f>CONCATENATE("Desired Carryover Into ",E3+1,"")</f>
        <v>Desired Carryover Into 2015</v>
      </c>
      <c r="H25" s="689"/>
      <c r="I25" s="689"/>
      <c r="J25" s="690"/>
      <c r="K25" s="16"/>
    </row>
    <row r="26" spans="2:11" ht="15.75">
      <c r="B26" s="228"/>
      <c r="C26" s="367"/>
      <c r="D26" s="367"/>
      <c r="E26" s="198"/>
      <c r="F26" s="16"/>
      <c r="G26" s="475"/>
      <c r="H26" s="69"/>
      <c r="I26" s="482"/>
      <c r="J26" s="474"/>
      <c r="K26" s="16"/>
    </row>
    <row r="27" spans="2:11" ht="15.75">
      <c r="B27" s="228"/>
      <c r="C27" s="367"/>
      <c r="D27" s="367"/>
      <c r="E27" s="198"/>
      <c r="F27" s="16"/>
      <c r="G27" s="473" t="s">
        <v>665</v>
      </c>
      <c r="H27" s="482"/>
      <c r="I27" s="482"/>
      <c r="J27" s="472">
        <v>0</v>
      </c>
      <c r="K27" s="16"/>
    </row>
    <row r="28" spans="2:11" ht="15.75">
      <c r="B28" s="228"/>
      <c r="C28" s="367"/>
      <c r="D28" s="367"/>
      <c r="E28" s="198"/>
      <c r="F28" s="16"/>
      <c r="G28" s="475" t="s">
        <v>666</v>
      </c>
      <c r="H28" s="69"/>
      <c r="I28" s="69"/>
      <c r="J28" s="594">
        <f>IF(J27=0,"",ROUND((J27+E40-G40)/inputOth!E7*1000,3)-G45)</f>
      </c>
      <c r="K28" s="16"/>
    </row>
    <row r="29" spans="2:11" ht="15.75">
      <c r="B29" s="228"/>
      <c r="C29" s="367"/>
      <c r="D29" s="367"/>
      <c r="E29" s="198"/>
      <c r="F29" s="16"/>
      <c r="G29" s="575" t="str">
        <f>CONCATENATE("",E3," Tot Exp/Non-Appr Must Be:")</f>
        <v>2014 Tot Exp/Non-Appr Must Be:</v>
      </c>
      <c r="H29" s="564"/>
      <c r="I29" s="563"/>
      <c r="J29" s="576">
        <f>IF(J27&gt;0,IF(E37&lt;E22,IF(J27=G40,E37,((J27-G40)*(1-D39))+E22),E37+(J27-G40)),0)</f>
        <v>0</v>
      </c>
      <c r="K29" s="16"/>
    </row>
    <row r="30" spans="2:11" ht="15.75">
      <c r="B30" s="121" t="s">
        <v>220</v>
      </c>
      <c r="C30" s="367"/>
      <c r="D30" s="367"/>
      <c r="E30" s="203">
        <f>Nhood!E9</f>
      </c>
      <c r="F30" s="16"/>
      <c r="G30" s="577" t="s">
        <v>732</v>
      </c>
      <c r="H30" s="578"/>
      <c r="I30" s="578"/>
      <c r="J30" s="579">
        <f>IF(J27&gt;0,J29-E37,0)</f>
        <v>0</v>
      </c>
      <c r="K30" s="16"/>
    </row>
    <row r="31" spans="2:11" ht="15.75">
      <c r="B31" s="121" t="s">
        <v>219</v>
      </c>
      <c r="C31" s="228"/>
      <c r="D31" s="228"/>
      <c r="E31" s="198"/>
      <c r="F31" s="16"/>
      <c r="G31" s="16"/>
      <c r="H31" s="16"/>
      <c r="I31" s="16"/>
      <c r="J31" s="593"/>
      <c r="K31" s="16"/>
    </row>
    <row r="32" spans="2:11" ht="15.75">
      <c r="B32" s="121" t="s">
        <v>562</v>
      </c>
      <c r="C32" s="368">
        <f>IF(C33*0.1&lt;C31,"Exceed 10% Rule","")</f>
      </c>
      <c r="D32" s="368">
        <f>IF(D33*0.1&lt;D31,"Exceed 10% Rule","")</f>
      </c>
      <c r="E32" s="387">
        <f>IF(E33*0.1&lt;E31,"Exceed 10% Rule","")</f>
      </c>
      <c r="F32" s="16"/>
      <c r="G32" s="688" t="str">
        <f>CONCATENATE("Projected Carryover Into ",E3+1,"")</f>
        <v>Projected Carryover Into 2015</v>
      </c>
      <c r="H32" s="691"/>
      <c r="I32" s="691"/>
      <c r="J32" s="692"/>
      <c r="K32" s="16"/>
    </row>
    <row r="33" spans="2:11" ht="15.75">
      <c r="B33" s="233" t="s">
        <v>42</v>
      </c>
      <c r="C33" s="369">
        <f>SUM(C24:C31)</f>
        <v>0</v>
      </c>
      <c r="D33" s="369">
        <f>SUM(D24:D31)</f>
        <v>0</v>
      </c>
      <c r="E33" s="234">
        <f>SUM(E24:E31)</f>
        <v>0</v>
      </c>
      <c r="F33" s="16"/>
      <c r="G33" s="475"/>
      <c r="H33" s="482"/>
      <c r="I33" s="482"/>
      <c r="J33" s="598"/>
      <c r="K33" s="16"/>
    </row>
    <row r="34" spans="2:11" ht="15.75">
      <c r="B34" s="119" t="s">
        <v>126</v>
      </c>
      <c r="C34" s="370">
        <f>C22-C33</f>
        <v>0</v>
      </c>
      <c r="D34" s="370">
        <f>D22-D33</f>
        <v>0</v>
      </c>
      <c r="E34" s="128" t="s">
        <v>28</v>
      </c>
      <c r="F34" s="16"/>
      <c r="G34" s="489">
        <f>D34</f>
        <v>0</v>
      </c>
      <c r="H34" s="488" t="str">
        <f>CONCATENATE("",E3-1," Ending Cash Balance (est.)")</f>
        <v>2013 Ending Cash Balance (est.)</v>
      </c>
      <c r="I34" s="580"/>
      <c r="J34" s="598"/>
      <c r="K34" s="16"/>
    </row>
    <row r="35" spans="2:11" ht="15.75">
      <c r="B35" s="138" t="str">
        <f>CONCATENATE("",E3-2,"/",E3-1," Budget Authority Amount:")</f>
        <v>2012/2013 Budget Authority Amount:</v>
      </c>
      <c r="C35" s="120">
        <f>inputOth!B43</f>
        <v>0</v>
      </c>
      <c r="D35" s="388">
        <f>inputPrYr!D22</f>
        <v>0</v>
      </c>
      <c r="E35" s="128" t="s">
        <v>28</v>
      </c>
      <c r="F35" s="16"/>
      <c r="G35" s="489">
        <f>E21</f>
        <v>0</v>
      </c>
      <c r="H35" s="482" t="str">
        <f>CONCATENATE("",E3," Non-AV Receipts (est.)")</f>
        <v>2014 Non-AV Receipts (est.)</v>
      </c>
      <c r="I35" s="580"/>
      <c r="J35" s="598"/>
      <c r="K35" s="16"/>
    </row>
    <row r="36" spans="2:11" ht="15.75">
      <c r="B36" s="138"/>
      <c r="C36" s="684" t="s">
        <v>659</v>
      </c>
      <c r="D36" s="685"/>
      <c r="E36" s="35"/>
      <c r="F36" s="606">
        <f>IF(E33/0.95-E33&lt;E36,"Exceeds 5%","")</f>
      </c>
      <c r="G36" s="481">
        <f>IF(E39&gt;0,E38,E40)</f>
        <v>0</v>
      </c>
      <c r="H36" s="482" t="str">
        <f>CONCATENATE("",E3," Ad Valorem Tax (est.)")</f>
        <v>2014 Ad Valorem Tax (est.)</v>
      </c>
      <c r="I36" s="580"/>
      <c r="J36" s="599"/>
      <c r="K36" s="581">
        <f>IF(G36=E40,"","Note: Does not include Delinquent Taxes")</f>
      </c>
    </row>
    <row r="37" spans="2:11" ht="15.75">
      <c r="B37" s="386" t="str">
        <f>CONCATENATE(C87,"     ",D87)</f>
        <v>     </v>
      </c>
      <c r="C37" s="686" t="s">
        <v>660</v>
      </c>
      <c r="D37" s="687"/>
      <c r="E37" s="45">
        <f>E33+E36</f>
        <v>0</v>
      </c>
      <c r="G37" s="489">
        <f>SUM(G34:G36)</f>
        <v>0</v>
      </c>
      <c r="H37" s="482" t="str">
        <f>CONCATENATE("Total ",E3," Resources Available")</f>
        <v>Total 2014 Resources Available</v>
      </c>
      <c r="I37" s="580"/>
      <c r="J37" s="598"/>
      <c r="K37" s="16"/>
    </row>
    <row r="38" spans="2:11" ht="15.75">
      <c r="B38" s="386" t="str">
        <f>CONCATENATE(C88,"     ",D88)</f>
        <v>     </v>
      </c>
      <c r="C38" s="493"/>
      <c r="D38" s="492" t="s">
        <v>661</v>
      </c>
      <c r="E38" s="42">
        <f>IF(E37-E22&gt;0,E37-E22,0)</f>
        <v>0</v>
      </c>
      <c r="F38" s="16"/>
      <c r="G38" s="480"/>
      <c r="H38" s="482"/>
      <c r="I38" s="482"/>
      <c r="J38" s="598"/>
      <c r="K38" s="16"/>
    </row>
    <row r="39" spans="2:11" ht="15.75">
      <c r="B39" s="155"/>
      <c r="C39" s="491" t="s">
        <v>662</v>
      </c>
      <c r="D39" s="592">
        <f>inputOth!$E$35</f>
        <v>0.04</v>
      </c>
      <c r="E39" s="45">
        <f>ROUND(IF(D39&gt;0,(E38*D39),0),0)</f>
        <v>0</v>
      </c>
      <c r="F39" s="16"/>
      <c r="G39" s="481">
        <f>ROUND(C33*0.05+C33,0)</f>
        <v>0</v>
      </c>
      <c r="H39" s="482" t="str">
        <f>CONCATENATE("Less ",E3-2," Expenditures + 5%")</f>
        <v>Less 2012 Expenditures + 5%</v>
      </c>
      <c r="I39" s="580"/>
      <c r="J39" s="598"/>
      <c r="K39" s="16"/>
    </row>
    <row r="40" spans="2:11" ht="15.75">
      <c r="B40" s="18"/>
      <c r="C40" s="682" t="str">
        <f>CONCATENATE("Amount of  ",$E$3-1," Ad Valorem Tax")</f>
        <v>Amount of  2013 Ad Valorem Tax</v>
      </c>
      <c r="D40" s="683"/>
      <c r="E40" s="42">
        <f>E38+E39</f>
        <v>0</v>
      </c>
      <c r="F40" s="16"/>
      <c r="G40" s="512">
        <f>G37-G39</f>
        <v>0</v>
      </c>
      <c r="H40" s="471" t="str">
        <f>CONCATENATE("Projected ",E3+1," carryover (est.)")</f>
        <v>Projected 2015 carryover (est.)</v>
      </c>
      <c r="I40" s="583"/>
      <c r="J40" s="600"/>
      <c r="K40" s="16"/>
    </row>
    <row r="41" spans="2:11" ht="15.75">
      <c r="B41" s="18"/>
      <c r="C41" s="18"/>
      <c r="D41" s="18"/>
      <c r="E41" s="18"/>
      <c r="F41" s="16"/>
      <c r="G41" s="593"/>
      <c r="H41" s="593"/>
      <c r="I41" s="593"/>
      <c r="J41" s="593"/>
      <c r="K41" s="16"/>
    </row>
    <row r="42" spans="2:11" ht="15.75">
      <c r="B42" s="17" t="s">
        <v>32</v>
      </c>
      <c r="C42" s="106"/>
      <c r="D42" s="106"/>
      <c r="E42" s="106"/>
      <c r="F42" s="16"/>
      <c r="G42" s="679" t="s">
        <v>733</v>
      </c>
      <c r="H42" s="680"/>
      <c r="I42" s="680"/>
      <c r="J42" s="681"/>
      <c r="K42" s="16"/>
    </row>
    <row r="43" spans="2:11" ht="15.75" customHeight="1">
      <c r="B43" s="18"/>
      <c r="C43" s="371" t="s">
        <v>247</v>
      </c>
      <c r="D43" s="372" t="s">
        <v>248</v>
      </c>
      <c r="E43" s="223" t="s">
        <v>245</v>
      </c>
      <c r="F43" s="16"/>
      <c r="G43" s="584"/>
      <c r="H43" s="488"/>
      <c r="I43" s="565"/>
      <c r="J43" s="585"/>
      <c r="K43" s="16"/>
    </row>
    <row r="44" spans="2:11" ht="15.75" customHeight="1">
      <c r="B44" s="389">
        <f>inputPrYr!B23</f>
        <v>0</v>
      </c>
      <c r="C44" s="373" t="str">
        <f>C6</f>
        <v>Actual for 2012</v>
      </c>
      <c r="D44" s="373" t="str">
        <f>D6</f>
        <v>Estimate for 2013</v>
      </c>
      <c r="E44" s="224" t="str">
        <f>E6</f>
        <v>Year for 2014</v>
      </c>
      <c r="F44" s="16"/>
      <c r="G44" s="586" t="e">
        <f>summ!#REF!</f>
        <v>#REF!</v>
      </c>
      <c r="H44" s="488" t="str">
        <f>CONCATENATE("",E3," Fund Mill Rate")</f>
        <v>2014 Fund Mill Rate</v>
      </c>
      <c r="I44" s="565"/>
      <c r="J44" s="585"/>
      <c r="K44" s="16"/>
    </row>
    <row r="45" spans="2:11" ht="15.75">
      <c r="B45" s="119" t="s">
        <v>125</v>
      </c>
      <c r="C45" s="367"/>
      <c r="D45" s="374">
        <f>C72</f>
        <v>0</v>
      </c>
      <c r="E45" s="45">
        <f>D72</f>
        <v>0</v>
      </c>
      <c r="F45" s="16"/>
      <c r="G45" s="588" t="e">
        <f>summ!#REF!</f>
        <v>#REF!</v>
      </c>
      <c r="H45" s="488" t="str">
        <f>CONCATENATE("",E3-1," Fund Mill Rate")</f>
        <v>2013 Fund Mill Rate</v>
      </c>
      <c r="I45" s="565"/>
      <c r="J45" s="585"/>
      <c r="K45" s="16"/>
    </row>
    <row r="46" spans="2:11" ht="15.75">
      <c r="B46" s="226" t="s">
        <v>127</v>
      </c>
      <c r="C46" s="227"/>
      <c r="D46" s="227"/>
      <c r="E46" s="123"/>
      <c r="F46" s="16"/>
      <c r="G46" s="589">
        <f>summ!H24</f>
        <v>20</v>
      </c>
      <c r="H46" s="488" t="str">
        <f>CONCATENATE("Total ",E3," Mill Rate")</f>
        <v>Total 2014 Mill Rate</v>
      </c>
      <c r="I46" s="565"/>
      <c r="J46" s="585"/>
      <c r="K46" s="16"/>
    </row>
    <row r="47" spans="2:11" ht="15.75">
      <c r="B47" s="119" t="s">
        <v>33</v>
      </c>
      <c r="C47" s="367"/>
      <c r="D47" s="374">
        <f>IF(inputPrYr!H18&gt;0,inputPrYr!G23,inputPrYr!E23)</f>
        <v>0</v>
      </c>
      <c r="E47" s="128" t="s">
        <v>28</v>
      </c>
      <c r="F47" s="16"/>
      <c r="G47" s="588">
        <f>summ!E24</f>
        <v>19.748</v>
      </c>
      <c r="H47" s="590" t="str">
        <f>CONCATENATE("Total ",E3-1," Mill Rate")</f>
        <v>Total 2013 Mill Rate</v>
      </c>
      <c r="I47" s="591"/>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8" t="str">
        <f>CONCATENATE("Desired Carryover Into ",E3+1,"")</f>
        <v>Desired Carryover Into 2015</v>
      </c>
      <c r="H65" s="689"/>
      <c r="I65" s="689"/>
      <c r="J65" s="690"/>
      <c r="K65" s="16"/>
    </row>
    <row r="66" spans="2:11" ht="15.75">
      <c r="B66" s="228"/>
      <c r="C66" s="367"/>
      <c r="D66" s="367"/>
      <c r="E66" s="198"/>
      <c r="F66" s="16"/>
      <c r="G66" s="475"/>
      <c r="H66" s="69"/>
      <c r="I66" s="482"/>
      <c r="J66" s="474"/>
      <c r="K66" s="16"/>
    </row>
    <row r="67" spans="2:11" ht="15.75">
      <c r="B67" s="228"/>
      <c r="C67" s="367"/>
      <c r="D67" s="367"/>
      <c r="E67" s="198"/>
      <c r="F67" s="16"/>
      <c r="G67" s="473" t="s">
        <v>665</v>
      </c>
      <c r="H67" s="482"/>
      <c r="I67" s="482"/>
      <c r="J67" s="472">
        <v>0</v>
      </c>
      <c r="K67" s="16"/>
    </row>
    <row r="68" spans="2:11" ht="15.75">
      <c r="B68" s="121" t="s">
        <v>220</v>
      </c>
      <c r="C68" s="367"/>
      <c r="D68" s="367"/>
      <c r="E68" s="203">
        <f>Nhood!E10</f>
      </c>
      <c r="F68" s="16"/>
      <c r="G68" s="475" t="s">
        <v>666</v>
      </c>
      <c r="H68" s="69"/>
      <c r="I68" s="69"/>
      <c r="J68" s="594">
        <f>IF(J67=0,"",ROUND((J67+E81-G80)/inputOth!E7*1000,3)-G85)</f>
      </c>
      <c r="K68" s="16"/>
    </row>
    <row r="69" spans="2:11" ht="15.75">
      <c r="B69" s="121" t="s">
        <v>219</v>
      </c>
      <c r="C69" s="228"/>
      <c r="D69" s="228"/>
      <c r="E69" s="198"/>
      <c r="F69" s="16"/>
      <c r="G69" s="575" t="str">
        <f>CONCATENATE("",E3," Tot Exp/Non-Appr Must Be:")</f>
        <v>2014 Tot Exp/Non-Appr Must Be:</v>
      </c>
      <c r="H69" s="564"/>
      <c r="I69" s="563"/>
      <c r="J69" s="576">
        <f>IF(J67&gt;0,IF(E75&lt;E60,IF(J67=G80,E75,((J67-G80)*(1-D77))+E60),E75+(J67-G80)),0)</f>
        <v>0</v>
      </c>
      <c r="K69" s="16"/>
    </row>
    <row r="70" spans="2:11" ht="15.75">
      <c r="B70" s="121" t="s">
        <v>562</v>
      </c>
      <c r="C70" s="368">
        <f>IF(C71*0.1&lt;C69,"Exceed 10% Rule","")</f>
      </c>
      <c r="D70" s="368">
        <f>IF(D71*0.1&lt;D69,"Exceed 10% Rule","")</f>
      </c>
      <c r="E70" s="387">
        <f>IF(E71*0.1&lt;E69,"Exceed 10% Rule","")</f>
      </c>
      <c r="F70" s="16"/>
      <c r="G70" s="577" t="s">
        <v>732</v>
      </c>
      <c r="H70" s="578"/>
      <c r="I70" s="578"/>
      <c r="J70" s="579">
        <f>IF(J67&gt;0,J69-E75,0)</f>
        <v>0</v>
      </c>
      <c r="K70" s="16"/>
    </row>
    <row r="71" spans="2:11" ht="15.75">
      <c r="B71" s="233" t="s">
        <v>42</v>
      </c>
      <c r="C71" s="369">
        <f>SUM(C62:C69)</f>
        <v>0</v>
      </c>
      <c r="D71" s="369">
        <f>SUM(D62:D69)</f>
        <v>0</v>
      </c>
      <c r="E71" s="234">
        <f>SUM(E62:E69)</f>
        <v>0</v>
      </c>
      <c r="F71" s="16"/>
      <c r="G71" s="16"/>
      <c r="H71" s="16"/>
      <c r="I71" s="16"/>
      <c r="J71" s="593"/>
      <c r="K71" s="16"/>
    </row>
    <row r="72" spans="2:11" ht="15.75">
      <c r="B72" s="119" t="s">
        <v>126</v>
      </c>
      <c r="C72" s="370">
        <f>C60-C71</f>
        <v>0</v>
      </c>
      <c r="D72" s="370">
        <f>D60-D71</f>
        <v>0</v>
      </c>
      <c r="E72" s="128" t="s">
        <v>28</v>
      </c>
      <c r="F72" s="16"/>
      <c r="G72" s="688" t="str">
        <f>CONCATENATE("Projected Carryover Into ",E3+1,"")</f>
        <v>Projected Carryover Into 2015</v>
      </c>
      <c r="H72" s="693"/>
      <c r="I72" s="693"/>
      <c r="J72" s="692"/>
      <c r="K72" s="16"/>
    </row>
    <row r="73" spans="2:11" ht="15.75">
      <c r="B73" s="138" t="str">
        <f>CONCATENATE("",E3-2,"/",E3-1," Budget Authority Amount:")</f>
        <v>2012/2013 Budget Authority Amount:</v>
      </c>
      <c r="C73" s="120">
        <f>inputOth!B44</f>
        <v>0</v>
      </c>
      <c r="D73" s="388">
        <f>inputPrYr!D23</f>
        <v>0</v>
      </c>
      <c r="E73" s="128" t="s">
        <v>28</v>
      </c>
      <c r="F73" s="16"/>
      <c r="G73" s="494"/>
      <c r="H73" s="69"/>
      <c r="I73" s="69"/>
      <c r="J73" s="483"/>
      <c r="K73" s="16"/>
    </row>
    <row r="74" spans="2:11" ht="15.75">
      <c r="B74" s="138"/>
      <c r="C74" s="684" t="s">
        <v>659</v>
      </c>
      <c r="D74" s="685"/>
      <c r="E74" s="35"/>
      <c r="F74" s="607">
        <f>IF(E71/0.95-E71&lt;E74,"Exceeds 5%","")</f>
      </c>
      <c r="G74" s="489">
        <f>D72</f>
        <v>0</v>
      </c>
      <c r="H74" s="488" t="str">
        <f>CONCATENATE("",E3-1," Ending Cash Balance (est.)")</f>
        <v>2013 Ending Cash Balance (est.)</v>
      </c>
      <c r="I74" s="580"/>
      <c r="J74" s="483"/>
      <c r="K74" s="16"/>
    </row>
    <row r="75" spans="2:11" ht="15.75">
      <c r="B75" s="386" t="str">
        <f>CONCATENATE(C89,"     ",D89)</f>
        <v>     </v>
      </c>
      <c r="C75" s="686" t="s">
        <v>660</v>
      </c>
      <c r="D75" s="687"/>
      <c r="E75" s="45">
        <f>E71+E74</f>
        <v>0</v>
      </c>
      <c r="F75" s="16"/>
      <c r="G75" s="489">
        <f>E59</f>
        <v>0</v>
      </c>
      <c r="H75" s="482" t="str">
        <f>CONCATENATE("",E3," Non-AV Receipts (est.)")</f>
        <v>2014 Non-AV Receipts (est.)</v>
      </c>
      <c r="I75" s="580"/>
      <c r="J75" s="483"/>
      <c r="K75" s="16"/>
    </row>
    <row r="76" spans="2:11" ht="15.75">
      <c r="B76" s="386" t="str">
        <f>CONCATENATE(C90,"     ",D90)</f>
        <v>     </v>
      </c>
      <c r="C76" s="493"/>
      <c r="D76" s="492" t="s">
        <v>661</v>
      </c>
      <c r="E76" s="42">
        <f>IF(E75-E60&gt;0,E75-E60,0)</f>
        <v>0</v>
      </c>
      <c r="F76" s="251"/>
      <c r="G76" s="481">
        <f>IF(E77&gt;0,E76,E78)</f>
        <v>0</v>
      </c>
      <c r="H76" s="482" t="str">
        <f>CONCATENATE("",E3," Ad Valorem Tax (est.)")</f>
        <v>2014 Ad Valorem Tax (est.)</v>
      </c>
      <c r="I76" s="580"/>
      <c r="J76" s="483"/>
      <c r="K76" s="581">
        <f>IF(G76=E78,"","Note: Does not include Delinquent Taxes")</f>
      </c>
    </row>
    <row r="77" spans="2:11" ht="15.75">
      <c r="B77" s="155"/>
      <c r="C77" s="491" t="s">
        <v>662</v>
      </c>
      <c r="D77" s="592">
        <f>inputOth!$E$35</f>
        <v>0.04</v>
      </c>
      <c r="E77" s="45">
        <f>ROUND(IF(D77&gt;0,(E76*D77),0),0)</f>
        <v>0</v>
      </c>
      <c r="G77" s="601">
        <f>SUM(G74:G76)</f>
        <v>0</v>
      </c>
      <c r="H77" s="482" t="str">
        <f>CONCATENATE("Total ",E3," Resources Available")</f>
        <v>Total 2014 Resources Available</v>
      </c>
      <c r="I77" s="483"/>
      <c r="J77" s="483"/>
      <c r="K77" s="16"/>
    </row>
    <row r="78" spans="2:11" ht="15.75">
      <c r="B78" s="18"/>
      <c r="C78" s="682" t="str">
        <f>CONCATENATE("Amount of  ",$E$3-1," Ad Valorem Tax")</f>
        <v>Amount of  2013 Ad Valorem Tax</v>
      </c>
      <c r="D78" s="683"/>
      <c r="E78" s="42">
        <f>E76+E77</f>
        <v>0</v>
      </c>
      <c r="F78" s="16"/>
      <c r="G78" s="602"/>
      <c r="H78" s="495"/>
      <c r="I78" s="69"/>
      <c r="J78" s="483"/>
      <c r="K78" s="16"/>
    </row>
    <row r="79" spans="2:11" ht="15.75">
      <c r="B79" s="18"/>
      <c r="C79" s="156"/>
      <c r="D79" s="156"/>
      <c r="E79" s="156"/>
      <c r="F79" s="16"/>
      <c r="G79" s="603">
        <f>ROUND(C71*0.05+C71,0)</f>
        <v>0</v>
      </c>
      <c r="H79" s="495" t="str">
        <f>CONCATENATE("Less ",E3-2," Expenditures + 5%")</f>
        <v>Less 2012 Expenditures + 5%</v>
      </c>
      <c r="I79" s="483"/>
      <c r="J79" s="483"/>
      <c r="K79" s="16"/>
    </row>
    <row r="80" spans="2:11" ht="15.75">
      <c r="B80" s="138" t="s">
        <v>44</v>
      </c>
      <c r="C80" s="252"/>
      <c r="D80" s="18"/>
      <c r="E80" s="18"/>
      <c r="F80" s="16"/>
      <c r="G80" s="604">
        <f>G77-G79</f>
        <v>0</v>
      </c>
      <c r="H80" s="496" t="str">
        <f>CONCATENATE("Projected ",E3+1," carryover (est.)")</f>
        <v>Projected 2015 carryover (est.)</v>
      </c>
      <c r="I80" s="477"/>
      <c r="J80" s="600"/>
      <c r="K80" s="16"/>
    </row>
    <row r="81" spans="6:11" ht="15.75">
      <c r="F81" s="16"/>
      <c r="G81" s="593"/>
      <c r="H81" s="593"/>
      <c r="I81" s="593"/>
      <c r="J81" s="16"/>
      <c r="K81" s="16"/>
    </row>
    <row r="82" spans="6:11" ht="15.75">
      <c r="F82" s="16"/>
      <c r="G82" s="679" t="s">
        <v>733</v>
      </c>
      <c r="H82" s="680"/>
      <c r="I82" s="680"/>
      <c r="J82" s="681"/>
      <c r="K82" s="16"/>
    </row>
    <row r="83" spans="6:11" ht="15.75">
      <c r="F83" s="16"/>
      <c r="G83" s="584"/>
      <c r="H83" s="488"/>
      <c r="I83" s="565"/>
      <c r="J83" s="585"/>
      <c r="K83" s="16"/>
    </row>
    <row r="84" spans="6:11" ht="15.75">
      <c r="F84" s="16"/>
      <c r="G84" s="586" t="e">
        <f>summ!#REF!</f>
        <v>#REF!</v>
      </c>
      <c r="H84" s="488" t="str">
        <f>CONCATENATE("",E3," Fund Mill Rate")</f>
        <v>2014 Fund Mill Rate</v>
      </c>
      <c r="I84" s="565"/>
      <c r="J84" s="585"/>
      <c r="K84" s="16"/>
    </row>
    <row r="85" spans="6:11" ht="15.75">
      <c r="F85" s="16"/>
      <c r="G85" s="588" t="e">
        <f>summ!#REF!</f>
        <v>#REF!</v>
      </c>
      <c r="H85" s="488" t="str">
        <f>CONCATENATE("",E3-1," Fund Mill Rate")</f>
        <v>2013 Fund Mill Rate</v>
      </c>
      <c r="I85" s="565"/>
      <c r="J85" s="585"/>
      <c r="K85" s="16"/>
    </row>
    <row r="86" spans="6:11" ht="15.75" customHeight="1">
      <c r="F86" s="16"/>
      <c r="G86" s="589">
        <f>summ!H24</f>
        <v>20</v>
      </c>
      <c r="H86" s="488" t="str">
        <f>CONCATENATE("Total ",E3," Mill Rate")</f>
        <v>Total 2014 Mill Rate</v>
      </c>
      <c r="I86" s="565"/>
      <c r="J86" s="585"/>
      <c r="K86" s="16"/>
    </row>
    <row r="87" spans="3:11" ht="19.5" customHeight="1">
      <c r="C87" s="95">
        <f>IF(C33&gt;C35,"See Tab A","")</f>
      </c>
      <c r="D87" s="95">
        <f>IF(D33&gt;D35,"See Tab C","")</f>
      </c>
      <c r="F87" s="16"/>
      <c r="G87" s="588">
        <f>summ!E24</f>
        <v>19.748</v>
      </c>
      <c r="H87" s="590" t="str">
        <f>CONCATENATE("Total ",E2-1," Mill Rate")</f>
        <v>Total -1 Mill Rate</v>
      </c>
      <c r="I87" s="591"/>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8"/>
      <c r="H91" s="567"/>
      <c r="I91" s="613"/>
      <c r="J91" s="609"/>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49"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E4" sqref="E4"/>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Sewer District No 4</v>
      </c>
      <c r="C1" s="222"/>
      <c r="D1" s="18"/>
      <c r="E1" s="182"/>
    </row>
    <row r="2" spans="2:5" ht="15.75">
      <c r="B2" s="18" t="str">
        <f>inputPrYr!D4</f>
        <v>Geary County</v>
      </c>
      <c r="C2" s="222"/>
      <c r="D2" s="18"/>
      <c r="E2" s="138"/>
    </row>
    <row r="3" spans="2:5" ht="15.75">
      <c r="B3" s="25" t="s">
        <v>82</v>
      </c>
      <c r="C3" s="222"/>
      <c r="D3" s="222"/>
      <c r="E3" s="138">
        <f>inputPrYr!D6</f>
        <v>2014</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4" sqref="E4"/>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Sewer District No 4</v>
      </c>
      <c r="B1" s="255"/>
      <c r="C1" s="60"/>
      <c r="D1" s="60"/>
      <c r="E1" s="60"/>
      <c r="F1" s="256" t="s">
        <v>232</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4">
        <f>inputPrYr!B30</f>
        <v>0</v>
      </c>
      <c r="B5" s="695"/>
      <c r="C5" s="694">
        <f>inputPrYr!B31</f>
        <v>0</v>
      </c>
      <c r="D5" s="695"/>
      <c r="E5" s="694">
        <f>inputPrYr!B32</f>
        <v>0</v>
      </c>
      <c r="F5" s="695"/>
      <c r="G5" s="694">
        <f>inputPrYr!B33</f>
        <v>0</v>
      </c>
      <c r="H5" s="695"/>
      <c r="I5" s="694">
        <f>inputPrYr!B34</f>
        <v>0</v>
      </c>
      <c r="J5" s="695"/>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9"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E4" sqref="E4"/>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tabSelected="1" zoomScalePageLayoutView="0" workbookViewId="0" topLeftCell="A1">
      <selection activeCell="F40" sqref="F4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10.89843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2" t="s">
        <v>83</v>
      </c>
      <c r="B1" s="642"/>
      <c r="C1" s="642"/>
      <c r="D1" s="642"/>
      <c r="E1" s="642"/>
      <c r="F1" s="642"/>
      <c r="G1" s="642"/>
      <c r="H1" s="704"/>
    </row>
    <row r="2" spans="1:8" ht="15.75">
      <c r="A2" s="18"/>
      <c r="B2" s="18"/>
      <c r="C2" s="18"/>
      <c r="D2" s="18"/>
      <c r="E2" s="18"/>
      <c r="F2" s="18"/>
      <c r="G2" s="18"/>
      <c r="H2" s="18"/>
    </row>
    <row r="3" spans="1:9" ht="15.75">
      <c r="A3" s="671" t="s">
        <v>110</v>
      </c>
      <c r="B3" s="671"/>
      <c r="C3" s="671"/>
      <c r="D3" s="671"/>
      <c r="E3" s="671"/>
      <c r="F3" s="671"/>
      <c r="G3" s="671"/>
      <c r="H3" s="671"/>
      <c r="I3" s="52">
        <f>inputPrYr!D6</f>
        <v>2014</v>
      </c>
    </row>
    <row r="4" spans="1:8" ht="15.75">
      <c r="A4" s="640" t="str">
        <f>'[1]inputPrYr'!$D$3&amp;" and "&amp;inputPrYr!D3</f>
        <v>Water Dist No 2 &amp; 3 and Sewer District No 4</v>
      </c>
      <c r="B4" s="640"/>
      <c r="C4" s="640"/>
      <c r="D4" s="640"/>
      <c r="E4" s="640"/>
      <c r="F4" s="640"/>
      <c r="G4" s="640"/>
      <c r="H4" s="640"/>
    </row>
    <row r="5" spans="1:8" ht="15.75">
      <c r="A5" s="707" t="str">
        <f>inputPrYr!D4</f>
        <v>Geary County</v>
      </c>
      <c r="B5" s="707"/>
      <c r="C5" s="707"/>
      <c r="D5" s="707"/>
      <c r="E5" s="707"/>
      <c r="F5" s="707"/>
      <c r="G5" s="707"/>
      <c r="H5" s="707"/>
    </row>
    <row r="6" spans="1:8" ht="15.75">
      <c r="A6" s="658" t="str">
        <f>CONCATENATE("will meet on ",inputBudSum!B7," at ",inputBudSum!B9," at ",inputBudSum!B11," for the purpose of hearing and")</f>
        <v>will meet on August 19, 2013 at 11:00 a.m. at the Geary County Office Building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the Geary County Office Building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2014</v>
      </c>
      <c r="K12" s="697"/>
      <c r="L12" s="697"/>
      <c r="M12" s="698"/>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213</v>
      </c>
      <c r="G14" s="705" t="str">
        <f>CONCATENATE("Amount of ",I3-1," Ad Valorem Tax")</f>
        <v>Amount of 2013 Ad Valorem Tax</v>
      </c>
      <c r="H14" s="293" t="s">
        <v>566</v>
      </c>
      <c r="J14" s="500" t="s">
        <v>667</v>
      </c>
      <c r="K14" s="501"/>
      <c r="L14" s="501"/>
      <c r="M14" s="502">
        <f>ROUND(F28/1000,0)</f>
        <v>604</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626" t="s">
        <v>798</v>
      </c>
      <c r="B16" s="114"/>
      <c r="C16" s="294"/>
      <c r="D16" s="114"/>
      <c r="E16" s="294"/>
      <c r="F16" s="114"/>
      <c r="G16" s="243"/>
      <c r="H16" s="294"/>
      <c r="J16" s="16"/>
      <c r="K16" s="16"/>
      <c r="L16" s="16"/>
      <c r="M16" s="16"/>
    </row>
    <row r="17" spans="1:13" ht="15.75">
      <c r="A17" s="36" t="s">
        <v>10</v>
      </c>
      <c r="B17" s="627">
        <f>'[1]summ'!$B$17</f>
        <v>13051</v>
      </c>
      <c r="C17" s="628">
        <f>'[1]summ'!$C$17</f>
        <v>9.959</v>
      </c>
      <c r="D17" s="627">
        <f>'[1]summ'!$D$17</f>
        <v>14230</v>
      </c>
      <c r="E17" s="628">
        <f>'[1]summ'!$E$17</f>
        <v>9.874</v>
      </c>
      <c r="F17" s="627">
        <f>'[1]summ'!$F$17</f>
        <v>21845</v>
      </c>
      <c r="G17" s="243">
        <f>'[1]summ'!$G$17</f>
        <v>6035</v>
      </c>
      <c r="H17" s="618">
        <f>'[1]summ'!$H$17</f>
        <v>10</v>
      </c>
      <c r="J17" s="16"/>
      <c r="K17" s="16"/>
      <c r="L17" s="16"/>
      <c r="M17" s="16"/>
    </row>
    <row r="18" spans="1:13" ht="15.75">
      <c r="A18" s="36" t="s">
        <v>272</v>
      </c>
      <c r="B18" s="114"/>
      <c r="C18" s="294"/>
      <c r="D18" s="114"/>
      <c r="E18" s="294"/>
      <c r="F18" s="114"/>
      <c r="G18" s="243"/>
      <c r="H18" s="294"/>
      <c r="J18" s="16"/>
      <c r="K18" s="16"/>
      <c r="L18" s="16"/>
      <c r="M18" s="16"/>
    </row>
    <row r="19" spans="1:13" ht="15.75">
      <c r="A19" s="625"/>
      <c r="B19" s="114"/>
      <c r="C19" s="294"/>
      <c r="D19" s="114"/>
      <c r="E19" s="294"/>
      <c r="F19" s="114"/>
      <c r="G19" s="243"/>
      <c r="H19" s="294"/>
      <c r="J19" s="16"/>
      <c r="K19" s="16"/>
      <c r="L19" s="16"/>
      <c r="M19" s="16"/>
    </row>
    <row r="20" spans="1:13" ht="15.75">
      <c r="A20" s="626" t="s">
        <v>785</v>
      </c>
      <c r="B20" s="114"/>
      <c r="C20" s="294"/>
      <c r="D20" s="114"/>
      <c r="E20" s="294"/>
      <c r="F20" s="114"/>
      <c r="G20" s="243"/>
      <c r="H20" s="294"/>
      <c r="J20" s="16"/>
      <c r="K20" s="16"/>
      <c r="L20" s="16"/>
      <c r="M20" s="16"/>
    </row>
    <row r="21" spans="1:13" ht="15.75">
      <c r="A21" s="36" t="str">
        <f>inputPrYr!B19</f>
        <v>General</v>
      </c>
      <c r="B21" s="123">
        <f>IF(gen!$C$61&lt;&gt;0,gen!$C$61,"  ")</f>
        <v>13453</v>
      </c>
      <c r="C21" s="618">
        <f>IF(inputPrYr!D38&gt;0,inputPrYr!D38,"  ")</f>
        <v>9.959</v>
      </c>
      <c r="D21" s="555">
        <f>IF(gen!$D$61&lt;&gt;0,gen!$D$61,"  ")</f>
        <v>11875</v>
      </c>
      <c r="E21" s="621">
        <f>IF(inputOth!D16&gt;0,inputOth!D16,"  ")</f>
        <v>9.874</v>
      </c>
      <c r="F21" s="555">
        <f>IF(gen!$E$61&lt;&gt;0,gen!$E$61,"  ")</f>
        <v>16345</v>
      </c>
      <c r="G21" s="243">
        <f>IF(gen!$E$68&lt;&gt;0,gen!$E$68,"  ")</f>
        <v>6035</v>
      </c>
      <c r="H21" s="618">
        <f>IF(gen!E68&gt;0,ROUND(G21/$F$28*1000,3)," ")</f>
        <v>10</v>
      </c>
      <c r="J21" s="696" t="str">
        <f>CONCATENATE("Want The Mill Rate The Same As For ",I3-1,"?")</f>
        <v>Want The Mill Rate The Same As For 2013?</v>
      </c>
      <c r="K21" s="699"/>
      <c r="L21" s="699"/>
      <c r="M21" s="700"/>
    </row>
    <row r="22" spans="1:13" ht="15.75">
      <c r="A22" s="36" t="s">
        <v>272</v>
      </c>
      <c r="B22" s="123" t="str">
        <f>IF(DebtService!$C$53&lt;&gt;0,DebtService!$C$53,"  ")</f>
        <v>  </v>
      </c>
      <c r="C22" s="618" t="str">
        <f>IF(inputPrYr!D39&gt;0,inputPrYr!D39,"  ")</f>
        <v>  </v>
      </c>
      <c r="D22" s="555" t="str">
        <f>IF(DebtService!$D$53&lt;&gt;0,DebtService!$D$53,"  ")</f>
        <v>  </v>
      </c>
      <c r="E22" s="621" t="str">
        <f>IF(inputOth!D17&gt;0,inputOth!D17,"  ")</f>
        <v>  </v>
      </c>
      <c r="F22" s="555" t="str">
        <f>IF(DebtService!$E$53&lt;&gt;0,DebtService!$E$53,"  ")</f>
        <v>  </v>
      </c>
      <c r="G22" s="243" t="str">
        <f>IF(DebtService!$E$60&lt;&gt;0,DebtService!$E$60,"  ")</f>
        <v>  </v>
      </c>
      <c r="H22" s="618" t="str">
        <f>IF(DebtService!E60&gt;0,ROUND(G22/$F$28*1000,3)," ")</f>
        <v> </v>
      </c>
      <c r="J22" s="503"/>
      <c r="K22" s="498"/>
      <c r="L22" s="498"/>
      <c r="M22" s="504"/>
    </row>
    <row r="23" spans="1:13" ht="16.5" thickBot="1">
      <c r="A23" s="124">
        <f>IF((inputPrYr!$B$30&gt;" "),(NonBud!$A$3),"")</f>
      </c>
      <c r="B23" s="485">
        <f>IF(NonBud!K28&gt;0,NonBud!K28,"")</f>
      </c>
      <c r="C23" s="619"/>
      <c r="D23" s="617"/>
      <c r="E23" s="622"/>
      <c r="F23" s="617"/>
      <c r="G23" s="623"/>
      <c r="H23" s="619"/>
      <c r="J23" s="506"/>
      <c r="K23" s="506"/>
      <c r="L23" s="506"/>
      <c r="M23" s="506"/>
    </row>
    <row r="24" spans="1:13" ht="15.75">
      <c r="A24" s="33" t="s">
        <v>134</v>
      </c>
      <c r="B24" s="615">
        <f aca="true" t="shared" si="0" ref="B24:H24">SUM(B17:B22)</f>
        <v>26504</v>
      </c>
      <c r="C24" s="620">
        <f t="shared" si="0"/>
        <v>19.918</v>
      </c>
      <c r="D24" s="615">
        <f t="shared" si="0"/>
        <v>26105</v>
      </c>
      <c r="E24" s="620">
        <f t="shared" si="0"/>
        <v>19.748</v>
      </c>
      <c r="F24" s="615">
        <f t="shared" si="0"/>
        <v>38190</v>
      </c>
      <c r="G24" s="615">
        <f t="shared" si="0"/>
        <v>12070</v>
      </c>
      <c r="H24" s="620">
        <f t="shared" si="0"/>
        <v>20</v>
      </c>
      <c r="J24" s="696" t="str">
        <f>CONCATENATE("Impact On Keeping The Same Mill Rate As For ",I3-1,"")</f>
        <v>Impact On Keeping The Same Mill Rate As For 2013</v>
      </c>
      <c r="K24" s="701"/>
      <c r="L24" s="701"/>
      <c r="M24" s="702"/>
    </row>
    <row r="25" spans="1:13" ht="15.75">
      <c r="A25" s="33" t="s">
        <v>168</v>
      </c>
      <c r="B25" s="42">
        <f>transfers!C26</f>
        <v>0</v>
      </c>
      <c r="C25" s="126"/>
      <c r="D25" s="42">
        <f>transfers!D26</f>
        <v>0</v>
      </c>
      <c r="E25" s="126"/>
      <c r="F25" s="616">
        <f>transfers!E26</f>
        <v>0</v>
      </c>
      <c r="G25" s="238"/>
      <c r="H25" s="295"/>
      <c r="J25" s="503"/>
      <c r="K25" s="498"/>
      <c r="L25" s="498"/>
      <c r="M25" s="504"/>
    </row>
    <row r="26" spans="1:13" ht="16.5" thickBot="1">
      <c r="A26" s="33" t="s">
        <v>169</v>
      </c>
      <c r="B26" s="129">
        <f>SUM(B24-B25)</f>
        <v>26504</v>
      </c>
      <c r="C26" s="296"/>
      <c r="D26" s="129">
        <f>SUM(D24-D25)</f>
        <v>26105</v>
      </c>
      <c r="E26" s="296"/>
      <c r="F26" s="484">
        <f>SUM(F24-F25)</f>
        <v>38190</v>
      </c>
      <c r="G26" s="238"/>
      <c r="H26" s="295"/>
      <c r="J26" s="503" t="str">
        <f>CONCATENATE("",I3," Ad Valorem Tax Revenue:")</f>
        <v>2014 Ad Valorem Tax Revenue:</v>
      </c>
      <c r="K26" s="498"/>
      <c r="L26" s="498"/>
      <c r="M26" s="499">
        <f>G24</f>
        <v>12070</v>
      </c>
    </row>
    <row r="27" spans="1:13" ht="16.5" thickTop="1">
      <c r="A27" s="33" t="s">
        <v>54</v>
      </c>
      <c r="B27" s="615">
        <f>inputPrYr!E44</f>
        <v>11204</v>
      </c>
      <c r="C27" s="215"/>
      <c r="D27" s="615">
        <f>inputPrYr!E24*2</f>
        <v>11680</v>
      </c>
      <c r="E27" s="215"/>
      <c r="F27" s="83" t="s">
        <v>174</v>
      </c>
      <c r="G27" s="18"/>
      <c r="H27" s="18"/>
      <c r="J27" s="503" t="str">
        <f>CONCATENATE("",I3-1," Ad Valorem Tax Revenue:")</f>
        <v>2013 Ad Valorem Tax Revenue:</v>
      </c>
      <c r="K27" s="498"/>
      <c r="L27" s="498"/>
      <c r="M27" s="507" t="e">
        <f>ROUND(F28*#REF!/1000,0)</f>
        <v>#REF!</v>
      </c>
    </row>
    <row r="28" spans="1:13" ht="15.75">
      <c r="A28" s="33" t="s">
        <v>170</v>
      </c>
      <c r="B28" s="42">
        <f>inputPrYr!E45</f>
        <v>562487</v>
      </c>
      <c r="C28" s="215"/>
      <c r="D28" s="42">
        <f>inputOth!E24</f>
        <v>591442</v>
      </c>
      <c r="E28" s="215"/>
      <c r="F28" s="42">
        <f>inputOth!E7</f>
        <v>603521</v>
      </c>
      <c r="G28" s="18"/>
      <c r="H28" s="18"/>
      <c r="J28" s="508" t="s">
        <v>668</v>
      </c>
      <c r="K28" s="509"/>
      <c r="L28" s="509"/>
      <c r="M28" s="502" t="e">
        <f>M26-M27</f>
        <v>#REF!</v>
      </c>
    </row>
    <row r="29" spans="1:13" ht="15.75">
      <c r="A29" s="20"/>
      <c r="B29" s="238"/>
      <c r="C29" s="69"/>
      <c r="D29" s="238"/>
      <c r="E29" s="69"/>
      <c r="F29" s="238"/>
      <c r="G29" s="18"/>
      <c r="H29" s="18"/>
      <c r="J29" s="510"/>
      <c r="K29" s="510"/>
      <c r="L29" s="510"/>
      <c r="M29" s="506"/>
    </row>
    <row r="30" spans="1:13" ht="15.75">
      <c r="A30" s="17" t="s">
        <v>55</v>
      </c>
      <c r="B30" s="18"/>
      <c r="C30" s="18"/>
      <c r="D30" s="18"/>
      <c r="E30" s="18"/>
      <c r="F30" s="18"/>
      <c r="G30" s="18"/>
      <c r="H30" s="18"/>
      <c r="J30" s="696" t="s">
        <v>669</v>
      </c>
      <c r="K30" s="699"/>
      <c r="L30" s="699"/>
      <c r="M30" s="700"/>
    </row>
    <row r="31" spans="1:13" ht="15.75">
      <c r="A31" s="17" t="s">
        <v>167</v>
      </c>
      <c r="B31" s="98">
        <f>I3-3</f>
        <v>2011</v>
      </c>
      <c r="C31" s="18"/>
      <c r="D31" s="98">
        <f>I3-2</f>
        <v>2012</v>
      </c>
      <c r="E31" s="18"/>
      <c r="F31" s="98">
        <f>I3-1</f>
        <v>2013</v>
      </c>
      <c r="G31" s="18"/>
      <c r="H31" s="18"/>
      <c r="J31" s="503"/>
      <c r="K31" s="498"/>
      <c r="L31" s="498"/>
      <c r="M31" s="504"/>
    </row>
    <row r="32" spans="1:13" ht="15.75">
      <c r="A32" s="17" t="s">
        <v>56</v>
      </c>
      <c r="B32" s="297">
        <f>inputPrYr!D48</f>
        <v>0</v>
      </c>
      <c r="C32" s="156"/>
      <c r="D32" s="297">
        <f>inputPrYr!E48</f>
        <v>0</v>
      </c>
      <c r="E32" s="18"/>
      <c r="F32" s="297">
        <f>debt!F12</f>
        <v>0</v>
      </c>
      <c r="G32" s="18"/>
      <c r="H32" s="52"/>
      <c r="J32" s="503" t="str">
        <f>CONCATENATE("Current ",I3," Estimated Mill Rate:")</f>
        <v>Current 2014 Estimated Mill Rate:</v>
      </c>
      <c r="K32" s="498"/>
      <c r="L32" s="498"/>
      <c r="M32" s="505">
        <f>H24</f>
        <v>20</v>
      </c>
    </row>
    <row r="33" spans="1:13" ht="15.75">
      <c r="A33" s="18" t="s">
        <v>57</v>
      </c>
      <c r="B33" s="297">
        <f>inputPrYr!D49</f>
        <v>0</v>
      </c>
      <c r="C33" s="18"/>
      <c r="D33" s="297">
        <f>inputPrYr!E49</f>
        <v>0</v>
      </c>
      <c r="E33" s="18"/>
      <c r="F33" s="297">
        <f>debt!F16</f>
        <v>0</v>
      </c>
      <c r="G33" s="18"/>
      <c r="H33" s="52"/>
      <c r="J33" s="503" t="str">
        <f>CONCATENATE("Desired ",I3," Mill Rate:")</f>
        <v>Desired 2014 Mill Rate:</v>
      </c>
      <c r="K33" s="498"/>
      <c r="L33" s="498"/>
      <c r="M33" s="511">
        <v>0</v>
      </c>
    </row>
    <row r="34" spans="1:13" ht="15.75">
      <c r="A34" s="17" t="s">
        <v>663</v>
      </c>
      <c r="B34" s="297">
        <f>inputPrYr!D50</f>
        <v>0</v>
      </c>
      <c r="C34" s="156"/>
      <c r="D34" s="297">
        <f>inputPrYr!E50</f>
        <v>0</v>
      </c>
      <c r="E34" s="18"/>
      <c r="F34" s="297">
        <f>debt!F20</f>
        <v>0</v>
      </c>
      <c r="G34" s="18"/>
      <c r="H34" s="52"/>
      <c r="J34" s="503" t="str">
        <f>CONCATENATE("",I3," Ad Valorem Tax:")</f>
        <v>2014 Ad Valorem Tax:</v>
      </c>
      <c r="K34" s="498"/>
      <c r="L34" s="498"/>
      <c r="M34" s="507">
        <f>ROUND(F28*M33/1000,0)</f>
        <v>0</v>
      </c>
    </row>
    <row r="35" spans="1:13" ht="15.75">
      <c r="A35" s="17" t="s">
        <v>135</v>
      </c>
      <c r="B35" s="297">
        <f>inputPrYr!D51</f>
        <v>0</v>
      </c>
      <c r="C35" s="18"/>
      <c r="D35" s="297">
        <f>inputPrYr!E51</f>
        <v>0</v>
      </c>
      <c r="E35" s="18"/>
      <c r="F35" s="297">
        <f>debt!G41</f>
        <v>0</v>
      </c>
      <c r="G35" s="18"/>
      <c r="H35" s="52"/>
      <c r="J35" s="508" t="str">
        <f>CONCATENATE("",I3," Tax Levy Fund Exp. Changed By:")</f>
        <v>2014 Tax Levy Fund Exp. Changed By:</v>
      </c>
      <c r="K35" s="509"/>
      <c r="L35" s="509"/>
      <c r="M35" s="502">
        <f>IF(M33=0,0,(M34-G24))</f>
        <v>0</v>
      </c>
    </row>
    <row r="36" spans="1:8" ht="16.5" thickBot="1">
      <c r="A36" s="253" t="s">
        <v>58</v>
      </c>
      <c r="B36" s="298">
        <f>SUM(B32:B35)</f>
        <v>0</v>
      </c>
      <c r="C36" s="18"/>
      <c r="D36" s="298">
        <f>SUM(D32:D35)</f>
        <v>0</v>
      </c>
      <c r="E36" s="18"/>
      <c r="F36" s="298">
        <f>SUM(F32:F35)</f>
        <v>0</v>
      </c>
      <c r="G36" s="299"/>
      <c r="H36" s="52"/>
    </row>
    <row r="37" spans="1:8" ht="16.5" thickTop="1">
      <c r="A37" s="52"/>
      <c r="B37" s="18"/>
      <c r="C37" s="18"/>
      <c r="D37" s="18"/>
      <c r="E37" s="18"/>
      <c r="F37" s="18"/>
      <c r="G37" s="18"/>
      <c r="H37" s="52"/>
    </row>
    <row r="38" spans="1:8" ht="15.75">
      <c r="A38" s="253" t="s">
        <v>59</v>
      </c>
      <c r="B38" s="18"/>
      <c r="C38" s="18"/>
      <c r="D38" s="18"/>
      <c r="E38" s="222"/>
      <c r="F38" s="222"/>
      <c r="G38" s="18"/>
      <c r="H38" s="52"/>
    </row>
    <row r="39" spans="1:8" ht="15.75">
      <c r="A39" s="52"/>
      <c r="B39" s="18"/>
      <c r="C39" s="18"/>
      <c r="D39" s="18"/>
      <c r="E39" s="18"/>
      <c r="F39" s="18"/>
      <c r="G39" s="18"/>
      <c r="H39" s="52"/>
    </row>
    <row r="40" spans="1:8" ht="15.75">
      <c r="A40" s="60"/>
      <c r="B40" s="18"/>
      <c r="C40" s="18"/>
      <c r="D40" s="18"/>
      <c r="E40" s="18"/>
      <c r="F40" s="18"/>
      <c r="G40" s="18"/>
      <c r="H40" s="60"/>
    </row>
    <row r="41" spans="1:8" ht="15.75">
      <c r="A41" s="703" t="str">
        <f>inputBudSum!B3</f>
        <v>Rebecca Bossemeyer</v>
      </c>
      <c r="B41" s="666"/>
      <c r="C41" s="99"/>
      <c r="D41" s="18"/>
      <c r="E41" s="18"/>
      <c r="F41" s="18"/>
      <c r="G41" s="18"/>
      <c r="H41" s="52"/>
    </row>
    <row r="42" spans="1:8" ht="15.75">
      <c r="A42" s="708" t="str">
        <f>inputBudSum!B5</f>
        <v>County Clerk</v>
      </c>
      <c r="B42" s="709"/>
      <c r="C42" s="18"/>
      <c r="D42" s="138" t="s">
        <v>44</v>
      </c>
      <c r="E42" s="486">
        <v>7</v>
      </c>
      <c r="F42" s="18"/>
      <c r="G42" s="18"/>
      <c r="H42" s="52"/>
    </row>
    <row r="44" spans="1:8" ht="15.75">
      <c r="A44" s="16"/>
      <c r="B44" s="16"/>
      <c r="C44" s="16"/>
      <c r="D44" s="16"/>
      <c r="E44" s="16"/>
      <c r="F44" s="16"/>
      <c r="G44" s="16"/>
      <c r="H44"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row r="54" spans="1:8" ht="15.75">
      <c r="A54" s="16"/>
      <c r="B54" s="16"/>
      <c r="C54" s="16"/>
      <c r="D54" s="16"/>
      <c r="E54" s="16"/>
      <c r="F54" s="16"/>
      <c r="G54" s="16"/>
      <c r="H54" s="16"/>
    </row>
  </sheetData>
  <sheetProtection/>
  <mergeCells count="12">
    <mergeCell ref="A42:B42"/>
    <mergeCell ref="A6:H6"/>
    <mergeCell ref="J12:M12"/>
    <mergeCell ref="J21:M21"/>
    <mergeCell ref="J24:M24"/>
    <mergeCell ref="J30:M30"/>
    <mergeCell ref="A41:B41"/>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E4" sqref="E4"/>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Sewer District No 4</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2014 Neighborhood Revitalization Rebate</v>
      </c>
      <c r="C4" s="712"/>
      <c r="D4" s="712"/>
      <c r="E4" s="704"/>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3" t="str">
        <f>CONCATENATE("",F1-1," July 1 Valuation:")</f>
        <v>2013 July 1 Valuation:</v>
      </c>
      <c r="B16" s="711"/>
      <c r="C16" s="713"/>
      <c r="D16" s="308">
        <f>inputOth!E7</f>
        <v>603521</v>
      </c>
      <c r="E16" s="18"/>
      <c r="F16" s="52"/>
    </row>
    <row r="17" spans="1:6" ht="15.75">
      <c r="A17" s="18"/>
      <c r="B17" s="18"/>
      <c r="C17" s="18"/>
      <c r="D17" s="18"/>
      <c r="E17" s="18"/>
      <c r="F17" s="52"/>
    </row>
    <row r="18" spans="1:6" ht="15.75">
      <c r="A18" s="18"/>
      <c r="B18" s="713" t="s">
        <v>319</v>
      </c>
      <c r="C18" s="713"/>
      <c r="D18" s="309">
        <f>IF(D16&gt;0,(D16*0.001),"")</f>
        <v>603.521</v>
      </c>
      <c r="E18" s="18"/>
      <c r="F18" s="52"/>
    </row>
    <row r="19" spans="1:6" ht="15.75">
      <c r="A19" s="18"/>
      <c r="B19" s="138"/>
      <c r="C19" s="138"/>
      <c r="D19" s="310"/>
      <c r="E19" s="18"/>
      <c r="F19" s="52"/>
    </row>
    <row r="20" spans="1:6" ht="15.75">
      <c r="A20" s="710" t="s">
        <v>317</v>
      </c>
      <c r="B20" s="704"/>
      <c r="C20" s="704"/>
      <c r="D20" s="311">
        <f>inputOth!E12</f>
        <v>0</v>
      </c>
      <c r="E20" s="62"/>
      <c r="F20" s="62"/>
    </row>
    <row r="21" spans="1:6" ht="15">
      <c r="A21" s="62"/>
      <c r="B21" s="62"/>
      <c r="C21" s="62"/>
      <c r="D21" s="312"/>
      <c r="E21" s="62"/>
      <c r="F21" s="62"/>
    </row>
    <row r="22" spans="1:6" ht="15.75">
      <c r="A22" s="62"/>
      <c r="B22" s="710" t="s">
        <v>318</v>
      </c>
      <c r="C22" s="71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 sqref="E4"/>
    </sheetView>
  </sheetViews>
  <sheetFormatPr defaultColWidth="9.796875" defaultRowHeight="15"/>
  <cols>
    <col min="1" max="1" width="8.8984375" style="2" customWidth="1"/>
    <col min="2" max="16384" width="9.796875" style="2" customWidth="1"/>
  </cols>
  <sheetData>
    <row r="1" spans="2:8" ht="15.75">
      <c r="B1" s="722" t="s">
        <v>140</v>
      </c>
      <c r="C1" s="722"/>
      <c r="D1" s="722"/>
      <c r="E1" s="722"/>
      <c r="F1" s="722"/>
      <c r="G1" s="722"/>
      <c r="H1" s="722"/>
    </row>
    <row r="2" spans="2:8" ht="15.75">
      <c r="B2" s="6"/>
      <c r="C2"/>
      <c r="D2"/>
      <c r="E2"/>
      <c r="F2"/>
      <c r="G2"/>
      <c r="H2"/>
    </row>
    <row r="3" spans="2:8" ht="15.75">
      <c r="B3" s="723" t="s">
        <v>137</v>
      </c>
      <c r="C3" s="723"/>
      <c r="D3" s="723"/>
      <c r="E3" s="723"/>
      <c r="F3" s="723"/>
      <c r="G3" s="723"/>
      <c r="H3" s="723"/>
    </row>
    <row r="4" spans="2:8" ht="15.75">
      <c r="B4" s="7"/>
      <c r="C4"/>
      <c r="D4"/>
      <c r="E4"/>
      <c r="F4"/>
      <c r="G4"/>
      <c r="H4"/>
    </row>
    <row r="5" spans="2:8" ht="15.75">
      <c r="B5" s="715" t="str">
        <f>CONCATENATE("A resolution expressing the property taxation policy of the Board of ",(inputPrYr!D3)," District with respect to financing the ",inputPrYr!D6," annual budget for ",(inputPrYr!D3)," , ",(inputPrYr!D4)," , Kansas.")</f>
        <v>A resolution expressing the property taxation policy of the Board of Sewer District No 4 District with respect to financing the 2014 annual budget for Sewer District No 4 , Geary County , Kansas.</v>
      </c>
      <c r="C5" s="716"/>
      <c r="D5" s="716"/>
      <c r="E5" s="716"/>
      <c r="F5" s="716"/>
      <c r="G5" s="716"/>
      <c r="H5" s="716"/>
    </row>
    <row r="6" spans="2:10" ht="15.75">
      <c r="B6" s="716"/>
      <c r="C6" s="716"/>
      <c r="D6" s="716"/>
      <c r="E6" s="716"/>
      <c r="F6" s="716"/>
      <c r="G6" s="716"/>
      <c r="H6" s="716"/>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Sewer District No 4 district budget exceed the amount levied to finance the</v>
      </c>
      <c r="C9"/>
      <c r="D9"/>
      <c r="E9"/>
      <c r="F9"/>
      <c r="G9"/>
      <c r="H9"/>
    </row>
    <row r="10" spans="2:8" ht="15.75">
      <c r="B10" s="12" t="str">
        <f>CONCATENATE("",inputPrYr!D6-1," ",inputPrYr!D3," except with regard to revenue produced and attributable to the")</f>
        <v>2013 Sewer District No 4 except with regard to revenue produced and attributable to the</v>
      </c>
      <c r="C10"/>
      <c r="D10"/>
      <c r="E10"/>
      <c r="F10"/>
      <c r="G10"/>
      <c r="H10"/>
    </row>
    <row r="11" spans="2:8" ht="15.75">
      <c r="B11" s="719" t="s">
        <v>176</v>
      </c>
      <c r="C11" s="724"/>
      <c r="D11" s="724"/>
      <c r="E11" s="724"/>
      <c r="F11" s="724"/>
      <c r="G11" s="724"/>
      <c r="H11" s="724"/>
    </row>
    <row r="12" spans="2:8" ht="15.75">
      <c r="B12" s="724"/>
      <c r="C12" s="724"/>
      <c r="D12" s="724"/>
      <c r="E12" s="724"/>
      <c r="F12" s="724"/>
      <c r="G12" s="724"/>
      <c r="H12" s="724"/>
    </row>
    <row r="13" spans="2:8" ht="15.75">
      <c r="B13" s="724"/>
      <c r="C13" s="724"/>
      <c r="D13" s="724"/>
      <c r="E13" s="724"/>
      <c r="F13" s="724"/>
      <c r="G13" s="724"/>
      <c r="H13" s="724"/>
    </row>
    <row r="14" spans="2:8" ht="15.75">
      <c r="B14" s="724"/>
      <c r="C14" s="724"/>
      <c r="D14" s="724"/>
      <c r="E14" s="724"/>
      <c r="F14" s="724"/>
      <c r="G14" s="724"/>
      <c r="H14" s="724"/>
    </row>
    <row r="15" spans="2:8" ht="15.75">
      <c r="B15" s="1"/>
      <c r="C15" s="1"/>
      <c r="D15" s="1"/>
      <c r="E15" s="1"/>
      <c r="F15" s="1"/>
      <c r="G15" s="1"/>
      <c r="H15" s="1"/>
    </row>
    <row r="16" spans="2:8" ht="15.75">
      <c r="B16" s="717" t="s">
        <v>149</v>
      </c>
      <c r="C16" s="718"/>
      <c r="D16" s="718"/>
      <c r="E16" s="718"/>
      <c r="F16" s="718"/>
      <c r="G16" s="718"/>
      <c r="H16" s="718"/>
    </row>
    <row r="17" spans="2:8" ht="15.75">
      <c r="B17" s="718"/>
      <c r="C17" s="718"/>
      <c r="D17" s="718"/>
      <c r="E17" s="718"/>
      <c r="F17" s="718"/>
      <c r="G17" s="718"/>
      <c r="H17" s="718"/>
    </row>
    <row r="18" spans="2:8" ht="15.75">
      <c r="B18" s="12"/>
      <c r="C18"/>
      <c r="D18"/>
      <c r="E18"/>
      <c r="F18"/>
      <c r="G18"/>
      <c r="H18"/>
    </row>
    <row r="19" spans="2:8" ht="15.75">
      <c r="B19" s="12" t="str">
        <f>CONCATENATE("Whereas, ",(inputPrYr!D3)," provides essential services to district residents; and")</f>
        <v>Whereas, Sewer District No 4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Sewer District No 4 that is our desire to notify the public of the possibility of increased property taxes to finance the 2014 Sewer District No 4  budget as defined above.</v>
      </c>
      <c r="C23" s="720"/>
      <c r="D23" s="720"/>
      <c r="E23" s="720"/>
      <c r="F23" s="720"/>
      <c r="G23" s="720"/>
      <c r="H23" s="720"/>
    </row>
    <row r="24" spans="2:8" ht="15.75">
      <c r="B24" s="720"/>
      <c r="C24" s="720"/>
      <c r="D24" s="720"/>
      <c r="E24" s="720"/>
      <c r="F24" s="720"/>
      <c r="G24" s="720"/>
      <c r="H24" s="720"/>
    </row>
    <row r="25" spans="2:8" ht="15.75">
      <c r="B25" s="720"/>
      <c r="C25" s="720"/>
      <c r="D25" s="720"/>
      <c r="E25" s="720"/>
      <c r="F25" s="720"/>
      <c r="G25" s="720"/>
      <c r="H25" s="720"/>
    </row>
    <row r="26" spans="2:8" ht="15.75">
      <c r="B26" s="12"/>
      <c r="C26"/>
      <c r="D26"/>
      <c r="E26"/>
      <c r="F26"/>
      <c r="G26"/>
      <c r="H26"/>
    </row>
    <row r="27" spans="2:8" ht="15.75">
      <c r="B27" s="717" t="str">
        <f>CONCATENATE("Adopted this _________ day of ___________, ",inputPrYr!D6-1," by the ",(inputPrYr!D3)," District Board, ",(inputPrYr!D4),", Kansas.")</f>
        <v>Adopted this _________ day of ___________, 2013 by the Sewer District No 4 District Board, Geary County, Kansas.</v>
      </c>
      <c r="C27" s="716"/>
      <c r="D27" s="716"/>
      <c r="E27" s="716"/>
      <c r="F27" s="716"/>
      <c r="G27" s="716"/>
      <c r="H27" s="716"/>
    </row>
    <row r="28" spans="2:8" ht="15.75">
      <c r="B28" s="716"/>
      <c r="C28" s="716"/>
      <c r="D28" s="716"/>
      <c r="E28" s="716"/>
      <c r="F28" s="716"/>
      <c r="G28" s="716"/>
      <c r="H28" s="716"/>
    </row>
    <row r="29" spans="2:8" ht="15.75">
      <c r="B29" s="8"/>
      <c r="C29"/>
      <c r="D29"/>
      <c r="E29"/>
      <c r="F29"/>
      <c r="G29"/>
      <c r="H29"/>
    </row>
    <row r="30" spans="2:8" ht="15.75">
      <c r="B30" s="8"/>
      <c r="C30"/>
      <c r="D30"/>
      <c r="E30"/>
      <c r="F30"/>
      <c r="G30"/>
      <c r="H30"/>
    </row>
    <row r="31" spans="2:8" ht="15.75">
      <c r="B31" s="9" t="str">
        <f>CONCATENATE(" ",(inputPrYr!D3)," District Board")</f>
        <v> Sewer District No 4 District Board</v>
      </c>
      <c r="C31"/>
      <c r="D31"/>
      <c r="E31"/>
      <c r="F31"/>
      <c r="G31"/>
      <c r="H31"/>
    </row>
    <row r="32" spans="2:8" ht="15.75">
      <c r="B32" s="8"/>
      <c r="C32"/>
      <c r="D32"/>
      <c r="E32"/>
      <c r="F32"/>
      <c r="G32"/>
      <c r="H32"/>
    </row>
    <row r="33" spans="2:8" ht="15.75">
      <c r="B33"/>
      <c r="C33"/>
      <c r="D33"/>
      <c r="E33" s="721" t="s">
        <v>138</v>
      </c>
      <c r="F33" s="721"/>
      <c r="G33" s="721"/>
      <c r="H33" s="721"/>
    </row>
    <row r="34" spans="2:8" ht="15.75">
      <c r="B34"/>
      <c r="C34"/>
      <c r="D34"/>
      <c r="E34" s="721" t="s">
        <v>141</v>
      </c>
      <c r="F34" s="721"/>
      <c r="G34" s="721"/>
      <c r="H34" s="721"/>
    </row>
    <row r="35" spans="2:8" ht="15.75">
      <c r="B35" s="8"/>
      <c r="C35"/>
      <c r="D35"/>
      <c r="E35" s="721"/>
      <c r="F35" s="721"/>
      <c r="G35" s="721"/>
      <c r="H35" s="721"/>
    </row>
    <row r="36" spans="2:8" ht="15.75">
      <c r="B36"/>
      <c r="C36"/>
      <c r="D36"/>
      <c r="E36" s="721" t="s">
        <v>138</v>
      </c>
      <c r="F36" s="721"/>
      <c r="G36" s="721"/>
      <c r="H36" s="721"/>
    </row>
    <row r="37" spans="2:8" ht="15.75">
      <c r="B37"/>
      <c r="C37"/>
      <c r="D37"/>
      <c r="E37" s="721" t="s">
        <v>142</v>
      </c>
      <c r="F37" s="721"/>
      <c r="G37" s="721"/>
      <c r="H37" s="721"/>
    </row>
    <row r="38" spans="2:8" ht="15.75">
      <c r="B38" s="8"/>
      <c r="C38"/>
      <c r="D38"/>
      <c r="E38" s="721"/>
      <c r="F38" s="721"/>
      <c r="G38" s="721"/>
      <c r="H38" s="721"/>
    </row>
    <row r="39" spans="2:8" ht="15.75">
      <c r="B39"/>
      <c r="C39"/>
      <c r="D39"/>
      <c r="E39" s="721" t="s">
        <v>138</v>
      </c>
      <c r="F39" s="721"/>
      <c r="G39" s="721"/>
      <c r="H39" s="721"/>
    </row>
    <row r="40" spans="2:8" ht="15.75">
      <c r="B40"/>
      <c r="C40"/>
      <c r="D40"/>
      <c r="E40" s="721" t="s">
        <v>143</v>
      </c>
      <c r="F40" s="721"/>
      <c r="G40" s="721"/>
      <c r="H40" s="72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4"/>
      <c r="F46" s="714"/>
      <c r="G46" s="714"/>
      <c r="H46" s="714"/>
    </row>
    <row r="47" spans="2:8" ht="15.75">
      <c r="B47" s="3"/>
      <c r="E47" s="714"/>
      <c r="F47" s="714"/>
      <c r="G47" s="714"/>
      <c r="H47" s="714"/>
    </row>
    <row r="48" spans="5:8" ht="15.75">
      <c r="E48" s="714"/>
      <c r="F48" s="714"/>
      <c r="G48" s="714"/>
      <c r="H48" s="714"/>
    </row>
    <row r="49" spans="5:8" ht="15.75">
      <c r="E49" s="714"/>
      <c r="F49" s="714"/>
      <c r="G49" s="714"/>
      <c r="H49" s="714"/>
    </row>
    <row r="50" spans="2:8" ht="15.75">
      <c r="B50" s="3"/>
      <c r="E50" s="714"/>
      <c r="F50" s="714"/>
      <c r="G50" s="714"/>
      <c r="H50" s="71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 sqref="E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40" t="s">
        <v>7</v>
      </c>
      <c r="B1" s="641"/>
      <c r="C1" s="641"/>
      <c r="D1" s="641"/>
      <c r="E1" s="641"/>
    </row>
    <row r="2" spans="1:5" ht="15.75">
      <c r="A2" s="17"/>
      <c r="B2" s="18"/>
      <c r="C2" s="18"/>
      <c r="D2" s="18"/>
      <c r="E2" s="18"/>
    </row>
    <row r="3" spans="1:5" ht="15.75">
      <c r="A3" s="19" t="s">
        <v>131</v>
      </c>
      <c r="B3" s="18"/>
      <c r="C3" s="18"/>
      <c r="D3" s="517" t="s">
        <v>785</v>
      </c>
      <c r="E3" s="20"/>
    </row>
    <row r="4" spans="1:5" ht="15.75">
      <c r="A4" s="19" t="s">
        <v>227</v>
      </c>
      <c r="B4" s="18"/>
      <c r="C4" s="18"/>
      <c r="D4" s="518" t="s">
        <v>786</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42" t="s">
        <v>208</v>
      </c>
      <c r="B8" s="643"/>
      <c r="C8" s="643"/>
      <c r="D8" s="643"/>
      <c r="E8" s="643"/>
    </row>
    <row r="9" spans="1:5" ht="15.75">
      <c r="A9" s="23" t="s">
        <v>78</v>
      </c>
      <c r="B9" s="24"/>
      <c r="C9" s="24"/>
      <c r="D9" s="24"/>
      <c r="E9" s="24"/>
    </row>
    <row r="10" spans="1:8" ht="15.75">
      <c r="A10" s="644" t="s">
        <v>207</v>
      </c>
      <c r="B10" s="645"/>
      <c r="C10" s="645"/>
      <c r="D10" s="645"/>
      <c r="E10" s="645"/>
      <c r="F10" s="18"/>
      <c r="G10" s="633" t="s">
        <v>706</v>
      </c>
      <c r="H10" s="634"/>
    </row>
    <row r="11" spans="1:8" ht="15.75">
      <c r="A11" s="25"/>
      <c r="B11" s="18"/>
      <c r="C11" s="18"/>
      <c r="D11" s="18"/>
      <c r="E11" s="18"/>
      <c r="F11" s="18"/>
      <c r="G11" s="635"/>
      <c r="H11" s="634"/>
    </row>
    <row r="12" spans="1:8" ht="15.75">
      <c r="A12" s="638" t="s">
        <v>196</v>
      </c>
      <c r="B12" s="639"/>
      <c r="C12" s="639"/>
      <c r="D12" s="639"/>
      <c r="E12" s="639"/>
      <c r="F12" s="18"/>
      <c r="G12" s="635"/>
      <c r="H12" s="634"/>
    </row>
    <row r="13" spans="1:8" ht="15.75">
      <c r="A13" s="25"/>
      <c r="B13" s="18"/>
      <c r="C13" s="18"/>
      <c r="D13" s="18"/>
      <c r="E13" s="18"/>
      <c r="F13" s="18"/>
      <c r="G13" s="635"/>
      <c r="H13" s="634"/>
    </row>
    <row r="14" spans="1:8" ht="15.75">
      <c r="A14" s="26" t="s">
        <v>155</v>
      </c>
      <c r="B14" s="27"/>
      <c r="C14" s="18"/>
      <c r="D14" s="18"/>
      <c r="E14" s="18"/>
      <c r="F14" s="18"/>
      <c r="G14" s="635"/>
      <c r="H14" s="634"/>
    </row>
    <row r="15" spans="1:8" ht="15.75">
      <c r="A15" s="28" t="str">
        <f>CONCATENATE("the ",D6-1," Budget, Certificate Page:")</f>
        <v>the 2013 Budget, Certificate Page:</v>
      </c>
      <c r="B15" s="29"/>
      <c r="C15" s="18"/>
      <c r="D15" s="18"/>
      <c r="E15" s="18"/>
      <c r="F15" s="18"/>
      <c r="G15" s="635"/>
      <c r="H15" s="634"/>
    </row>
    <row r="16" spans="1:8" ht="15.75">
      <c r="A16" s="28" t="s">
        <v>276</v>
      </c>
      <c r="B16" s="29"/>
      <c r="C16" s="18"/>
      <c r="D16" s="18"/>
      <c r="E16" s="18"/>
      <c r="F16" s="18"/>
      <c r="G16" s="69"/>
      <c r="H16" s="52"/>
    </row>
    <row r="17" spans="1:8" ht="15.75">
      <c r="A17" s="18"/>
      <c r="B17" s="18"/>
      <c r="C17" s="30"/>
      <c r="D17" s="31">
        <f>D6-1</f>
        <v>2013</v>
      </c>
      <c r="E17" s="646" t="str">
        <f>CONCATENATE("Amount of ",D6-2,"     Ad Valorem Tax")</f>
        <v>Amount of 2012     Ad Valorem Tax</v>
      </c>
      <c r="G17" s="102" t="s">
        <v>707</v>
      </c>
      <c r="H17" s="111" t="s">
        <v>43</v>
      </c>
    </row>
    <row r="18" spans="1:8" ht="15.75">
      <c r="A18" s="17" t="s">
        <v>8</v>
      </c>
      <c r="B18" s="18"/>
      <c r="C18" s="30" t="s">
        <v>9</v>
      </c>
      <c r="D18" s="32" t="s">
        <v>277</v>
      </c>
      <c r="E18" s="647"/>
      <c r="G18" s="114" t="str">
        <f>CONCATENATE("",D6-2," Ad Valorem Tax")</f>
        <v>2012 Ad Valorem Tax</v>
      </c>
      <c r="H18" s="529">
        <v>0</v>
      </c>
    </row>
    <row r="19" spans="1:7" ht="15.75">
      <c r="A19" s="18"/>
      <c r="B19" s="33" t="s">
        <v>10</v>
      </c>
      <c r="C19" s="605" t="s">
        <v>791</v>
      </c>
      <c r="D19" s="35">
        <v>17493</v>
      </c>
      <c r="E19" s="35">
        <v>5840</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2013 Budgeted Year</v>
      </c>
      <c r="B24" s="40"/>
      <c r="C24" s="40"/>
      <c r="D24" s="41"/>
      <c r="E24" s="42">
        <f>SUM(E19:E20,E22:E23)</f>
        <v>5840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17493</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6" t="str">
        <f>CONCATENATE("",D6-3," Tax Rate          (",D6-2," Column)")</f>
        <v>2011 Tax Rate          (2012 Column)</v>
      </c>
      <c r="E36" s="37"/>
    </row>
    <row r="37" spans="1:5" ht="15.75">
      <c r="A37" s="28" t="str">
        <f>CONCATENATE("the ",D6-1," Budget, Budget Summary Page:")</f>
        <v>the 2013 Budget, Budget Summary Page:</v>
      </c>
      <c r="B37" s="29"/>
      <c r="C37" s="18"/>
      <c r="D37" s="637"/>
      <c r="E37" s="37"/>
    </row>
    <row r="38" spans="1:5" ht="15.75">
      <c r="A38" s="18"/>
      <c r="B38" s="36" t="str">
        <f>B19</f>
        <v>General</v>
      </c>
      <c r="C38" s="18"/>
      <c r="D38" s="47">
        <v>9.959</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9.959</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11204</v>
      </c>
    </row>
    <row r="45" spans="1:5" ht="15.75">
      <c r="A45" s="49" t="str">
        <f>CONCATENATE("Assessed Valuation (",D6-2," budget column)")</f>
        <v>Assessed Valuation (2012 budget column)</v>
      </c>
      <c r="B45" s="27"/>
      <c r="C45" s="18"/>
      <c r="D45" s="18"/>
      <c r="E45" s="51">
        <v>562487</v>
      </c>
    </row>
    <row r="46" spans="1:5" ht="15.75">
      <c r="A46" s="18"/>
      <c r="B46" s="18"/>
      <c r="C46" s="18"/>
      <c r="D46" s="18"/>
      <c r="E46" s="37"/>
    </row>
    <row r="47" spans="1:5" ht="15.75">
      <c r="A47" s="27" t="s">
        <v>209</v>
      </c>
      <c r="B47" s="27"/>
      <c r="C47" s="52"/>
      <c r="D47" s="53">
        <f>D6-3</f>
        <v>2011</v>
      </c>
      <c r="E47" s="53">
        <f>D6-2</f>
        <v>2012</v>
      </c>
    </row>
    <row r="48" spans="1:5" ht="15.75">
      <c r="A48" s="54" t="s">
        <v>152</v>
      </c>
      <c r="B48" s="54"/>
      <c r="C48" s="55"/>
      <c r="D48" s="56">
        <v>0</v>
      </c>
      <c r="E48" s="56">
        <v>0</v>
      </c>
    </row>
    <row r="49" spans="1:5" ht="15.75">
      <c r="A49" s="57" t="s">
        <v>153</v>
      </c>
      <c r="B49" s="57"/>
      <c r="C49" s="58"/>
      <c r="D49" s="56">
        <v>0</v>
      </c>
      <c r="E49" s="56">
        <v>0</v>
      </c>
    </row>
    <row r="50" spans="1:5" ht="15.75">
      <c r="A50" s="57" t="s">
        <v>664</v>
      </c>
      <c r="B50" s="57"/>
      <c r="C50" s="58"/>
      <c r="D50" s="56">
        <v>0</v>
      </c>
      <c r="E50" s="56">
        <v>0</v>
      </c>
    </row>
    <row r="51" spans="1:5" ht="15.75">
      <c r="A51" s="57" t="s">
        <v>154</v>
      </c>
      <c r="B51" s="57"/>
      <c r="C51" s="58"/>
      <c r="D51" s="56">
        <v>0</v>
      </c>
      <c r="E51" s="56">
        <v>0</v>
      </c>
    </row>
    <row r="52" spans="1:5" ht="15.75">
      <c r="A52" s="57"/>
      <c r="B52" s="57"/>
      <c r="C52" s="59"/>
      <c r="D52" s="56"/>
      <c r="E52" s="56"/>
    </row>
  </sheetData>
  <sheetProtection/>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E4" sqref="E4"/>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2012 'total expenditures' exceed your 2012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2014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2012 budget was amended, did you</v>
      </c>
    </row>
    <row r="26" ht="15">
      <c r="A26" s="356" t="s">
        <v>349</v>
      </c>
    </row>
    <row r="27" ht="15">
      <c r="A27" s="356"/>
    </row>
    <row r="28" ht="15">
      <c r="A28" s="356" t="str">
        <f>CONCATENATE("Next, look to see if any of your ",inputPrYr!D6-2," expenditures can be")</f>
        <v>Next, look to see if any of your 2012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2012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2012 financial records have been closed?</v>
      </c>
    </row>
    <row r="63" ht="15">
      <c r="A63" s="356" t="s">
        <v>378</v>
      </c>
    </row>
    <row r="64" ht="15">
      <c r="A64" s="356" t="str">
        <f>CONCATENATE("(i.e. an audit for ",inputPrYr!D6-2," has been completed, or the ",inputPrYr!D6)</f>
        <v>(i.e. an audit for 2012 has been completed, or the 2014</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E4" sqref="E4"/>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2012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2012 are not closed</v>
      </c>
      <c r="B33" s="356"/>
      <c r="C33" s="356"/>
      <c r="D33" s="356"/>
      <c r="E33" s="356"/>
      <c r="F33" s="356"/>
      <c r="G33" s="356"/>
      <c r="H33" s="356"/>
    </row>
    <row r="34" spans="1:8" ht="15">
      <c r="A34" s="356" t="str">
        <f>CONCATENATE("(i.e. an audit has not been completed, or the ",inputPrYr!D6," adopted ")</f>
        <v>(i.e. an audit has not been completed, or the 2014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E4" sqref="E4"/>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2013 'total expenditures' exceed your 2013</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2013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2013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2013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E4" sqref="E4"/>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2013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2013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2013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E4" sqref="E4"/>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2014 'total expenditures' exceed your 2014</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E4" sqref="E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5" t="s">
        <v>567</v>
      </c>
      <c r="C6" s="726"/>
      <c r="D6" s="726"/>
      <c r="E6" s="726"/>
      <c r="F6" s="726"/>
      <c r="G6" s="726"/>
      <c r="H6" s="726"/>
      <c r="I6" s="726"/>
      <c r="J6" s="726"/>
      <c r="K6" s="726"/>
      <c r="L6" s="397"/>
    </row>
    <row r="7" spans="1:12" ht="40.5" customHeight="1">
      <c r="A7" s="394"/>
      <c r="B7" s="727" t="s">
        <v>568</v>
      </c>
      <c r="C7" s="728"/>
      <c r="D7" s="728"/>
      <c r="E7" s="728"/>
      <c r="F7" s="728"/>
      <c r="G7" s="728"/>
      <c r="H7" s="728"/>
      <c r="I7" s="728"/>
      <c r="J7" s="728"/>
      <c r="K7" s="728"/>
      <c r="L7" s="394"/>
    </row>
    <row r="8" spans="1:12" ht="14.25">
      <c r="A8" s="394"/>
      <c r="B8" s="729" t="s">
        <v>569</v>
      </c>
      <c r="C8" s="729"/>
      <c r="D8" s="729"/>
      <c r="E8" s="729"/>
      <c r="F8" s="729"/>
      <c r="G8" s="729"/>
      <c r="H8" s="729"/>
      <c r="I8" s="729"/>
      <c r="J8" s="729"/>
      <c r="K8" s="729"/>
      <c r="L8" s="394"/>
    </row>
    <row r="9" spans="1:12" ht="14.25">
      <c r="A9" s="394"/>
      <c r="L9" s="394"/>
    </row>
    <row r="10" spans="1:12" ht="14.25">
      <c r="A10" s="394"/>
      <c r="B10" s="729" t="s">
        <v>570</v>
      </c>
      <c r="C10" s="729"/>
      <c r="D10" s="729"/>
      <c r="E10" s="729"/>
      <c r="F10" s="729"/>
      <c r="G10" s="729"/>
      <c r="H10" s="729"/>
      <c r="I10" s="729"/>
      <c r="J10" s="729"/>
      <c r="K10" s="729"/>
      <c r="L10" s="394"/>
    </row>
    <row r="11" spans="1:12" ht="14.25">
      <c r="A11" s="394"/>
      <c r="B11" s="527"/>
      <c r="C11" s="527"/>
      <c r="D11" s="527"/>
      <c r="E11" s="527"/>
      <c r="F11" s="527"/>
      <c r="G11" s="527"/>
      <c r="H11" s="527"/>
      <c r="I11" s="527"/>
      <c r="J11" s="527"/>
      <c r="K11" s="527"/>
      <c r="L11" s="394"/>
    </row>
    <row r="12" spans="1:12" ht="32.25" customHeight="1">
      <c r="A12" s="394"/>
      <c r="B12" s="730" t="s">
        <v>571</v>
      </c>
      <c r="C12" s="730"/>
      <c r="D12" s="730"/>
      <c r="E12" s="730"/>
      <c r="F12" s="730"/>
      <c r="G12" s="730"/>
      <c r="H12" s="730"/>
      <c r="I12" s="730"/>
      <c r="J12" s="730"/>
      <c r="K12" s="730"/>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1">
        <v>312000000</v>
      </c>
      <c r="G23" s="731"/>
      <c r="L23" s="394"/>
    </row>
    <row r="24" spans="1:12" ht="14.25">
      <c r="A24" s="394"/>
      <c r="L24" s="394"/>
    </row>
    <row r="25" spans="1:12" ht="14.25">
      <c r="A25" s="394"/>
      <c r="C25" s="732">
        <f>F23</f>
        <v>312000000</v>
      </c>
      <c r="D25" s="732"/>
      <c r="E25" s="396" t="s">
        <v>577</v>
      </c>
      <c r="F25" s="399">
        <v>1000</v>
      </c>
      <c r="G25" s="399" t="s">
        <v>576</v>
      </c>
      <c r="H25" s="528">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3">
        <v>1000</v>
      </c>
      <c r="G28" s="523"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3" t="s">
        <v>568</v>
      </c>
      <c r="C30" s="733"/>
      <c r="D30" s="733"/>
      <c r="E30" s="733"/>
      <c r="F30" s="733"/>
      <c r="G30" s="733"/>
      <c r="H30" s="733"/>
      <c r="I30" s="733"/>
      <c r="J30" s="733"/>
      <c r="K30" s="733"/>
      <c r="L30" s="394"/>
    </row>
    <row r="31" spans="1:12" ht="14.25">
      <c r="A31" s="394"/>
      <c r="B31" s="729" t="s">
        <v>580</v>
      </c>
      <c r="C31" s="729"/>
      <c r="D31" s="729"/>
      <c r="E31" s="729"/>
      <c r="F31" s="729"/>
      <c r="G31" s="729"/>
      <c r="H31" s="729"/>
      <c r="I31" s="729"/>
      <c r="J31" s="729"/>
      <c r="K31" s="729"/>
      <c r="L31" s="394"/>
    </row>
    <row r="32" spans="1:12" ht="14.25">
      <c r="A32" s="394"/>
      <c r="L32" s="394"/>
    </row>
    <row r="33" spans="1:12" ht="14.25">
      <c r="A33" s="394"/>
      <c r="B33" s="729" t="s">
        <v>581</v>
      </c>
      <c r="C33" s="729"/>
      <c r="D33" s="729"/>
      <c r="E33" s="729"/>
      <c r="F33" s="729"/>
      <c r="G33" s="729"/>
      <c r="H33" s="729"/>
      <c r="I33" s="729"/>
      <c r="J33" s="729"/>
      <c r="K33" s="729"/>
      <c r="L33" s="394"/>
    </row>
    <row r="34" spans="1:12" ht="14.25">
      <c r="A34" s="394"/>
      <c r="L34" s="394"/>
    </row>
    <row r="35" spans="1:12" ht="89.25" customHeight="1">
      <c r="A35" s="394"/>
      <c r="B35" s="730" t="s">
        <v>582</v>
      </c>
      <c r="C35" s="734"/>
      <c r="D35" s="734"/>
      <c r="E35" s="734"/>
      <c r="F35" s="734"/>
      <c r="G35" s="734"/>
      <c r="H35" s="734"/>
      <c r="I35" s="734"/>
      <c r="J35" s="734"/>
      <c r="K35" s="734"/>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5">
        <v>312000000</v>
      </c>
      <c r="D41" s="735"/>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6">
        <v>312000000</v>
      </c>
      <c r="C48" s="731"/>
      <c r="D48" s="404" t="s">
        <v>587</v>
      </c>
      <c r="E48" s="404" t="s">
        <v>577</v>
      </c>
      <c r="F48" s="523">
        <v>1000</v>
      </c>
      <c r="G48" s="523"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7" t="s">
        <v>590</v>
      </c>
      <c r="H50" s="738"/>
      <c r="I50" s="523" t="s">
        <v>576</v>
      </c>
      <c r="J50" s="414">
        <f>B50/F50</f>
        <v>0.16025641025641027</v>
      </c>
      <c r="K50" s="406"/>
      <c r="L50" s="394"/>
    </row>
    <row r="51" spans="1:15" ht="15" thickBot="1">
      <c r="A51" s="394"/>
      <c r="B51" s="407"/>
      <c r="C51" s="408"/>
      <c r="D51" s="408"/>
      <c r="E51" s="408"/>
      <c r="F51" s="408"/>
      <c r="G51" s="408"/>
      <c r="H51" s="408"/>
      <c r="I51" s="739" t="s">
        <v>591</v>
      </c>
      <c r="J51" s="739"/>
      <c r="K51" s="740"/>
      <c r="L51" s="394"/>
      <c r="O51" s="415"/>
    </row>
    <row r="52" spans="1:12" ht="40.5" customHeight="1">
      <c r="A52" s="394"/>
      <c r="B52" s="733" t="s">
        <v>568</v>
      </c>
      <c r="C52" s="733"/>
      <c r="D52" s="733"/>
      <c r="E52" s="733"/>
      <c r="F52" s="733"/>
      <c r="G52" s="733"/>
      <c r="H52" s="733"/>
      <c r="I52" s="733"/>
      <c r="J52" s="733"/>
      <c r="K52" s="733"/>
      <c r="L52" s="394"/>
    </row>
    <row r="53" spans="1:12" ht="14.25">
      <c r="A53" s="394"/>
      <c r="B53" s="729" t="s">
        <v>592</v>
      </c>
      <c r="C53" s="729"/>
      <c r="D53" s="729"/>
      <c r="E53" s="729"/>
      <c r="F53" s="729"/>
      <c r="G53" s="729"/>
      <c r="H53" s="729"/>
      <c r="I53" s="729"/>
      <c r="J53" s="729"/>
      <c r="K53" s="729"/>
      <c r="L53" s="394"/>
    </row>
    <row r="54" spans="1:12" ht="14.25">
      <c r="A54" s="394"/>
      <c r="B54" s="527"/>
      <c r="C54" s="527"/>
      <c r="D54" s="527"/>
      <c r="E54" s="527"/>
      <c r="F54" s="527"/>
      <c r="G54" s="527"/>
      <c r="H54" s="527"/>
      <c r="I54" s="527"/>
      <c r="J54" s="527"/>
      <c r="K54" s="527"/>
      <c r="L54" s="394"/>
    </row>
    <row r="55" spans="1:12" ht="14.25">
      <c r="A55" s="394"/>
      <c r="B55" s="725" t="s">
        <v>593</v>
      </c>
      <c r="C55" s="725"/>
      <c r="D55" s="725"/>
      <c r="E55" s="725"/>
      <c r="F55" s="725"/>
      <c r="G55" s="725"/>
      <c r="H55" s="725"/>
      <c r="I55" s="725"/>
      <c r="J55" s="725"/>
      <c r="K55" s="725"/>
      <c r="L55" s="394"/>
    </row>
    <row r="56" spans="1:12" ht="15" customHeight="1">
      <c r="A56" s="394"/>
      <c r="L56" s="394"/>
    </row>
    <row r="57" spans="1:24" ht="74.25" customHeight="1">
      <c r="A57" s="394"/>
      <c r="B57" s="730" t="s">
        <v>594</v>
      </c>
      <c r="C57" s="734"/>
      <c r="D57" s="734"/>
      <c r="E57" s="734"/>
      <c r="F57" s="734"/>
      <c r="G57" s="734"/>
      <c r="H57" s="734"/>
      <c r="I57" s="734"/>
      <c r="J57" s="734"/>
      <c r="K57" s="734"/>
      <c r="L57" s="394"/>
      <c r="M57" s="416"/>
      <c r="N57" s="417"/>
      <c r="O57" s="417"/>
      <c r="P57" s="417"/>
      <c r="Q57" s="417"/>
      <c r="R57" s="417"/>
      <c r="S57" s="417"/>
      <c r="T57" s="417"/>
      <c r="U57" s="417"/>
      <c r="V57" s="417"/>
      <c r="W57" s="417"/>
      <c r="X57" s="417"/>
    </row>
    <row r="58" spans="1:24" ht="15" customHeight="1">
      <c r="A58" s="394"/>
      <c r="B58" s="730"/>
      <c r="C58" s="734"/>
      <c r="D58" s="734"/>
      <c r="E58" s="734"/>
      <c r="F58" s="734"/>
      <c r="G58" s="734"/>
      <c r="H58" s="734"/>
      <c r="I58" s="734"/>
      <c r="J58" s="734"/>
      <c r="K58" s="734"/>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1">
        <v>312000000</v>
      </c>
      <c r="D74" s="731"/>
      <c r="E74" s="523" t="s">
        <v>577</v>
      </c>
      <c r="F74" s="523">
        <v>1000</v>
      </c>
      <c r="G74" s="523" t="s">
        <v>576</v>
      </c>
      <c r="H74" s="520">
        <f>C74/F74</f>
        <v>312000</v>
      </c>
      <c r="I74" s="404" t="s">
        <v>600</v>
      </c>
      <c r="J74" s="404"/>
      <c r="K74" s="406"/>
      <c r="L74" s="420"/>
    </row>
    <row r="75" spans="1:12" ht="14.25">
      <c r="A75" s="394"/>
      <c r="B75" s="412"/>
      <c r="C75" s="404"/>
      <c r="D75" s="404"/>
      <c r="E75" s="523"/>
      <c r="F75" s="404"/>
      <c r="G75" s="404"/>
      <c r="H75" s="404"/>
      <c r="I75" s="404"/>
      <c r="J75" s="404"/>
      <c r="K75" s="406"/>
      <c r="L75" s="420"/>
    </row>
    <row r="76" spans="1:12" ht="14.25">
      <c r="A76" s="394"/>
      <c r="B76" s="412"/>
      <c r="C76" s="404" t="s">
        <v>601</v>
      </c>
      <c r="D76" s="404"/>
      <c r="E76" s="523"/>
      <c r="F76" s="404" t="s">
        <v>600</v>
      </c>
      <c r="G76" s="404"/>
      <c r="H76" s="404"/>
      <c r="I76" s="404"/>
      <c r="J76" s="404"/>
      <c r="K76" s="406"/>
      <c r="L76" s="420"/>
    </row>
    <row r="77" spans="1:12" ht="14.25">
      <c r="A77" s="394"/>
      <c r="B77" s="412" t="s">
        <v>602</v>
      </c>
      <c r="C77" s="731">
        <v>50000</v>
      </c>
      <c r="D77" s="731"/>
      <c r="E77" s="523" t="s">
        <v>577</v>
      </c>
      <c r="F77" s="520">
        <f>H74</f>
        <v>312000</v>
      </c>
      <c r="G77" s="523" t="s">
        <v>576</v>
      </c>
      <c r="H77" s="414">
        <f>C77/F77</f>
        <v>0.16025641025641027</v>
      </c>
      <c r="I77" s="404" t="s">
        <v>603</v>
      </c>
      <c r="J77" s="404"/>
      <c r="K77" s="406"/>
      <c r="L77" s="420"/>
    </row>
    <row r="78" spans="1:12" ht="14.25">
      <c r="A78" s="394"/>
      <c r="B78" s="412"/>
      <c r="C78" s="404"/>
      <c r="D78" s="404"/>
      <c r="E78" s="523"/>
      <c r="F78" s="404"/>
      <c r="G78" s="404"/>
      <c r="H78" s="404"/>
      <c r="I78" s="404"/>
      <c r="J78" s="404"/>
      <c r="K78" s="406"/>
      <c r="L78" s="420"/>
    </row>
    <row r="79" spans="1:12" ht="14.25">
      <c r="A79" s="394"/>
      <c r="B79" s="421"/>
      <c r="C79" s="422" t="s">
        <v>604</v>
      </c>
      <c r="D79" s="422"/>
      <c r="E79" s="519"/>
      <c r="F79" s="422"/>
      <c r="G79" s="422"/>
      <c r="H79" s="422"/>
      <c r="I79" s="422"/>
      <c r="J79" s="422"/>
      <c r="K79" s="423"/>
      <c r="L79" s="420"/>
    </row>
    <row r="80" spans="1:12" ht="14.25">
      <c r="A80" s="394"/>
      <c r="B80" s="412" t="s">
        <v>605</v>
      </c>
      <c r="C80" s="731">
        <v>100000</v>
      </c>
      <c r="D80" s="731"/>
      <c r="E80" s="523" t="s">
        <v>28</v>
      </c>
      <c r="F80" s="523">
        <v>0.115</v>
      </c>
      <c r="G80" s="523" t="s">
        <v>576</v>
      </c>
      <c r="H80" s="520">
        <f>C80*F80</f>
        <v>11500</v>
      </c>
      <c r="I80" s="404" t="s">
        <v>606</v>
      </c>
      <c r="J80" s="404"/>
      <c r="K80" s="406"/>
      <c r="L80" s="420"/>
    </row>
    <row r="81" spans="1:12" ht="14.25">
      <c r="A81" s="394"/>
      <c r="B81" s="412"/>
      <c r="C81" s="404"/>
      <c r="D81" s="404"/>
      <c r="E81" s="523"/>
      <c r="F81" s="404"/>
      <c r="G81" s="404"/>
      <c r="H81" s="404"/>
      <c r="I81" s="404"/>
      <c r="J81" s="404"/>
      <c r="K81" s="406"/>
      <c r="L81" s="420"/>
    </row>
    <row r="82" spans="1:12" ht="14.25">
      <c r="A82" s="394"/>
      <c r="B82" s="421"/>
      <c r="C82" s="422" t="s">
        <v>607</v>
      </c>
      <c r="D82" s="422"/>
      <c r="E82" s="519"/>
      <c r="F82" s="422" t="s">
        <v>603</v>
      </c>
      <c r="G82" s="422"/>
      <c r="H82" s="422"/>
      <c r="I82" s="422"/>
      <c r="J82" s="422" t="s">
        <v>608</v>
      </c>
      <c r="K82" s="423"/>
      <c r="L82" s="420"/>
    </row>
    <row r="83" spans="1:12" ht="14.25">
      <c r="A83" s="394"/>
      <c r="B83" s="412" t="s">
        <v>609</v>
      </c>
      <c r="C83" s="741">
        <f>H80</f>
        <v>11500</v>
      </c>
      <c r="D83" s="741"/>
      <c r="E83" s="523" t="s">
        <v>28</v>
      </c>
      <c r="F83" s="414">
        <f>H77</f>
        <v>0.16025641025641027</v>
      </c>
      <c r="G83" s="523" t="s">
        <v>577</v>
      </c>
      <c r="H83" s="523">
        <v>1000</v>
      </c>
      <c r="I83" s="523" t="s">
        <v>576</v>
      </c>
      <c r="J83" s="521">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3" t="s">
        <v>568</v>
      </c>
      <c r="C85" s="733"/>
      <c r="D85" s="733"/>
      <c r="E85" s="733"/>
      <c r="F85" s="733"/>
      <c r="G85" s="733"/>
      <c r="H85" s="733"/>
      <c r="I85" s="733"/>
      <c r="J85" s="733"/>
      <c r="K85" s="733"/>
      <c r="L85" s="394"/>
    </row>
    <row r="86" spans="1:12" ht="14.25">
      <c r="A86" s="394"/>
      <c r="B86" s="725" t="s">
        <v>610</v>
      </c>
      <c r="C86" s="725"/>
      <c r="D86" s="725"/>
      <c r="E86" s="725"/>
      <c r="F86" s="725"/>
      <c r="G86" s="725"/>
      <c r="H86" s="725"/>
      <c r="I86" s="725"/>
      <c r="J86" s="725"/>
      <c r="K86" s="725"/>
      <c r="L86" s="394"/>
    </row>
    <row r="87" spans="1:12" ht="14.25">
      <c r="A87" s="394"/>
      <c r="B87" s="428"/>
      <c r="C87" s="428"/>
      <c r="D87" s="428"/>
      <c r="E87" s="428"/>
      <c r="F87" s="428"/>
      <c r="G87" s="428"/>
      <c r="H87" s="428"/>
      <c r="I87" s="428"/>
      <c r="J87" s="428"/>
      <c r="K87" s="428"/>
      <c r="L87" s="394"/>
    </row>
    <row r="88" spans="1:12" ht="14.25">
      <c r="A88" s="394"/>
      <c r="B88" s="725" t="s">
        <v>611</v>
      </c>
      <c r="C88" s="725"/>
      <c r="D88" s="725"/>
      <c r="E88" s="725"/>
      <c r="F88" s="725"/>
      <c r="G88" s="725"/>
      <c r="H88" s="725"/>
      <c r="I88" s="725"/>
      <c r="J88" s="725"/>
      <c r="K88" s="725"/>
      <c r="L88" s="394"/>
    </row>
    <row r="89" spans="1:12" ht="14.25">
      <c r="A89" s="394"/>
      <c r="B89" s="522"/>
      <c r="C89" s="522"/>
      <c r="D89" s="522"/>
      <c r="E89" s="522"/>
      <c r="F89" s="522"/>
      <c r="G89" s="522"/>
      <c r="H89" s="522"/>
      <c r="I89" s="522"/>
      <c r="J89" s="522"/>
      <c r="K89" s="522"/>
      <c r="L89" s="394"/>
    </row>
    <row r="90" spans="1:12" ht="45" customHeight="1">
      <c r="A90" s="394"/>
      <c r="B90" s="730" t="s">
        <v>612</v>
      </c>
      <c r="C90" s="730"/>
      <c r="D90" s="730"/>
      <c r="E90" s="730"/>
      <c r="F90" s="730"/>
      <c r="G90" s="730"/>
      <c r="H90" s="730"/>
      <c r="I90" s="730"/>
      <c r="J90" s="730"/>
      <c r="K90" s="730"/>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25" t="s">
        <v>578</v>
      </c>
      <c r="D93" s="525"/>
      <c r="E93" s="525"/>
      <c r="F93" s="525"/>
      <c r="G93" s="525"/>
      <c r="H93" s="525"/>
      <c r="I93" s="525"/>
      <c r="J93" s="525"/>
      <c r="K93" s="433"/>
      <c r="L93" s="394"/>
    </row>
    <row r="94" spans="1:12" ht="15" customHeight="1">
      <c r="A94" s="394"/>
      <c r="B94" s="432" t="s">
        <v>599</v>
      </c>
      <c r="C94" s="731">
        <v>312000000</v>
      </c>
      <c r="D94" s="731"/>
      <c r="E94" s="523" t="s">
        <v>577</v>
      </c>
      <c r="F94" s="523">
        <v>1000</v>
      </c>
      <c r="G94" s="523" t="s">
        <v>576</v>
      </c>
      <c r="H94" s="520">
        <f>C94/F94</f>
        <v>312000</v>
      </c>
      <c r="I94" s="525" t="s">
        <v>600</v>
      </c>
      <c r="J94" s="525"/>
      <c r="K94" s="433"/>
      <c r="L94" s="394"/>
    </row>
    <row r="95" spans="1:12" ht="15" customHeight="1">
      <c r="A95" s="394"/>
      <c r="B95" s="432"/>
      <c r="C95" s="525"/>
      <c r="D95" s="525"/>
      <c r="E95" s="523"/>
      <c r="F95" s="525"/>
      <c r="G95" s="525"/>
      <c r="H95" s="525"/>
      <c r="I95" s="525"/>
      <c r="J95" s="525"/>
      <c r="K95" s="433"/>
      <c r="L95" s="394"/>
    </row>
    <row r="96" spans="1:12" ht="15" customHeight="1">
      <c r="A96" s="394"/>
      <c r="B96" s="432"/>
      <c r="C96" s="525" t="s">
        <v>601</v>
      </c>
      <c r="D96" s="525"/>
      <c r="E96" s="523"/>
      <c r="F96" s="525" t="s">
        <v>600</v>
      </c>
      <c r="G96" s="525"/>
      <c r="H96" s="525"/>
      <c r="I96" s="525"/>
      <c r="J96" s="525"/>
      <c r="K96" s="433"/>
      <c r="L96" s="394"/>
    </row>
    <row r="97" spans="1:12" ht="15" customHeight="1">
      <c r="A97" s="394"/>
      <c r="B97" s="432" t="s">
        <v>602</v>
      </c>
      <c r="C97" s="731">
        <v>50000</v>
      </c>
      <c r="D97" s="731"/>
      <c r="E97" s="523" t="s">
        <v>577</v>
      </c>
      <c r="F97" s="520">
        <f>H94</f>
        <v>312000</v>
      </c>
      <c r="G97" s="523" t="s">
        <v>576</v>
      </c>
      <c r="H97" s="414">
        <f>C97/F97</f>
        <v>0.16025641025641027</v>
      </c>
      <c r="I97" s="525" t="s">
        <v>603</v>
      </c>
      <c r="J97" s="525"/>
      <c r="K97" s="433"/>
      <c r="L97" s="394"/>
    </row>
    <row r="98" spans="1:12" ht="15" customHeight="1">
      <c r="A98" s="394"/>
      <c r="B98" s="432"/>
      <c r="C98" s="525"/>
      <c r="D98" s="525"/>
      <c r="E98" s="523"/>
      <c r="F98" s="525"/>
      <c r="G98" s="525"/>
      <c r="H98" s="525"/>
      <c r="I98" s="525"/>
      <c r="J98" s="525"/>
      <c r="K98" s="433"/>
      <c r="L98" s="394"/>
    </row>
    <row r="99" spans="1:12" ht="15" customHeight="1">
      <c r="A99" s="394"/>
      <c r="B99" s="434"/>
      <c r="C99" s="435" t="s">
        <v>613</v>
      </c>
      <c r="D99" s="435"/>
      <c r="E99" s="519"/>
      <c r="F99" s="435"/>
      <c r="G99" s="435"/>
      <c r="H99" s="435"/>
      <c r="I99" s="435"/>
      <c r="J99" s="435"/>
      <c r="K99" s="436"/>
      <c r="L99" s="394"/>
    </row>
    <row r="100" spans="1:12" ht="15" customHeight="1">
      <c r="A100" s="394"/>
      <c r="B100" s="432" t="s">
        <v>605</v>
      </c>
      <c r="C100" s="731">
        <v>2500000</v>
      </c>
      <c r="D100" s="731"/>
      <c r="E100" s="523" t="s">
        <v>28</v>
      </c>
      <c r="F100" s="437">
        <v>0.3</v>
      </c>
      <c r="G100" s="523" t="s">
        <v>576</v>
      </c>
      <c r="H100" s="520">
        <f>C100*F100</f>
        <v>750000</v>
      </c>
      <c r="I100" s="525" t="s">
        <v>606</v>
      </c>
      <c r="J100" s="525"/>
      <c r="K100" s="433"/>
      <c r="L100" s="394"/>
    </row>
    <row r="101" spans="1:12" ht="15" customHeight="1">
      <c r="A101" s="394"/>
      <c r="B101" s="432"/>
      <c r="C101" s="525"/>
      <c r="D101" s="525"/>
      <c r="E101" s="523"/>
      <c r="F101" s="525"/>
      <c r="G101" s="525"/>
      <c r="H101" s="525"/>
      <c r="I101" s="525"/>
      <c r="J101" s="525"/>
      <c r="K101" s="433"/>
      <c r="L101" s="394"/>
    </row>
    <row r="102" spans="1:12" ht="15" customHeight="1">
      <c r="A102" s="394"/>
      <c r="B102" s="434"/>
      <c r="C102" s="435" t="s">
        <v>607</v>
      </c>
      <c r="D102" s="435"/>
      <c r="E102" s="519"/>
      <c r="F102" s="435" t="s">
        <v>603</v>
      </c>
      <c r="G102" s="435"/>
      <c r="H102" s="435"/>
      <c r="I102" s="435"/>
      <c r="J102" s="435" t="s">
        <v>608</v>
      </c>
      <c r="K102" s="436"/>
      <c r="L102" s="394"/>
    </row>
    <row r="103" spans="1:12" ht="15" customHeight="1">
      <c r="A103" s="394"/>
      <c r="B103" s="432" t="s">
        <v>609</v>
      </c>
      <c r="C103" s="741">
        <f>H100</f>
        <v>750000</v>
      </c>
      <c r="D103" s="741"/>
      <c r="E103" s="523" t="s">
        <v>28</v>
      </c>
      <c r="F103" s="414">
        <f>H97</f>
        <v>0.16025641025641027</v>
      </c>
      <c r="G103" s="523" t="s">
        <v>577</v>
      </c>
      <c r="H103" s="523">
        <v>1000</v>
      </c>
      <c r="I103" s="523" t="s">
        <v>576</v>
      </c>
      <c r="J103" s="521">
        <f>C103*F103/H103</f>
        <v>120.19230769230771</v>
      </c>
      <c r="K103" s="433"/>
      <c r="L103" s="394"/>
    </row>
    <row r="104" spans="1:12" ht="15" customHeight="1" thickBot="1">
      <c r="A104" s="394"/>
      <c r="B104" s="438"/>
      <c r="C104" s="424"/>
      <c r="D104" s="424"/>
      <c r="E104" s="425"/>
      <c r="F104" s="426"/>
      <c r="G104" s="425"/>
      <c r="H104" s="425"/>
      <c r="I104" s="425"/>
      <c r="J104" s="427"/>
      <c r="K104" s="526"/>
      <c r="L104" s="394"/>
    </row>
    <row r="105" spans="1:12" ht="40.5" customHeight="1">
      <c r="A105" s="394"/>
      <c r="B105" s="733" t="s">
        <v>568</v>
      </c>
      <c r="C105" s="742"/>
      <c r="D105" s="742"/>
      <c r="E105" s="742"/>
      <c r="F105" s="742"/>
      <c r="G105" s="742"/>
      <c r="H105" s="742"/>
      <c r="I105" s="742"/>
      <c r="J105" s="742"/>
      <c r="K105" s="742"/>
      <c r="L105" s="394"/>
    </row>
    <row r="106" spans="1:12" ht="15" customHeight="1">
      <c r="A106" s="394"/>
      <c r="B106" s="743" t="s">
        <v>614</v>
      </c>
      <c r="C106" s="726"/>
      <c r="D106" s="726"/>
      <c r="E106" s="726"/>
      <c r="F106" s="726"/>
      <c r="G106" s="726"/>
      <c r="H106" s="726"/>
      <c r="I106" s="726"/>
      <c r="J106" s="726"/>
      <c r="K106" s="726"/>
      <c r="L106" s="394"/>
    </row>
    <row r="107" spans="1:12" ht="15" customHeight="1">
      <c r="A107" s="394"/>
      <c r="B107" s="525"/>
      <c r="C107" s="439"/>
      <c r="D107" s="439"/>
      <c r="E107" s="523"/>
      <c r="F107" s="414"/>
      <c r="G107" s="523"/>
      <c r="H107" s="523"/>
      <c r="I107" s="523"/>
      <c r="J107" s="521"/>
      <c r="K107" s="525"/>
      <c r="L107" s="394"/>
    </row>
    <row r="108" spans="1:12" ht="15" customHeight="1">
      <c r="A108" s="394"/>
      <c r="B108" s="743" t="s">
        <v>615</v>
      </c>
      <c r="C108" s="744"/>
      <c r="D108" s="744"/>
      <c r="E108" s="744"/>
      <c r="F108" s="744"/>
      <c r="G108" s="744"/>
      <c r="H108" s="744"/>
      <c r="I108" s="744"/>
      <c r="J108" s="744"/>
      <c r="K108" s="744"/>
      <c r="L108" s="394"/>
    </row>
    <row r="109" spans="1:12" ht="15" customHeight="1">
      <c r="A109" s="394"/>
      <c r="B109" s="525"/>
      <c r="C109" s="439"/>
      <c r="D109" s="439"/>
      <c r="E109" s="523"/>
      <c r="F109" s="414"/>
      <c r="G109" s="523"/>
      <c r="H109" s="523"/>
      <c r="I109" s="523"/>
      <c r="J109" s="521"/>
      <c r="K109" s="525"/>
      <c r="L109" s="394"/>
    </row>
    <row r="110" spans="1:12" ht="59.25" customHeight="1">
      <c r="A110" s="394"/>
      <c r="B110" s="745" t="s">
        <v>616</v>
      </c>
      <c r="C110" s="734"/>
      <c r="D110" s="734"/>
      <c r="E110" s="734"/>
      <c r="F110" s="734"/>
      <c r="G110" s="734"/>
      <c r="H110" s="734"/>
      <c r="I110" s="734"/>
      <c r="J110" s="734"/>
      <c r="K110" s="734"/>
      <c r="L110" s="394"/>
    </row>
    <row r="111" spans="1:12" ht="15" thickBot="1">
      <c r="A111" s="394"/>
      <c r="B111" s="527"/>
      <c r="C111" s="527"/>
      <c r="D111" s="527"/>
      <c r="E111" s="527"/>
      <c r="F111" s="527"/>
      <c r="G111" s="527"/>
      <c r="H111" s="527"/>
      <c r="I111" s="527"/>
      <c r="J111" s="527"/>
      <c r="K111" s="527"/>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1">
        <v>312000000</v>
      </c>
      <c r="D114" s="731"/>
      <c r="E114" s="523" t="s">
        <v>577</v>
      </c>
      <c r="F114" s="523">
        <v>1000</v>
      </c>
      <c r="G114" s="523" t="s">
        <v>576</v>
      </c>
      <c r="H114" s="520">
        <f>C114/F114</f>
        <v>312000</v>
      </c>
      <c r="I114" s="404" t="s">
        <v>600</v>
      </c>
      <c r="J114" s="404"/>
      <c r="K114" s="406"/>
      <c r="L114" s="394"/>
    </row>
    <row r="115" spans="1:12" ht="14.25">
      <c r="A115" s="394"/>
      <c r="B115" s="412"/>
      <c r="C115" s="404"/>
      <c r="D115" s="404"/>
      <c r="E115" s="523"/>
      <c r="F115" s="404"/>
      <c r="G115" s="404"/>
      <c r="H115" s="404"/>
      <c r="I115" s="404"/>
      <c r="J115" s="404"/>
      <c r="K115" s="406"/>
      <c r="L115" s="394"/>
    </row>
    <row r="116" spans="1:12" ht="14.25">
      <c r="A116" s="394"/>
      <c r="B116" s="412"/>
      <c r="C116" s="404" t="s">
        <v>601</v>
      </c>
      <c r="D116" s="404"/>
      <c r="E116" s="523"/>
      <c r="F116" s="404" t="s">
        <v>600</v>
      </c>
      <c r="G116" s="404"/>
      <c r="H116" s="404"/>
      <c r="I116" s="404"/>
      <c r="J116" s="404"/>
      <c r="K116" s="406"/>
      <c r="L116" s="394"/>
    </row>
    <row r="117" spans="1:12" ht="14.25">
      <c r="A117" s="394"/>
      <c r="B117" s="412" t="s">
        <v>602</v>
      </c>
      <c r="C117" s="731">
        <v>50000</v>
      </c>
      <c r="D117" s="731"/>
      <c r="E117" s="523" t="s">
        <v>577</v>
      </c>
      <c r="F117" s="520">
        <f>H114</f>
        <v>312000</v>
      </c>
      <c r="G117" s="523" t="s">
        <v>576</v>
      </c>
      <c r="H117" s="414">
        <f>C117/F117</f>
        <v>0.16025641025641027</v>
      </c>
      <c r="I117" s="404" t="s">
        <v>603</v>
      </c>
      <c r="J117" s="404"/>
      <c r="K117" s="406"/>
      <c r="L117" s="394"/>
    </row>
    <row r="118" spans="1:12" ht="14.25">
      <c r="A118" s="394"/>
      <c r="B118" s="412"/>
      <c r="C118" s="404"/>
      <c r="D118" s="404"/>
      <c r="E118" s="523"/>
      <c r="F118" s="404"/>
      <c r="G118" s="404"/>
      <c r="H118" s="404"/>
      <c r="I118" s="404"/>
      <c r="J118" s="404"/>
      <c r="K118" s="406"/>
      <c r="L118" s="394"/>
    </row>
    <row r="119" spans="1:12" ht="14.25">
      <c r="A119" s="394"/>
      <c r="B119" s="421"/>
      <c r="C119" s="422" t="s">
        <v>613</v>
      </c>
      <c r="D119" s="422"/>
      <c r="E119" s="519"/>
      <c r="F119" s="422"/>
      <c r="G119" s="422"/>
      <c r="H119" s="422"/>
      <c r="I119" s="422"/>
      <c r="J119" s="422"/>
      <c r="K119" s="423"/>
      <c r="L119" s="394"/>
    </row>
    <row r="120" spans="1:12" ht="14.25">
      <c r="A120" s="394"/>
      <c r="B120" s="412" t="s">
        <v>605</v>
      </c>
      <c r="C120" s="731">
        <v>2500000</v>
      </c>
      <c r="D120" s="731"/>
      <c r="E120" s="523" t="s">
        <v>28</v>
      </c>
      <c r="F120" s="437">
        <v>0.25</v>
      </c>
      <c r="G120" s="523" t="s">
        <v>576</v>
      </c>
      <c r="H120" s="520">
        <f>C120*F120</f>
        <v>625000</v>
      </c>
      <c r="I120" s="404" t="s">
        <v>606</v>
      </c>
      <c r="J120" s="404"/>
      <c r="K120" s="406"/>
      <c r="L120" s="394"/>
    </row>
    <row r="121" spans="1:12" ht="14.25">
      <c r="A121" s="394"/>
      <c r="B121" s="412"/>
      <c r="C121" s="404"/>
      <c r="D121" s="404"/>
      <c r="E121" s="523"/>
      <c r="F121" s="404"/>
      <c r="G121" s="404"/>
      <c r="H121" s="404"/>
      <c r="I121" s="404"/>
      <c r="J121" s="404"/>
      <c r="K121" s="406"/>
      <c r="L121" s="394"/>
    </row>
    <row r="122" spans="1:12" ht="14.25">
      <c r="A122" s="394"/>
      <c r="B122" s="421"/>
      <c r="C122" s="422" t="s">
        <v>607</v>
      </c>
      <c r="D122" s="422"/>
      <c r="E122" s="519"/>
      <c r="F122" s="422" t="s">
        <v>603</v>
      </c>
      <c r="G122" s="422"/>
      <c r="H122" s="422"/>
      <c r="I122" s="422"/>
      <c r="J122" s="422" t="s">
        <v>608</v>
      </c>
      <c r="K122" s="423"/>
      <c r="L122" s="394"/>
    </row>
    <row r="123" spans="1:12" ht="14.25">
      <c r="A123" s="394"/>
      <c r="B123" s="412" t="s">
        <v>609</v>
      </c>
      <c r="C123" s="741">
        <f>H120</f>
        <v>625000</v>
      </c>
      <c r="D123" s="741"/>
      <c r="E123" s="523" t="s">
        <v>28</v>
      </c>
      <c r="F123" s="414">
        <f>H117</f>
        <v>0.16025641025641027</v>
      </c>
      <c r="G123" s="523" t="s">
        <v>577</v>
      </c>
      <c r="H123" s="523">
        <v>1000</v>
      </c>
      <c r="I123" s="523" t="s">
        <v>576</v>
      </c>
      <c r="J123" s="521">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3" t="s">
        <v>568</v>
      </c>
      <c r="C125" s="733"/>
      <c r="D125" s="733"/>
      <c r="E125" s="733"/>
      <c r="F125" s="733"/>
      <c r="G125" s="733"/>
      <c r="H125" s="733"/>
      <c r="I125" s="733"/>
      <c r="J125" s="733"/>
      <c r="K125" s="733"/>
      <c r="L125" s="440"/>
    </row>
    <row r="126" spans="1:12" ht="14.25">
      <c r="A126" s="394"/>
      <c r="B126" s="725" t="s">
        <v>617</v>
      </c>
      <c r="C126" s="725"/>
      <c r="D126" s="725"/>
      <c r="E126" s="725"/>
      <c r="F126" s="725"/>
      <c r="G126" s="725"/>
      <c r="H126" s="725"/>
      <c r="I126" s="725"/>
      <c r="J126" s="725"/>
      <c r="K126" s="725"/>
      <c r="L126" s="440"/>
    </row>
    <row r="127" spans="1:12" ht="14.25">
      <c r="A127" s="394"/>
      <c r="B127" s="527"/>
      <c r="C127" s="527"/>
      <c r="D127" s="527"/>
      <c r="E127" s="527"/>
      <c r="F127" s="527"/>
      <c r="G127" s="527"/>
      <c r="H127" s="527"/>
      <c r="I127" s="527"/>
      <c r="J127" s="527"/>
      <c r="K127" s="527"/>
      <c r="L127" s="440"/>
    </row>
    <row r="128" spans="1:12" ht="14.25">
      <c r="A128" s="394"/>
      <c r="B128" s="725" t="s">
        <v>618</v>
      </c>
      <c r="C128" s="725"/>
      <c r="D128" s="725"/>
      <c r="E128" s="725"/>
      <c r="F128" s="725"/>
      <c r="G128" s="725"/>
      <c r="H128" s="725"/>
      <c r="I128" s="725"/>
      <c r="J128" s="725"/>
      <c r="K128" s="725"/>
      <c r="L128" s="440"/>
    </row>
    <row r="129" spans="1:12" ht="14.25">
      <c r="A129" s="394"/>
      <c r="B129" s="522"/>
      <c r="C129" s="522"/>
      <c r="D129" s="522"/>
      <c r="E129" s="522"/>
      <c r="F129" s="522"/>
      <c r="G129" s="522"/>
      <c r="H129" s="522"/>
      <c r="I129" s="522"/>
      <c r="J129" s="522"/>
      <c r="K129" s="522"/>
      <c r="L129" s="440"/>
    </row>
    <row r="130" spans="1:12" ht="74.25" customHeight="1">
      <c r="A130" s="394"/>
      <c r="B130" s="730" t="s">
        <v>619</v>
      </c>
      <c r="C130" s="730"/>
      <c r="D130" s="730"/>
      <c r="E130" s="730"/>
      <c r="F130" s="730"/>
      <c r="G130" s="730"/>
      <c r="H130" s="730"/>
      <c r="I130" s="730"/>
      <c r="J130" s="730"/>
      <c r="K130" s="730"/>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6" t="s">
        <v>620</v>
      </c>
      <c r="D133" s="746"/>
      <c r="E133" s="404"/>
      <c r="F133" s="523" t="s">
        <v>621</v>
      </c>
      <c r="G133" s="404"/>
      <c r="H133" s="746" t="s">
        <v>606</v>
      </c>
      <c r="I133" s="746"/>
      <c r="J133" s="404"/>
      <c r="K133" s="406"/>
      <c r="L133" s="394"/>
    </row>
    <row r="134" spans="1:12" ht="14.25">
      <c r="A134" s="394"/>
      <c r="B134" s="412" t="s">
        <v>599</v>
      </c>
      <c r="C134" s="731">
        <v>100000</v>
      </c>
      <c r="D134" s="731"/>
      <c r="E134" s="523" t="s">
        <v>28</v>
      </c>
      <c r="F134" s="523">
        <v>0.115</v>
      </c>
      <c r="G134" s="523" t="s">
        <v>576</v>
      </c>
      <c r="H134" s="747">
        <f>C134*F134</f>
        <v>11500</v>
      </c>
      <c r="I134" s="747"/>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8" t="s">
        <v>606</v>
      </c>
      <c r="D136" s="748"/>
      <c r="E136" s="422"/>
      <c r="F136" s="519" t="s">
        <v>622</v>
      </c>
      <c r="G136" s="519"/>
      <c r="H136" s="422"/>
      <c r="I136" s="422"/>
      <c r="J136" s="422" t="s">
        <v>623</v>
      </c>
      <c r="K136" s="423"/>
      <c r="L136" s="394"/>
    </row>
    <row r="137" spans="1:12" ht="14.25">
      <c r="A137" s="394"/>
      <c r="B137" s="412" t="s">
        <v>602</v>
      </c>
      <c r="C137" s="747">
        <f>H134</f>
        <v>11500</v>
      </c>
      <c r="D137" s="747"/>
      <c r="E137" s="523" t="s">
        <v>28</v>
      </c>
      <c r="F137" s="441">
        <v>52.869</v>
      </c>
      <c r="G137" s="523" t="s">
        <v>577</v>
      </c>
      <c r="H137" s="523">
        <v>1000</v>
      </c>
      <c r="I137" s="523"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0"/>
      <c r="D141" s="520"/>
      <c r="E141" s="523"/>
      <c r="F141" s="458"/>
      <c r="G141" s="523"/>
      <c r="H141" s="523"/>
      <c r="I141" s="523"/>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0"/>
      <c r="D143" s="520"/>
      <c r="E143" s="523"/>
      <c r="F143" s="458"/>
      <c r="G143" s="523"/>
      <c r="H143" s="523"/>
      <c r="I143" s="523"/>
      <c r="J143" s="442"/>
      <c r="K143" s="406"/>
      <c r="L143" s="394"/>
    </row>
    <row r="144" spans="1:12" ht="76.5" customHeight="1">
      <c r="A144" s="394"/>
      <c r="B144" s="749" t="s">
        <v>626</v>
      </c>
      <c r="C144" s="750"/>
      <c r="D144" s="750"/>
      <c r="E144" s="750"/>
      <c r="F144" s="750"/>
      <c r="G144" s="750"/>
      <c r="H144" s="750"/>
      <c r="I144" s="750"/>
      <c r="J144" s="750"/>
      <c r="K144" s="751"/>
      <c r="L144" s="394"/>
    </row>
    <row r="145" spans="1:12" ht="15" thickBot="1">
      <c r="A145" s="394"/>
      <c r="B145" s="412"/>
      <c r="C145" s="520"/>
      <c r="D145" s="520"/>
      <c r="E145" s="523"/>
      <c r="F145" s="458"/>
      <c r="G145" s="523"/>
      <c r="H145" s="523"/>
      <c r="I145" s="523"/>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7" t="s">
        <v>627</v>
      </c>
      <c r="D147" s="747"/>
      <c r="E147" s="523"/>
      <c r="F147" s="458" t="s">
        <v>628</v>
      </c>
      <c r="G147" s="523"/>
      <c r="H147" s="523"/>
      <c r="I147" s="523"/>
      <c r="J147" s="752" t="s">
        <v>629</v>
      </c>
      <c r="K147" s="753"/>
      <c r="L147" s="394"/>
    </row>
    <row r="148" spans="1:12" ht="14.25">
      <c r="A148" s="394"/>
      <c r="B148" s="412"/>
      <c r="C148" s="754">
        <v>52.869</v>
      </c>
      <c r="D148" s="754"/>
      <c r="E148" s="523" t="s">
        <v>28</v>
      </c>
      <c r="F148" s="524">
        <v>312000000</v>
      </c>
      <c r="G148" s="463" t="s">
        <v>577</v>
      </c>
      <c r="H148" s="523">
        <v>1000</v>
      </c>
      <c r="I148" s="523" t="s">
        <v>576</v>
      </c>
      <c r="J148" s="752">
        <f>C148*(F148/1000)</f>
        <v>16495128</v>
      </c>
      <c r="K148" s="755"/>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E4" sqref="E4"/>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E4" sqref="E4"/>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0" t="s">
        <v>736</v>
      </c>
    </row>
    <row r="3" ht="15.75">
      <c r="A3" s="610"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3" t="s">
        <v>698</v>
      </c>
    </row>
    <row r="29" ht="15.75">
      <c r="A29" s="513" t="s">
        <v>699</v>
      </c>
    </row>
    <row r="31" ht="15.75">
      <c r="A31" s="353" t="s">
        <v>670</v>
      </c>
    </row>
    <row r="32" ht="15.75">
      <c r="A32" s="513" t="s">
        <v>671</v>
      </c>
    </row>
    <row r="33" ht="15.75">
      <c r="A33" s="513" t="s">
        <v>672</v>
      </c>
    </row>
    <row r="34" ht="31.5">
      <c r="A34" s="514" t="s">
        <v>695</v>
      </c>
    </row>
    <row r="35" ht="15.75">
      <c r="A35" s="513" t="s">
        <v>673</v>
      </c>
    </row>
    <row r="36" ht="15.75">
      <c r="A36" s="513" t="s">
        <v>674</v>
      </c>
    </row>
    <row r="37" ht="15.75">
      <c r="A37" s="513" t="s">
        <v>675</v>
      </c>
    </row>
    <row r="38" ht="15.75">
      <c r="A38" s="513" t="s">
        <v>676</v>
      </c>
    </row>
    <row r="39" ht="15.75">
      <c r="A39" s="513" t="s">
        <v>677</v>
      </c>
    </row>
    <row r="40" ht="15.75">
      <c r="A40" s="513" t="s">
        <v>678</v>
      </c>
    </row>
    <row r="41" ht="15.75">
      <c r="A41" s="513" t="s">
        <v>679</v>
      </c>
    </row>
    <row r="42" ht="15.75">
      <c r="A42" s="513" t="s">
        <v>680</v>
      </c>
    </row>
    <row r="43" ht="15.75">
      <c r="A43" s="513" t="s">
        <v>681</v>
      </c>
    </row>
    <row r="44" ht="15.75">
      <c r="A44" s="513" t="s">
        <v>682</v>
      </c>
    </row>
    <row r="45" ht="15.75">
      <c r="A45" s="513" t="s">
        <v>683</v>
      </c>
    </row>
    <row r="46" ht="15.75">
      <c r="A46" s="513" t="s">
        <v>684</v>
      </c>
    </row>
    <row r="47" ht="15.75">
      <c r="A47" s="513" t="s">
        <v>685</v>
      </c>
    </row>
    <row r="48" ht="15.75">
      <c r="A48" s="513" t="s">
        <v>686</v>
      </c>
    </row>
    <row r="49" ht="15.75">
      <c r="A49" s="513" t="s">
        <v>687</v>
      </c>
    </row>
    <row r="50" ht="15.75">
      <c r="A50" s="513" t="s">
        <v>688</v>
      </c>
    </row>
    <row r="51" ht="15.75">
      <c r="A51" s="513" t="s">
        <v>689</v>
      </c>
    </row>
    <row r="52" ht="15.75">
      <c r="A52" s="513" t="s">
        <v>690</v>
      </c>
    </row>
    <row r="53" ht="15.75">
      <c r="A53" s="513" t="s">
        <v>691</v>
      </c>
    </row>
    <row r="54" ht="15.75">
      <c r="A54" s="513"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4" sqref="E4"/>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Sewer District No 4</v>
      </c>
      <c r="B1" s="60"/>
      <c r="C1" s="60"/>
      <c r="D1" s="60"/>
      <c r="E1" s="60">
        <f>inputPrYr!D6</f>
        <v>2014</v>
      </c>
    </row>
    <row r="2" spans="1:5" ht="15.75">
      <c r="A2" s="60" t="str">
        <f>inputPrYr!D4</f>
        <v>Geary County</v>
      </c>
      <c r="B2" s="60"/>
      <c r="C2" s="60"/>
      <c r="D2" s="60"/>
      <c r="E2" s="60"/>
    </row>
    <row r="3" spans="1:5" ht="15">
      <c r="A3" s="62"/>
      <c r="B3" s="62"/>
      <c r="C3" s="62"/>
      <c r="D3" s="62"/>
      <c r="E3" s="62"/>
    </row>
    <row r="4" spans="1:5" ht="15.75">
      <c r="A4" s="638" t="s">
        <v>196</v>
      </c>
      <c r="B4" s="639"/>
      <c r="C4" s="639"/>
      <c r="D4" s="639"/>
      <c r="E4" s="63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603521</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v>17518</v>
      </c>
    </row>
    <row r="10" spans="1:5" ht="15.75">
      <c r="A10" s="66" t="str">
        <f>CONCATENATE("Property that has changed in use for ",inputPrYr!D6-1,"")</f>
        <v>Property that has changed in use for 2013</v>
      </c>
      <c r="B10" s="67"/>
      <c r="C10" s="67"/>
      <c r="D10" s="67"/>
      <c r="E10" s="68">
        <v>0</v>
      </c>
    </row>
    <row r="11" spans="1:5" ht="15.75">
      <c r="A11" s="65" t="str">
        <f>CONCATENATE("Personal Property excluding oil, gas, and mobile homes- ",inputPrYr!D6-2,"")</f>
        <v>Personal Property excluding oil, gas, and mobile homes- 2012</v>
      </c>
      <c r="B11" s="40"/>
      <c r="C11" s="40"/>
      <c r="D11" s="40"/>
      <c r="E11" s="68">
        <v>17993</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8" t="s">
        <v>26</v>
      </c>
      <c r="B15" s="643"/>
      <c r="C15" s="62"/>
      <c r="D15" s="73" t="s">
        <v>63</v>
      </c>
      <c r="E15" s="72"/>
    </row>
    <row r="16" spans="1:5" ht="15.75">
      <c r="A16" s="65" t="s">
        <v>10</v>
      </c>
      <c r="B16" s="40"/>
      <c r="C16" s="69"/>
      <c r="D16" s="74">
        <v>9.874</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9.874</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591442</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921</v>
      </c>
    </row>
    <row r="28" spans="1:5" ht="15.75">
      <c r="A28" s="66" t="s">
        <v>15</v>
      </c>
      <c r="B28" s="67"/>
      <c r="C28" s="67"/>
      <c r="D28" s="84"/>
      <c r="E28" s="35">
        <v>21</v>
      </c>
    </row>
    <row r="29" spans="1:5" ht="15.75">
      <c r="A29" s="66" t="s">
        <v>171</v>
      </c>
      <c r="B29" s="67"/>
      <c r="C29" s="67"/>
      <c r="D29" s="84"/>
      <c r="E29" s="35"/>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0">
        <v>0.019</v>
      </c>
    </row>
    <row r="35" spans="1:5" ht="15.75">
      <c r="A35" s="66" t="s">
        <v>708</v>
      </c>
      <c r="B35" s="86"/>
      <c r="C35" s="69"/>
      <c r="D35" s="69"/>
      <c r="E35" s="531">
        <v>0.04</v>
      </c>
    </row>
    <row r="36" spans="1:5" ht="15.75">
      <c r="A36" s="87" t="s">
        <v>173</v>
      </c>
      <c r="B36" s="87"/>
      <c r="C36" s="88"/>
      <c r="D36" s="88"/>
      <c r="E36" s="89"/>
    </row>
    <row r="37" spans="1:5" ht="15">
      <c r="A37" s="62"/>
      <c r="B37" s="62"/>
      <c r="C37" s="62"/>
      <c r="D37" s="62"/>
      <c r="E37" s="62"/>
    </row>
    <row r="38" spans="1:5" ht="15.75">
      <c r="A38" s="649" t="str">
        <f>CONCATENATE("From the ",E1-2," Budget Certificate Page")</f>
        <v>From the 2012 Budget Certificate Page</v>
      </c>
      <c r="B38" s="650"/>
      <c r="C38" s="62"/>
      <c r="D38" s="62"/>
      <c r="E38" s="62"/>
    </row>
    <row r="39" spans="1:5" ht="15.75">
      <c r="A39" s="90"/>
      <c r="B39" s="90" t="str">
        <f>CONCATENATE("",E1-2," Expenditure Amounts")</f>
        <v>2012 Expenditure Amounts</v>
      </c>
      <c r="C39" s="651" t="str">
        <f>CONCATENATE("Note: If the ",E1-2," budget was amended, then the")</f>
        <v>Note: If the 2012 budget was amended, then the</v>
      </c>
      <c r="D39" s="652"/>
      <c r="E39" s="652"/>
    </row>
    <row r="40" spans="1:5" ht="15.75">
      <c r="A40" s="91" t="s">
        <v>212</v>
      </c>
      <c r="B40" s="91" t="s">
        <v>213</v>
      </c>
      <c r="C40" s="92" t="s">
        <v>214</v>
      </c>
      <c r="D40" s="93"/>
      <c r="E40" s="93"/>
    </row>
    <row r="41" spans="1:5" ht="15.75">
      <c r="A41" s="94" t="str">
        <f>inputPrYr!B19</f>
        <v>General</v>
      </c>
      <c r="B41" s="56">
        <v>12717</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91"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E4" sqref="E4"/>
    </sheetView>
  </sheetViews>
  <sheetFormatPr defaultColWidth="8.796875" defaultRowHeight="15"/>
  <cols>
    <col min="1" max="1" width="13.796875" style="0" customWidth="1"/>
    <col min="2" max="2" width="16.09765625" style="0" customWidth="1"/>
  </cols>
  <sheetData>
    <row r="1" ht="15">
      <c r="J1" s="534" t="s">
        <v>712</v>
      </c>
    </row>
    <row r="2" spans="1:10" ht="54" customHeight="1">
      <c r="A2" s="653" t="s">
        <v>320</v>
      </c>
      <c r="B2" s="654"/>
      <c r="C2" s="654"/>
      <c r="D2" s="654"/>
      <c r="E2" s="654"/>
      <c r="F2" s="654"/>
      <c r="J2" s="534" t="s">
        <v>713</v>
      </c>
    </row>
    <row r="3" spans="1:10" ht="15.75">
      <c r="A3" s="532" t="s">
        <v>710</v>
      </c>
      <c r="B3" s="533" t="s">
        <v>787</v>
      </c>
      <c r="C3" s="533"/>
      <c r="J3" s="534" t="s">
        <v>714</v>
      </c>
    </row>
    <row r="4" spans="1:10" ht="15.75">
      <c r="A4" s="340"/>
      <c r="B4" s="340"/>
      <c r="C4" s="340"/>
      <c r="D4" s="341"/>
      <c r="E4" s="340"/>
      <c r="F4" s="340"/>
      <c r="J4" s="534" t="s">
        <v>715</v>
      </c>
    </row>
    <row r="5" spans="1:10" ht="15.75">
      <c r="A5" s="532" t="s">
        <v>711</v>
      </c>
      <c r="B5" s="533" t="s">
        <v>30</v>
      </c>
      <c r="C5" s="340"/>
      <c r="D5" s="341"/>
      <c r="E5" s="340"/>
      <c r="F5" s="340"/>
      <c r="J5" s="534" t="s">
        <v>716</v>
      </c>
    </row>
    <row r="6" spans="1:10" ht="15.75">
      <c r="A6" s="340"/>
      <c r="B6" s="340"/>
      <c r="C6" s="340"/>
      <c r="D6" s="341"/>
      <c r="E6" s="340"/>
      <c r="F6" s="340"/>
      <c r="J6" s="534" t="s">
        <v>717</v>
      </c>
    </row>
    <row r="7" spans="1:10" ht="15.75">
      <c r="A7" s="342" t="s">
        <v>321</v>
      </c>
      <c r="B7" s="343" t="s">
        <v>801</v>
      </c>
      <c r="C7" s="344"/>
      <c r="D7" s="342" t="s">
        <v>709</v>
      </c>
      <c r="E7" s="340"/>
      <c r="F7" s="340"/>
      <c r="J7" s="534" t="s">
        <v>718</v>
      </c>
    </row>
    <row r="8" spans="1:10" ht="15.75">
      <c r="A8" s="342"/>
      <c r="B8" s="345"/>
      <c r="C8" s="346"/>
      <c r="D8" s="535" t="str">
        <f>IF(B7="","",CONCATENATE("Latest date for notice to be published in your newspaper: ",G18," ",G22,", ",G23))</f>
        <v>Latest date for notice to be published in your newspaper: August 9, 2013</v>
      </c>
      <c r="E8" s="340"/>
      <c r="F8" s="340"/>
      <c r="J8" s="534" t="s">
        <v>719</v>
      </c>
    </row>
    <row r="9" spans="1:10" ht="15.75">
      <c r="A9" s="342" t="s">
        <v>322</v>
      </c>
      <c r="B9" s="343" t="s">
        <v>802</v>
      </c>
      <c r="C9" s="347"/>
      <c r="D9" s="342"/>
      <c r="E9" s="340"/>
      <c r="F9" s="340"/>
      <c r="J9" s="534" t="s">
        <v>720</v>
      </c>
    </row>
    <row r="10" spans="1:10" ht="15.75">
      <c r="A10" s="342"/>
      <c r="B10" s="342"/>
      <c r="C10" s="342"/>
      <c r="D10" s="342"/>
      <c r="E10" s="340"/>
      <c r="F10" s="340"/>
      <c r="J10" s="534" t="s">
        <v>721</v>
      </c>
    </row>
    <row r="11" spans="1:10" ht="15.75">
      <c r="A11" s="342" t="s">
        <v>323</v>
      </c>
      <c r="B11" s="348" t="s">
        <v>800</v>
      </c>
      <c r="C11" s="348"/>
      <c r="D11" s="348"/>
      <c r="E11" s="349"/>
      <c r="F11" s="340"/>
      <c r="J11" s="534" t="s">
        <v>722</v>
      </c>
    </row>
    <row r="12" spans="1:10" ht="15.75">
      <c r="A12" s="342"/>
      <c r="B12" s="342"/>
      <c r="C12" s="342"/>
      <c r="D12" s="342"/>
      <c r="E12" s="340"/>
      <c r="F12" s="340"/>
      <c r="J12" s="534" t="s">
        <v>723</v>
      </c>
    </row>
    <row r="13" spans="1:6" ht="15.75">
      <c r="A13" s="342"/>
      <c r="B13" s="342"/>
      <c r="C13" s="342"/>
      <c r="D13" s="342"/>
      <c r="E13" s="340"/>
      <c r="F13" s="340"/>
    </row>
    <row r="14" spans="1:6" ht="15.75">
      <c r="A14" s="342" t="s">
        <v>324</v>
      </c>
      <c r="B14" s="348" t="s">
        <v>800</v>
      </c>
      <c r="C14" s="348"/>
      <c r="D14" s="348"/>
      <c r="E14" s="349"/>
      <c r="F14" s="340"/>
    </row>
    <row r="17" spans="1:6" ht="15.75">
      <c r="A17" s="655" t="s">
        <v>325</v>
      </c>
      <c r="B17" s="655"/>
      <c r="C17" s="342"/>
      <c r="D17" s="342"/>
      <c r="E17" s="342"/>
      <c r="F17" s="340"/>
    </row>
    <row r="18" spans="1:7" ht="15.75">
      <c r="A18" s="342"/>
      <c r="B18" s="342"/>
      <c r="C18" s="342"/>
      <c r="D18" s="342"/>
      <c r="E18" s="342"/>
      <c r="F18" s="340"/>
      <c r="G18" s="534" t="str">
        <f ca="1">IF(B7="","",INDIRECT(G19))</f>
        <v>August</v>
      </c>
    </row>
    <row r="19" spans="1:7" ht="15.75">
      <c r="A19" s="342" t="s">
        <v>321</v>
      </c>
      <c r="B19" s="345" t="s">
        <v>326</v>
      </c>
      <c r="C19" s="342"/>
      <c r="D19" s="342"/>
      <c r="E19" s="342"/>
      <c r="G19" s="536" t="str">
        <f>IF(B7="","",CONCATENATE("J",G21))</f>
        <v>J8</v>
      </c>
    </row>
    <row r="20" spans="1:7" ht="15.75">
      <c r="A20" s="342"/>
      <c r="B20" s="342"/>
      <c r="C20" s="342"/>
      <c r="D20" s="342"/>
      <c r="E20" s="342"/>
      <c r="G20" s="537">
        <f>B7-10</f>
        <v>41495</v>
      </c>
    </row>
    <row r="21" spans="1:7" ht="15.75">
      <c r="A21" s="342" t="s">
        <v>322</v>
      </c>
      <c r="B21" s="342" t="s">
        <v>327</v>
      </c>
      <c r="C21" s="342"/>
      <c r="D21" s="342"/>
      <c r="E21" s="342"/>
      <c r="G21" s="538">
        <f>IF(B7="","",MONTH(G20))</f>
        <v>8</v>
      </c>
    </row>
    <row r="22" spans="1:7" ht="15.75">
      <c r="A22" s="342"/>
      <c r="B22" s="342"/>
      <c r="C22" s="342"/>
      <c r="D22" s="342"/>
      <c r="E22" s="342"/>
      <c r="G22" s="539">
        <f>IF(B7="","",DAY(G20))</f>
        <v>9</v>
      </c>
    </row>
    <row r="23" spans="1:7" ht="15.75">
      <c r="A23" s="342" t="s">
        <v>323</v>
      </c>
      <c r="B23" s="342" t="s">
        <v>329</v>
      </c>
      <c r="C23" s="342"/>
      <c r="D23" s="342"/>
      <c r="E23" s="342"/>
      <c r="G23" s="540">
        <f>IF(B7="","",YEAR(G20))</f>
        <v>2013</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F40" sqref="F40"/>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2014</v>
      </c>
    </row>
    <row r="4" spans="1:7" ht="15.75">
      <c r="A4" s="658" t="str">
        <f>CONCATENATE("To the Clerk of ",inputPrYr!D4,", State of Kansas")</f>
        <v>To the Clerk of Geary County, State of Kansas</v>
      </c>
      <c r="B4" s="658"/>
      <c r="C4" s="658"/>
      <c r="D4" s="658"/>
      <c r="E4" s="658"/>
      <c r="F4" s="658"/>
      <c r="G4" s="658"/>
    </row>
    <row r="5" spans="1:7" ht="15.75">
      <c r="A5" s="97" t="s">
        <v>156</v>
      </c>
      <c r="B5" s="24"/>
      <c r="C5" s="24"/>
      <c r="D5" s="24"/>
      <c r="E5" s="24"/>
      <c r="F5" s="24"/>
      <c r="G5" s="24"/>
    </row>
    <row r="6" spans="1:7" ht="15.75">
      <c r="A6" s="640" t="str">
        <f>inputPrYr!D3</f>
        <v>Sewer District No 4</v>
      </c>
      <c r="B6" s="640"/>
      <c r="C6" s="640"/>
      <c r="D6" s="640"/>
      <c r="E6" s="640"/>
      <c r="F6" s="640"/>
      <c r="G6" s="64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2014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2013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19-27a09</v>
      </c>
      <c r="D23" s="120">
        <v>6</v>
      </c>
      <c r="E23" s="553">
        <f>IF(gen!$E$61&lt;&gt;0,gen!$E$61,"  ")</f>
        <v>16345</v>
      </c>
      <c r="F23" s="553">
        <f>IF(gen!$E$68&lt;&gt;0,gen!$E$68,"  ")</f>
        <v>6035</v>
      </c>
      <c r="G23" s="554"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54"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4"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4"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55"/>
      <c r="G27" s="554"/>
    </row>
    <row r="28" spans="1:7" ht="15.75">
      <c r="A28" s="124" t="str">
        <f>IF(inputPrYr!$B$27&gt;"  ",inputPrYr!$B$27,"  ")</f>
        <v>  </v>
      </c>
      <c r="B28" s="125"/>
      <c r="C28" s="122"/>
      <c r="D28" s="120" t="str">
        <f>IF(nolevypage9!C70&gt;0,nolevypage9!C70," ")</f>
        <v> </v>
      </c>
      <c r="E28" s="243" t="str">
        <f>IF(nolevypage9!$E$64&lt;&gt;0,nolevypage9!$E$64,"  ")</f>
        <v>  </v>
      </c>
      <c r="F28" s="555"/>
      <c r="G28" s="554"/>
    </row>
    <row r="29" spans="1:7" ht="15.75">
      <c r="A29" s="124">
        <f>IF((inputPrYr!$B$30&gt;" "),(NonBud!$A$3),"")</f>
      </c>
      <c r="B29" s="125"/>
      <c r="C29" s="103"/>
      <c r="D29" s="120">
        <f>IF(NonBud!F33&gt;0,NonBud!F33,"")</f>
      </c>
      <c r="E29" s="556"/>
      <c r="F29" s="557"/>
      <c r="G29" s="558"/>
    </row>
    <row r="30" spans="1:7" ht="15.75">
      <c r="A30" s="127" t="s">
        <v>134</v>
      </c>
      <c r="B30" s="67"/>
      <c r="C30" s="116"/>
      <c r="D30" s="128" t="s">
        <v>28</v>
      </c>
      <c r="E30" s="559">
        <f>SUM(E23:E28)</f>
        <v>16345</v>
      </c>
      <c r="F30" s="560">
        <f>SUM(F23:F28)</f>
        <v>6035</v>
      </c>
      <c r="G30" s="561">
        <f>IF(SUM(G23:G28)=0,"",SUM(G23:G28))</f>
      </c>
    </row>
    <row r="31" spans="1:7" ht="15.75">
      <c r="A31" s="119" t="s">
        <v>205</v>
      </c>
      <c r="B31" s="67"/>
      <c r="C31" s="116"/>
      <c r="D31" s="131">
        <f>summ!E42</f>
        <v>7</v>
      </c>
      <c r="E31" s="135" t="s">
        <v>200</v>
      </c>
      <c r="F31" s="384" t="str">
        <f>IF(F30&gt;computation!J34,"Yes","No")</f>
        <v>Yes</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3" t="str">
        <f>CONCATENATE("Nov. 1, ",G3," Total Assessed Valuation")</f>
        <v>Nov. 1, 2014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629" t="s">
        <v>788</v>
      </c>
      <c r="B36" s="515"/>
      <c r="C36" s="69"/>
      <c r="D36" s="69"/>
      <c r="E36" s="139"/>
      <c r="F36" s="69"/>
      <c r="G36" s="18"/>
    </row>
    <row r="37" spans="1:7" ht="15.75">
      <c r="A37" s="516"/>
      <c r="B37" s="516"/>
      <c r="C37" s="69"/>
      <c r="D37" s="69"/>
      <c r="E37" s="392"/>
      <c r="F37" s="69"/>
      <c r="G37" s="69"/>
    </row>
    <row r="38" spans="1:7" ht="15.75">
      <c r="A38" s="20" t="s">
        <v>565</v>
      </c>
      <c r="B38" s="69"/>
      <c r="C38" s="69"/>
      <c r="D38" s="69"/>
      <c r="E38" s="548"/>
      <c r="F38" s="69"/>
      <c r="G38" s="69"/>
    </row>
    <row r="39" spans="1:7" ht="15.75">
      <c r="A39" s="630" t="s">
        <v>799</v>
      </c>
      <c r="B39" s="515"/>
      <c r="C39" s="69"/>
      <c r="D39" s="69" t="s">
        <v>730</v>
      </c>
      <c r="E39" s="549"/>
      <c r="F39" s="549"/>
      <c r="G39" s="69"/>
    </row>
    <row r="40" spans="1:7" ht="15.75">
      <c r="A40" s="631" t="s">
        <v>789</v>
      </c>
      <c r="B40" s="516"/>
      <c r="C40" s="52"/>
      <c r="D40" s="69"/>
      <c r="E40" s="549"/>
      <c r="F40" s="549"/>
      <c r="G40" s="69"/>
    </row>
    <row r="41" spans="1:7" ht="15.75">
      <c r="A41" s="20" t="s">
        <v>729</v>
      </c>
      <c r="B41" s="69"/>
      <c r="C41" s="18"/>
      <c r="D41" s="69" t="s">
        <v>730</v>
      </c>
      <c r="E41" s="550"/>
      <c r="F41" s="69"/>
      <c r="G41" s="69"/>
    </row>
    <row r="42" spans="1:7" ht="15.75">
      <c r="A42" s="624" t="s">
        <v>790</v>
      </c>
      <c r="B42" s="516"/>
      <c r="C42" s="17"/>
      <c r="D42" s="21"/>
      <c r="E42" s="141"/>
      <c r="F42" s="69"/>
      <c r="G42" s="69"/>
    </row>
    <row r="43" spans="1:7" ht="15.75">
      <c r="A43" s="20"/>
      <c r="B43" s="69"/>
      <c r="C43" s="69"/>
      <c r="D43" s="69" t="s">
        <v>730</v>
      </c>
      <c r="E43" s="141"/>
      <c r="F43" s="551"/>
      <c r="G43" s="551"/>
    </row>
    <row r="44" spans="1:7" ht="15.75">
      <c r="A44" s="20"/>
      <c r="B44" s="100"/>
      <c r="C44" s="69"/>
      <c r="D44" s="141"/>
      <c r="E44" s="141"/>
      <c r="F44" s="141"/>
      <c r="G44" s="141"/>
    </row>
    <row r="45" spans="1:7" ht="15.75">
      <c r="A45" s="20"/>
      <c r="B45" s="69"/>
      <c r="C45" s="69"/>
      <c r="D45" s="69" t="s">
        <v>730</v>
      </c>
      <c r="E45" s="141"/>
      <c r="F45" s="551"/>
      <c r="G45" s="551"/>
    </row>
    <row r="46" spans="1:7" ht="15.75">
      <c r="A46" s="69"/>
      <c r="B46" s="69"/>
      <c r="C46" s="69"/>
      <c r="D46" s="141"/>
      <c r="E46" s="141"/>
      <c r="F46" s="141"/>
      <c r="G46" s="141"/>
    </row>
    <row r="47" spans="1:7" ht="15.75">
      <c r="A47" s="17" t="s">
        <v>197</v>
      </c>
      <c r="B47" s="18"/>
      <c r="C47" s="17">
        <f>G3-1</f>
        <v>2013</v>
      </c>
      <c r="D47" s="69" t="s">
        <v>730</v>
      </c>
      <c r="E47" s="69"/>
      <c r="F47" s="551"/>
      <c r="G47" s="551"/>
    </row>
    <row r="48" spans="1:7" ht="15.75">
      <c r="A48" s="141"/>
      <c r="B48" s="69"/>
      <c r="C48" s="17"/>
      <c r="D48" s="69"/>
      <c r="E48" s="69"/>
      <c r="F48" s="552"/>
      <c r="G48" s="552"/>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69"/>
      <c r="B51" s="669"/>
      <c r="C51" s="669"/>
      <c r="D51" s="669"/>
      <c r="E51" s="669"/>
      <c r="F51" s="669"/>
      <c r="G51" s="669"/>
    </row>
    <row r="52" spans="1:7" ht="15.75">
      <c r="A52" s="670"/>
      <c r="B52" s="670"/>
      <c r="C52" s="670"/>
      <c r="D52" s="670"/>
      <c r="E52" s="670"/>
      <c r="F52" s="670"/>
      <c r="G52" s="670"/>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pottberg@pgh-cpa.com"/>
  </hyperlinks>
  <printOptions/>
  <pageMargins left="1.25" right="0.5" top="0" bottom="0.5" header="0" footer="0.5"/>
  <pageSetup blackAndWhite="1" fitToHeight="1" fitToWidth="1" horizontalDpi="120" verticalDpi="120" orientation="portrait" scale="75"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F40" sqref="F40"/>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Sewer District No 4</v>
      </c>
      <c r="D1" s="18"/>
      <c r="E1" s="18"/>
      <c r="F1" s="18"/>
      <c r="G1" s="18"/>
      <c r="H1" s="18"/>
      <c r="I1" s="18"/>
      <c r="J1" s="18">
        <f>inputPrYr!D6</f>
        <v>2014</v>
      </c>
    </row>
    <row r="2" spans="1:10" ht="15.75" customHeight="1">
      <c r="A2" s="18"/>
      <c r="B2" s="18"/>
      <c r="C2" s="18" t="str">
        <f>inputPrYr!D4</f>
        <v>Geary County</v>
      </c>
      <c r="D2" s="18"/>
      <c r="E2" s="18"/>
      <c r="F2" s="18"/>
      <c r="G2" s="18"/>
      <c r="H2" s="18"/>
      <c r="I2" s="18"/>
      <c r="J2" s="18"/>
    </row>
    <row r="3" spans="1:10" ht="15.75">
      <c r="A3" s="642" t="str">
        <f>CONCATENATE("Computation to Determine Limit for ",J1,"")</f>
        <v>Computation to Determine Limit for 2014</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2">
        <f>inputPrYr!E24</f>
        <v>5840</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5840</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17518</v>
      </c>
      <c r="F14" s="146"/>
      <c r="G14" s="37"/>
      <c r="H14" s="37"/>
      <c r="I14" s="149"/>
      <c r="J14" s="37"/>
    </row>
    <row r="15" spans="1:10" ht="15.75">
      <c r="A15" s="145"/>
      <c r="B15" s="18" t="s">
        <v>99</v>
      </c>
      <c r="C15" s="18" t="str">
        <f>CONCATENATE("Personal Property ",J1-2,"")</f>
        <v>Personal Property 2012</v>
      </c>
      <c r="D15" s="145" t="s">
        <v>95</v>
      </c>
      <c r="E15" s="41">
        <f>inputOth!E11</f>
        <v>17993</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603521</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603521</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5840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5840</v>
      </c>
    </row>
    <row r="35" spans="1:10" ht="16.5" thickTop="1">
      <c r="A35" s="18"/>
      <c r="B35" s="18"/>
      <c r="C35" s="18"/>
      <c r="D35" s="18"/>
      <c r="E35" s="18"/>
      <c r="F35" s="18"/>
      <c r="G35" s="18"/>
      <c r="H35" s="18"/>
      <c r="I35" s="18"/>
      <c r="J35" s="18"/>
    </row>
    <row r="36" spans="1:10" ht="15.75">
      <c r="A36" s="671" t="str">
        <f>CONCATENATE("If the ",J1," budget includes tax levies exceeding the total on line 14, you must")</f>
        <v>If the 2014 budget includes tax levies exceeding the total on line 14, you must</v>
      </c>
      <c r="B36" s="671"/>
      <c r="C36" s="671"/>
      <c r="D36" s="671"/>
      <c r="E36" s="671"/>
      <c r="F36" s="671"/>
      <c r="G36" s="671"/>
      <c r="H36" s="671"/>
      <c r="I36" s="671"/>
      <c r="J36" s="671"/>
    </row>
    <row r="37" spans="1:10" ht="15.75">
      <c r="A37" s="671" t="s">
        <v>120</v>
      </c>
      <c r="B37" s="671"/>
      <c r="C37" s="671"/>
      <c r="D37" s="671"/>
      <c r="E37" s="671"/>
      <c r="F37" s="671"/>
      <c r="G37" s="671"/>
      <c r="H37" s="671"/>
      <c r="I37" s="671"/>
      <c r="J37" s="67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F40" sqref="F4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Sewer District No 4</v>
      </c>
      <c r="C1" s="18"/>
      <c r="D1" s="18"/>
      <c r="E1" s="18"/>
      <c r="F1" s="18"/>
      <c r="G1" s="18"/>
      <c r="H1" s="18"/>
      <c r="I1" s="155"/>
      <c r="J1" s="18"/>
    </row>
    <row r="2" spans="1:10" ht="15.75">
      <c r="A2" s="18"/>
      <c r="B2" s="18" t="str">
        <f>inputPrYr!D4</f>
        <v>Geary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2" t="s">
        <v>724</v>
      </c>
      <c r="C6" s="672"/>
      <c r="D6" s="672"/>
      <c r="E6" s="672"/>
      <c r="F6" s="67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5" t="str">
        <f>CONCATENATE("",G2-1,"                    Budgeted Funds")</f>
        <v>2013                    Budgeted Funds</v>
      </c>
      <c r="C9" s="673" t="str">
        <f>CONCATENATE("Tax Levy Amount in ",G2-2," Budget")</f>
        <v>Tax Levy Amount in 2012 Budget</v>
      </c>
      <c r="D9" s="659" t="str">
        <f>CONCATENATE("Allocation for Year ",G2,"")</f>
        <v>Allocation for Year 2014</v>
      </c>
      <c r="E9" s="676"/>
      <c r="F9" s="677"/>
      <c r="G9" s="18"/>
      <c r="H9" s="18"/>
      <c r="I9" s="18"/>
      <c r="J9" s="18"/>
    </row>
    <row r="10" spans="1:10" ht="15.75">
      <c r="A10" s="18"/>
      <c r="B10" s="674"/>
      <c r="C10" s="674"/>
      <c r="D10" s="114" t="s">
        <v>45</v>
      </c>
      <c r="E10" s="114" t="s">
        <v>46</v>
      </c>
      <c r="F10" s="111" t="s">
        <v>87</v>
      </c>
      <c r="G10" s="18"/>
      <c r="H10" s="18"/>
      <c r="I10" s="18"/>
      <c r="J10" s="18"/>
    </row>
    <row r="11" spans="1:10" ht="15.75">
      <c r="A11" s="18"/>
      <c r="B11" s="36" t="str">
        <f>inputPrYr!B19</f>
        <v>General</v>
      </c>
      <c r="C11" s="123">
        <f>inputPrYr!E19</f>
        <v>5840</v>
      </c>
      <c r="D11" s="123">
        <f>IF(E17=0,0,E17-D12-D13-D14)</f>
        <v>921</v>
      </c>
      <c r="E11" s="123">
        <f>IF(E19=0,0,E19-E12-E13-E14)</f>
        <v>21</v>
      </c>
      <c r="F11" s="123">
        <f>IF(E21=0,0,E21-F12-F13-F14)</f>
        <v>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5840</v>
      </c>
      <c r="D15" s="130">
        <f>SUM(D11:D14)</f>
        <v>921</v>
      </c>
      <c r="E15" s="130">
        <f>SUM(E11:E14)</f>
        <v>21</v>
      </c>
      <c r="F15" s="203">
        <f>SUM(F11:F14)</f>
        <v>0</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921</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21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0.1577054794520548</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0.003595890410958904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4" sqref="E4"/>
    </sheetView>
  </sheetViews>
  <sheetFormatPr defaultColWidth="8.796875" defaultRowHeight="15"/>
  <cols>
    <col min="1" max="1" width="14.19921875" style="16" customWidth="1"/>
    <col min="2" max="2" width="17.69921875" style="16" customWidth="1"/>
    <col min="3" max="4" width="12.796875" style="16" customWidth="1"/>
    <col min="5" max="5" width="13.296875" style="16" customWidth="1"/>
    <col min="6" max="6" width="15.296875" style="16" customWidth="1"/>
    <col min="7" max="16384" width="8.8984375" style="16" customWidth="1"/>
  </cols>
  <sheetData>
    <row r="1" spans="1:6" ht="15.75">
      <c r="A1" s="156"/>
      <c r="B1" s="18"/>
      <c r="C1" s="18"/>
      <c r="D1" s="18"/>
      <c r="E1" s="155"/>
      <c r="F1" s="18">
        <f>inputPrYr!D6</f>
        <v>2014</v>
      </c>
    </row>
    <row r="2" spans="1:6" ht="15.75">
      <c r="A2" s="165" t="str">
        <f>inputPrYr!D3</f>
        <v>Sewer District No 4</v>
      </c>
      <c r="B2" s="165"/>
      <c r="C2" s="18"/>
      <c r="D2" s="18"/>
      <c r="E2" s="155"/>
      <c r="F2" s="18"/>
    </row>
    <row r="3" spans="1:6" ht="15.75">
      <c r="A3" s="165" t="str">
        <f>inputPrYr!D4</f>
        <v>Geary County</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mergeCells count="1">
    <mergeCell ref="A5:F5"/>
  </mergeCells>
  <printOptions/>
  <pageMargins left="0.75" right="0.5" top="1" bottom="1" header="0.5" footer="0.5"/>
  <pageSetup blackAndWhite="1" fitToHeight="1" fitToWidth="1" horizontalDpi="600" verticalDpi="600" orientation="portrait" scale="9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E4" sqref="E4"/>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Rebecca Bossemeyer</cp:lastModifiedBy>
  <cp:lastPrinted>2013-08-05T20:18:28Z</cp:lastPrinted>
  <dcterms:created xsi:type="dcterms:W3CDTF">1999-08-06T13:59:57Z</dcterms:created>
  <dcterms:modified xsi:type="dcterms:W3CDTF">2013-08-13T16:36:50Z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thAndName">
    <vt:lpwstr>Y:\officedocs\Junction City PGH\G\Geary County\Budget\2013 Budget\Water &amp; Sewer\Sewer SpecialDistrict.xls</vt:lpwstr>
  </property>
</Properties>
</file>