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<sst xmlns="http://schemas.openxmlformats.org/spreadsheetml/2006/main" count="1239" uniqueCount="820">
  <si>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</si>
  <si>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</si>
  <si>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</si>
  <si>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</si>
  <si>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</si>
  <si>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</si>
  <si>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</si>
  <si>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</si>
  <si>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</si>
  <si>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</si>
  <si>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</si>
  <si>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</si>
  <si>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</si>
  <si>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</si>
  <si>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</si>
  <si>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</si>
  <si>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</si>
  <si>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</si>
  <si>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</si>
  <si>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</si>
  <si>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</si>
  <si>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</si>
  <si>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</si>
  <si>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</si>
  <si>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</si>
  <si>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</si>
  <si>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</si>
  <si>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</si>
  <si>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</si>
  <si>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</si>
  <si>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</si>
  <si>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</si>
  <si>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</si>
  <si>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</si>
  <si>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</si>
  <si>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</si>
  <si>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</si>
  <si>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</si>
  <si>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</si>
  <si>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</si>
  <si>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</si>
  <si>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</si>
  <si>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</si>
  <si>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</si>
  <si>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</si>
  <si>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</si>
  <si>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</si>
  <si>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</si>
  <si>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</si>
  <si>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</si>
  <si>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</si>
  <si>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</si>
  <si>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</si>
  <si>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</si>
  <si>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</si>
  <si>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</si>
  <si>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</si>
  <si>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</si>
  <si>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</si>
  <si>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</si>
  <si>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</si>
  <si>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</si>
  <si>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</si>
  <si>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</si>
  <si>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</si>
  <si>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</si>
  <si>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</si>
  <si>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</si>
  <si>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</si>
  <si>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</si>
  <si>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</si>
  <si>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</si>
  <si>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</si>
  <si>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</si>
  <si>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</si>
  <si>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</si>
  <si>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</si>
  <si>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</si>
  <si>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</si>
  <si>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</si>
  <si>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</si>
  <si>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</si>
  <si>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</si>
  <si>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</si>
  <si>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</si>
  <si>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</si>
  <si>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</si>
  <si>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</si>
  <si>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</si>
  <si>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</si>
  <si>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</si>
  <si>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</si>
  <si>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</si>
  <si>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</si>
  <si>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</si>
  <si>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</si>
  <si>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</si>
  <si>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</si>
  <si>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</si>
  <si>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</si>
  <si>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</si>
  <si>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</si>
  <si>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</si>
  <si>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</si>
  <si>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</si>
  <si>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</si>
  <si>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</si>
  <si>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</si>
  <si>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</si>
  <si>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</si>
  <si>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</si>
  <si>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</si>
  <si>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</si>
  <si>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</si>
  <si>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</si>
  <si>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</si>
  <si>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</si>
  <si>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</si>
  <si>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</si>
  <si>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</si>
  <si>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</si>
  <si>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</si>
  <si>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</si>
  <si>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</si>
  <si>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</si>
  <si>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</si>
  <si>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</si>
  <si>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</si>
  <si>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</si>
  <si>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</si>
  <si>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</si>
  <si>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</si>
  <si>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</si>
  <si>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</si>
  <si>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</si>
  <si>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</si>
  <si>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</si>
  <si>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</si>
  <si>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</si>
  <si>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</si>
  <si>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</si>
  <si>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</si>
  <si>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</si>
  <si>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</si>
  <si>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</si>
  <si>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</si>
  <si>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</si>
  <si>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</si>
  <si>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</si>
  <si>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</si>
  <si>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</si>
  <si>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</si>
  <si>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</si>
  <si>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</si>
  <si>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</si>
  <si>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</si>
  <si>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</si>
  <si>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</si>
  <si>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</si>
  <si>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</si>
  <si>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</si>
  <si>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</si>
  <si>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</si>
  <si>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</si>
  <si>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</si>
  <si>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</si>
  <si>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</si>
  <si>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</si>
  <si>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</si>
  <si>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</si>
  <si>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</si>
  <si>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</si>
  <si>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</si>
  <si>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</si>
  <si>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</si>
  <si>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</si>
  <si>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</si>
  <si>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</si>
  <si>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</si>
  <si>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</si>
  <si>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</si>
  <si>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</si>
  <si>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</si>
  <si>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</si>
  <si>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</si>
  <si>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</si>
  <si>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</si>
  <si>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</si>
  <si>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</si>
  <si>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</si>
  <si>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</si>
  <si>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</si>
  <si>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</si>
  <si>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</si>
  <si>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</si>
  <si>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</si>
  <si>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</si>
  <si>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</si>
  <si>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</si>
  <si>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</si>
  <si>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</si>
  <si>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</si>
  <si>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</si>
  <si>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</si>
  <si>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</si>
  <si>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</si>
  <si>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</si>
  <si>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</si>
  <si>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</si>
  <si>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</si>
  <si>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</si>
  <si>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</si>
  <si>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</si>
  <si>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</si>
  <si>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</si>
  <si>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</si>
  <si>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</si>
  <si>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</si>
  <si>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</si>
  <si>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</si>
  <si>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</si>
  <si>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</si>
  <si>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</si>
  <si>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</si>
  <si>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</si>
  <si>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</si>
  <si>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</si>
  <si>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</si>
  <si>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</si>
  <si>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</si>
  <si>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</si>
  <si>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</si>
  <si>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</si>
  <si>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</si>
  <si>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</si>
  <si>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</si>
  <si>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</si>
  <si>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</si>
  <si>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</si>
  <si>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</si>
  <si>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</si>
  <si>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</si>
  <si>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</si>
  <si>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</si>
  <si>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</si>
  <si>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</si>
  <si>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</si>
  <si>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</si>
  <si>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</si>
  <si>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</si>
  <si>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</si>
  <si>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</si>
  <si>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</si>
  <si>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</si>
  <si>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</si>
  <si>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</si>
  <si>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</si>
  <si>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</si>
  <si>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</si>
  <si>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</si>
  <si>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</si>
  <si>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</si>
  <si>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</si>
  <si>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</si>
  <si>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</si>
  <si>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</si>
  <si>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</si>
  <si>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</si>
  <si>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</si>
  <si>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</si>
  <si>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</si>
  <si>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</si>
  <si>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</si>
  <si>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</si>
  <si>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</si>
  <si>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</si>
  <si>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</si>
  <si>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</si>
  <si>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</si>
  <si>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</si>
  <si>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</si>
  <si>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</si>
  <si>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</si>
  <si>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</si>
  <si>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</si>
  <si>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</si>
  <si>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</si>
  <si>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</si>
  <si>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</si>
  <si>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</si>
  <si>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</si>
  <si>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</si>
  <si>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</si>
  <si>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</si>
  <si>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</si>
  <si>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</si>
  <si>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</si>
  <si>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</si>
  <si>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</si>
  <si>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</si>
  <si>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</si>
  <si>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</si>
  <si>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</si>
  <si>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</si>
  <si>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</si>
  <si>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</si>
  <si>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</si>
  <si>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</si>
  <si>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</si>
  <si>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</si>
  <si>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</si>
  <si>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</si>
  <si>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</si>
  <si>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</si>
  <si>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</si>
  <si>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</si>
  <si>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</si>
  <si>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</si>
  <si>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</si>
  <si>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</si>
  <si>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</si>
  <si>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</si>
  <si>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</si>
  <si>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</si>
  <si>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</si>
  <si>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</si>
  <si>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</si>
  <si>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</si>
  <si>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</si>
  <si>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</si>
  <si>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</si>
  <si>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</si>
  <si>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</si>
  <si>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</si>
  <si>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</si>
  <si>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</si>
  <si>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</si>
  <si>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</si>
  <si>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</si>
  <si>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</si>
  <si>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</si>
  <si>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</si>
  <si>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</si>
  <si>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</si>
  <si>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</si>
  <si>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</si>
  <si>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</si>
  <si>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</si>
  <si>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</si>
  <si>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</si>
  <si>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</si>
  <si>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</si>
  <si>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</si>
  <si>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</si>
  <si>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</si>
  <si>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</si>
  <si>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</si>
  <si>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</si>
  <si>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</si>
  <si>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</si>
  <si>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</si>
  <si>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</si>
  <si>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</si>
  <si>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</si>
  <si>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</si>
  <si>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</si>
  <si>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</si>
  <si>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</si>
  <si>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</si>
  <si>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</si>
  <si>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</si>
  <si>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</si>
  <si>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</si>
  <si>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</si>
  <si>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</si>
  <si>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</si>
  <si>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</si>
  <si>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</si>
  <si>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</si>
  <si>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</si>
  <si>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</si>
  <si>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</si>
  <si>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</si>
  <si>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</si>
  <si>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</si>
  <si>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</si>
  <si>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</si>
  <si>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</si>
  <si>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</si>
  <si>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</si>
  <si>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</si>
  <si>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</si>
  <si>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</si>
  <si>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</si>
  <si>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</si>
  <si>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</si>
  <si>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</si>
  <si>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</si>
  <si>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</si>
  <si>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</si>
  <si>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</si>
  <si>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</si>
  <si>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</si>
  <si>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</si>
  <si>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</si>
  <si>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</si>
  <si>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</si>
  <si>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</si>
  <si>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</si>
  <si>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</si>
  <si>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</si>
  <si>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</si>
  <si>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</si>
  <si>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</si>
  <si>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</si>
  <si>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</si>
  <si>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</si>
  <si>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</si>
  <si>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</si>
  <si>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</si>
  <si>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</si>
  <si>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</si>
  <si>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</si>
  <si>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</si>
  <si>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</si>
  <si>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</si>
  <si>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</si>
  <si>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</si>
  <si>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</si>
  <si>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</si>
  <si>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</si>
  <si>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</si>
  <si>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</si>
  <si>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</si>
  <si>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</si>
  <si>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</si>
  <si>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</si>
  <si>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</si>
  <si>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</si>
  <si>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</si>
  <si>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</si>
  <si>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</si>
  <si>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</si>
  <si>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</si>
  <si>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</si>
  <si>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</si>
  <si>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</si>
  <si>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</si>
  <si>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</si>
  <si>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</si>
  <si>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</si>
  <si>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</si>
  <si>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</si>
  <si>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</si>
  <si>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</si>
  <si>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</si>
  <si>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</si>
  <si>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</si>
  <si>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</si>
  <si>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</si>
  <si>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</si>
  <si>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</si>
  <si>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</si>
  <si>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</si>
  <si>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</si>
  <si>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</si>
  <si>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</si>
  <si>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</si>
  <si>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</si>
  <si>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</si>
  <si>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</si>
  <si>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</si>
  <si>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</si>
  <si>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</si>
  <si>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</si>
  <si>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</si>
  <si>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</si>
  <si>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</si>
  <si>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</si>
  <si>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</si>
  <si>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</si>
  <si>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</si>
  <si>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</si>
  <si>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</si>
  <si>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</si>
  <si>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</si>
  <si>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</si>
  <si>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</si>
  <si>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</si>
  <si>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</si>
  <si>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</si>
  <si>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</si>
  <si>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</si>
  <si>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</si>
  <si>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</si>
  <si>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</si>
  <si>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</si>
  <si>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</si>
  <si>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</si>
  <si>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</si>
  <si>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</si>
  <si>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</si>
  <si>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</si>
  <si>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</si>
  <si>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</si>
  <si>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</si>
  <si>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</si>
  <si>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</si>
  <si>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</si>
  <si>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</si>
  <si>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</si>
  <si>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</si>
  <si>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</si>
  <si>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</si>
  <si>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</si>
  <si>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</si>
  <si>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</si>
  <si>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</si>
  <si>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</si>
  <si>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</si>
  <si>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</si>
  <si>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</si>
  <si>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</si>
  <si>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</si>
  <si>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</si>
  <si>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</si>
  <si>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</si>
  <si>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</si>
  <si>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</si>
  <si>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</si>
  <si>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</si>
  <si>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</si>
  <si>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</si>
  <si>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</si>
  <si>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</si>
  <si>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</si>
  <si>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</si>
  <si>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</si>
  <si>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</si>
  <si>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</si>
  <si>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</si>
  <si>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</si>
  <si>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</si>
  <si>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</si>
  <si>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</si>
  <si>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</si>
  <si>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</si>
  <si>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</si>
  <si>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</si>
  <si>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</si>
  <si>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</si>
  <si>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</si>
  <si>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</si>
  <si>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</si>
  <si>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</si>
  <si>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</si>
  <si>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</si>
  <si>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</si>
  <si>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</si>
  <si>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</si>
  <si>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</si>
  <si>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</si>
  <si>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</si>
  <si>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</si>
  <si>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</si>
  <si>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</si>
  <si>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</si>
  <si>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</si>
  <si>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</si>
  <si>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</si>
  <si>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</si>
  <si>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</si>
  <si>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</si>
  <si>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</si>
  <si>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</si>
  <si>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</si>
  <si>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</si>
  <si>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</si>
  <si>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</si>
  <si>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</si>
  <si>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</si>
  <si>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</si>
  <si>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</si>
  <si>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</si>
  <si>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</si>
  <si>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</si>
  <si>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</si>
  <si>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</si>
  <si>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</si>
  <si>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</si>
  <si>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</si>
  <si>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</si>
  <si>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</si>
  <si>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</si>
  <si>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</si>
  <si>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</si>
  <si>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</si>
  <si>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</si>
  <si>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</si>
  <si>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</si>
  <si>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</si>
  <si>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</si>
  <si>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</si>
  <si>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</si>
  <si>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</si>
  <si>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</si>
  <si>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</si>
  <si>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</si>
  <si>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</si>
  <si>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</si>
  <si>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</si>
  <si>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</si>
  <si>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</si>
  <si>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</si>
  <si>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</si>
  <si>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</si>
  <si>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</si>
  <si>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</si>
  <si>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</si>
  <si>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</si>
  <si>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</si>
  <si>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</si>
  <si>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</si>
  <si>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</si>
  <si>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</si>
  <si>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</si>
  <si>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</si>
  <si>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</si>
  <si>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</si>
  <si>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</si>
  <si>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</si>
  <si>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</si>
  <si>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</si>
  <si>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</si>
  <si>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</si>
  <si>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</si>
  <si>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</si>
  <si>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</si>
  <si>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</si>
  <si>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</si>
  <si>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</si>
  <si>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</si>
  <si>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</si>
  <si>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</si>
  <si>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</si>
  <si>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</si>
  <si>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</si>
  <si>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</si>
  <si>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</si>
  <si>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</si>
  <si>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</si>
  <si>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</si>
  <si>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</si>
  <si>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</si>
  <si>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</si>
  <si>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</si>
  <si>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</si>
  <si>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</si>
  <si>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</si>
  <si>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</si>
  <si>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</si>
  <si>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</si>
  <si>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</si>
  <si>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</si>
  <si>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</si>
  <si>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</si>
  <si>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</si>
  <si>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</si>
  <si>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</si>
  <si>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</si>
  <si>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</si>
  <si>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</si>
  <si>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</si>
  <si>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</si>
  <si>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</si>
  <si>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</si>
  <si>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</si>
  <si>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</si>
  <si>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</si>
  <si>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</si>
  <si>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</si>
  <si>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</si>
  <si>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</si>
  <si>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</si>
  <si>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</si>
  <si>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</si>
  <si>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</si>
  <si>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</si>
  <si>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</si>
  <si>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</si>
  <si>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</si>
  <si>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</si>
  <si>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</si>
  <si>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</si>
  <si>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</si>
  <si>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</si>
  <si>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</si>
  <si>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</si>
  <si>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</si>
  <si>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</si>
  <si>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</si>
  <si>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</si>
  <si>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</si>
  <si>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</si>
  <si>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</si>
  <si>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</si>
  <si>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</si>
  <si>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</si>
  <si>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</si>
  <si>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</si>
  <si>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</si>
  <si>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</si>
  <si>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</si>
  <si>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</si>
  <si>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</si>
  <si>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</si>
  <si>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</si>
  <si>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</si>
  <si>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</si>
  <si>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</si>
  <si>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</si>
  <si>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</si>
  <si>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</si>
  <si>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</si>
  <si>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</si>
  <si>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</si>
  <si>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</si>
  <si>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</si>
  <si>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</si>
  <si>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</si>
  <si>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</si>
  <si>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</si>
  <si>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</si>
  <si>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</si>
  <si>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</si>
  <si>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</si>
  <si>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</si>
  <si>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</si>
  <si>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</si>
  <si>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</si>
  <si>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</si>
  <si>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</si>
  <si>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</si>
  <si>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</si>
  <si>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</si>
  <si>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</si>
  <si>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</si>
  <si>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</si>
  <si>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</si>
  <si>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</si>
  <si>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</si>
  <si>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</si>
  <si>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</si>
  <si>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</si>
  <si>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</si>
  <si>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</si>
  <si>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</si>
  <si>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</si>
  <si>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</si>
  <si>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</si>
  <si>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</si>
  <si>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</si>
  <si>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</si>
  <si>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</si>
  <si>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</si>
  <si>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</si>
  <si>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</si>
  <si>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</si>
  <si>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</si>
  <si>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</si>
  <si>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</si>
  <si>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</si>
  <si>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</si>
  <si>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</si>
  <si>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</si>
  <si>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</si>
  <si>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</si>
  <si>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</si>
  <si>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</si>
  <si>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</si>
  <si>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</si>
  <si>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</si>
  <si>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</si>
  <si>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</si>
  <si>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</si>
  <si>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</si>
  <si>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</si>
  <si>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</si>
  <si>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</si>
  <si>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</si>
  <si>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</si>
  <si>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</si>
  <si>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</si>
  <si>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</si>
  <si>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</si>
  <si>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</si>
  <si>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</si>
  <si>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</si>
  <si>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</si>
  <si>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</si>
  <si>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</si>
  <si>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</si>
  <si>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</si>
  <si>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</si>
  <si>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</si>
  <si>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</si>
  <si>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</si>
  <si>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Geary County</t>
  </si>
  <si>
    <t>Morris County</t>
  </si>
  <si>
    <t>17-1330</t>
  </si>
  <si>
    <t>None</t>
  </si>
  <si>
    <t>Operations</t>
  </si>
  <si>
    <t>Mowing</t>
  </si>
  <si>
    <t>Moss Springs Cemetery</t>
  </si>
  <si>
    <t>Greg Brown</t>
  </si>
  <si>
    <t>Treasurer</t>
  </si>
  <si>
    <t>7:30 p.m.</t>
  </si>
  <si>
    <t>Greg Brown Residence 2431 Old Highway 13</t>
  </si>
  <si>
    <t>Publication</t>
  </si>
  <si>
    <t>September 30,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</si>
</sst>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45">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804</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715</v>
      </c>
    </row>
    <row r="28" ht="9" customHeight="1">
      <c r="A28" s="146"/>
    </row>
    <row r="29" ht="62.25" customHeight="1">
      <c r="A29" s="377" t="s">
        <v>778</v>
      </c>
    </row>
    <row r="30" ht="51.75" customHeight="1">
      <c r="A30" s="572" t="s">
        <v>227</v>
      </c>
    </row>
    <row r="31" ht="84.75" customHeight="1">
      <c r="A31" s="572" t="s">
        <v>779</v>
      </c>
    </row>
    <row r="32" ht="14.25" customHeight="1">
      <c r="A32" s="572"/>
    </row>
    <row r="33" ht="55.5" customHeight="1">
      <c r="A33" s="671" t="s">
        <v>780</v>
      </c>
    </row>
    <row r="34" ht="73.5" customHeight="1">
      <c r="A34" s="407" t="s">
        <v>541</v>
      </c>
    </row>
    <row r="35" ht="73.5" customHeight="1">
      <c r="A35" s="573" t="s">
        <v>781</v>
      </c>
    </row>
    <row r="36" ht="16.5" customHeight="1">
      <c r="A36" s="146"/>
    </row>
    <row r="37" ht="56.25" customHeight="1">
      <c r="A37" s="377" t="s">
        <v>707</v>
      </c>
    </row>
    <row r="38" ht="52.5" customHeight="1">
      <c r="A38" s="377" t="s">
        <v>542</v>
      </c>
    </row>
    <row r="39" ht="101.25" customHeight="1">
      <c r="A39" s="377" t="s">
        <v>708</v>
      </c>
    </row>
    <row r="40" ht="15.75" customHeight="1">
      <c r="A40" s="377"/>
    </row>
    <row r="41" ht="69" customHeight="1">
      <c r="A41" s="377" t="s">
        <v>543</v>
      </c>
    </row>
    <row r="42" ht="79.5" customHeight="1">
      <c r="A42" s="377" t="s">
        <v>709</v>
      </c>
    </row>
    <row r="43" ht="52.5" customHeight="1">
      <c r="A43" s="377" t="s">
        <v>782</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798</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710</v>
      </c>
    </row>
    <row r="61" ht="84.75" customHeight="1">
      <c r="A61" s="571" t="s">
        <v>783</v>
      </c>
    </row>
    <row r="62" ht="65.25" customHeight="1">
      <c r="A62" s="571" t="s">
        <v>784</v>
      </c>
    </row>
    <row r="63" ht="66.75" customHeight="1">
      <c r="A63" s="573" t="s">
        <v>785</v>
      </c>
    </row>
    <row r="64" ht="69.75" customHeight="1">
      <c r="A64" s="377" t="s">
        <v>786</v>
      </c>
    </row>
    <row r="65" ht="78" customHeight="1">
      <c r="A65" s="377" t="s">
        <v>787</v>
      </c>
    </row>
    <row r="66" ht="90.75" customHeight="1">
      <c r="A66" s="378" t="s">
        <v>788</v>
      </c>
    </row>
    <row r="67" ht="88.5" customHeight="1">
      <c r="A67" s="379" t="s">
        <v>789</v>
      </c>
    </row>
    <row r="68" ht="59.25" customHeight="1">
      <c r="A68" s="380" t="s">
        <v>790</v>
      </c>
    </row>
    <row r="69" ht="87.75" customHeight="1">
      <c r="A69" s="377" t="s">
        <v>791</v>
      </c>
    </row>
    <row r="70" ht="87.75" customHeight="1">
      <c r="A70" s="381" t="s">
        <v>792</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711</v>
      </c>
    </row>
    <row r="79" ht="38.25" customHeight="1">
      <c r="A79" s="571" t="s">
        <v>797</v>
      </c>
    </row>
    <row r="80" ht="106.5" customHeight="1">
      <c r="A80" s="571" t="s">
        <v>796</v>
      </c>
    </row>
    <row r="81" ht="138.75" customHeight="1">
      <c r="A81" s="377" t="s">
        <v>795</v>
      </c>
    </row>
    <row r="82" ht="69.75" customHeight="1">
      <c r="A82" s="377" t="s">
        <v>794</v>
      </c>
    </row>
    <row r="83" ht="59.25" customHeight="1">
      <c r="A83" s="672" t="s">
        <v>793</v>
      </c>
    </row>
    <row r="84" ht="15.75">
      <c r="A84" s="146"/>
    </row>
    <row r="85" ht="31.5">
      <c r="A85" s="377" t="s">
        <v>557</v>
      </c>
    </row>
    <row r="86" ht="15.75">
      <c r="A86" s="146"/>
    </row>
    <row r="87" ht="15.75">
      <c r="A87" s="377" t="s">
        <v>558</v>
      </c>
    </row>
    <row r="88" ht="15.75">
      <c r="A88" s="146"/>
    </row>
    <row r="89" ht="53.25" customHeight="1">
      <c r="A89" s="571" t="s">
        <v>712</v>
      </c>
    </row>
    <row r="90" ht="85.5" customHeight="1">
      <c r="A90" s="571" t="s">
        <v>713</v>
      </c>
    </row>
    <row r="91" ht="100.5" customHeight="1">
      <c r="A91" s="571" t="s">
        <v>714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G29" sqref="G29"/>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Moss Springs Cemetery</v>
      </c>
      <c r="C1" s="98"/>
      <c r="D1" s="98"/>
      <c r="E1" s="98"/>
      <c r="F1" s="98"/>
      <c r="G1" s="98"/>
      <c r="H1" s="98"/>
      <c r="I1" s="98"/>
      <c r="J1" s="98"/>
      <c r="K1" s="98"/>
      <c r="L1" s="276">
        <f>inputPrYr!D11</f>
        <v>2014</v>
      </c>
    </row>
    <row r="2" spans="1:12" ht="15.75">
      <c r="A2" s="277"/>
      <c r="B2" s="98" t="str">
        <f>inputPrYr!$D$4</f>
        <v>Geary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754</v>
      </c>
      <c r="C6" s="208" t="s">
        <v>53</v>
      </c>
      <c r="D6" s="208" t="s">
        <v>61</v>
      </c>
      <c r="E6" s="208"/>
      <c r="F6" s="208" t="s">
        <v>25</v>
      </c>
      <c r="G6" s="280"/>
      <c r="H6" s="281"/>
      <c r="I6" s="280" t="s">
        <v>54</v>
      </c>
      <c r="J6" s="281"/>
      <c r="K6" s="280" t="s">
        <v>54</v>
      </c>
      <c r="L6" s="281"/>
    </row>
    <row r="7" spans="1:12" s="278" customFormat="1" ht="15.75">
      <c r="A7" s="277"/>
      <c r="B7" s="154" t="s">
        <v>756</v>
      </c>
      <c r="C7" s="154" t="s">
        <v>55</v>
      </c>
      <c r="D7" s="154" t="s">
        <v>56</v>
      </c>
      <c r="E7" s="154" t="s">
        <v>25</v>
      </c>
      <c r="F7" s="154" t="s">
        <v>125</v>
      </c>
      <c r="G7" s="282" t="s">
        <v>57</v>
      </c>
      <c r="H7" s="283"/>
      <c r="I7" s="282">
        <f>L1-1</f>
        <v>2013</v>
      </c>
      <c r="J7" s="283"/>
      <c r="K7" s="282">
        <f>L1</f>
        <v>2014</v>
      </c>
      <c r="L7" s="283"/>
    </row>
    <row r="8" spans="1:12" s="278" customFormat="1" ht="15.75">
      <c r="A8" s="277"/>
      <c r="B8" s="157" t="s">
        <v>755</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t="s">
        <v>810</v>
      </c>
      <c r="C10" s="433"/>
      <c r="D10" s="287"/>
      <c r="E10" s="287">
        <v>0</v>
      </c>
      <c r="F10" s="142">
        <v>0</v>
      </c>
      <c r="G10" s="288" t="s">
        <v>11</v>
      </c>
      <c r="H10" s="288" t="s">
        <v>11</v>
      </c>
      <c r="I10" s="287">
        <v>0</v>
      </c>
      <c r="J10" s="287">
        <v>0</v>
      </c>
      <c r="K10" s="287">
        <v>0</v>
      </c>
      <c r="L10" s="287">
        <v>0</v>
      </c>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t="s">
        <v>810</v>
      </c>
      <c r="C14" s="434"/>
      <c r="D14" s="289"/>
      <c r="E14" s="120"/>
      <c r="F14" s="291">
        <v>0</v>
      </c>
      <c r="G14" s="290"/>
      <c r="H14" s="290" t="s">
        <v>11</v>
      </c>
      <c r="I14" s="291">
        <v>0</v>
      </c>
      <c r="J14" s="291">
        <v>0</v>
      </c>
      <c r="K14" s="291">
        <v>0</v>
      </c>
      <c r="L14" s="291">
        <v>0</v>
      </c>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t="s">
        <v>810</v>
      </c>
      <c r="C18" s="434"/>
      <c r="D18" s="289"/>
      <c r="E18" s="120"/>
      <c r="F18" s="291">
        <v>0</v>
      </c>
      <c r="G18" s="290"/>
      <c r="H18" s="290"/>
      <c r="I18" s="291">
        <v>0</v>
      </c>
      <c r="J18" s="291">
        <v>0</v>
      </c>
      <c r="K18" s="291">
        <v>0</v>
      </c>
      <c r="L18" s="291">
        <v>0</v>
      </c>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757</v>
      </c>
      <c r="C27" s="154" t="s">
        <v>64</v>
      </c>
      <c r="D27" s="154" t="s">
        <v>65</v>
      </c>
      <c r="E27" s="154" t="s">
        <v>56</v>
      </c>
      <c r="F27" s="154" t="s">
        <v>66</v>
      </c>
      <c r="G27" s="154" t="s">
        <v>105</v>
      </c>
      <c r="H27" s="154" t="s">
        <v>67</v>
      </c>
      <c r="I27" s="154" t="s">
        <v>67</v>
      </c>
      <c r="J27" s="302"/>
      <c r="K27" s="302"/>
      <c r="L27" s="302"/>
    </row>
    <row r="28" spans="1:12" s="303" customFormat="1" ht="15.75">
      <c r="A28" s="277"/>
      <c r="B28" s="157" t="s">
        <v>758</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t="s">
        <v>810</v>
      </c>
      <c r="C29" s="434"/>
      <c r="D29" s="307"/>
      <c r="E29" s="289"/>
      <c r="F29" s="120">
        <v>0</v>
      </c>
      <c r="G29" s="120">
        <v>0</v>
      </c>
      <c r="H29" s="120">
        <v>0</v>
      </c>
      <c r="I29" s="120">
        <v>0</v>
      </c>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600" verticalDpi="60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9">
      <selection activeCell="E36" sqref="E36"/>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Moss Springs Cemetery</v>
      </c>
      <c r="C1" s="177"/>
      <c r="D1" s="98"/>
      <c r="E1" s="310"/>
      <c r="F1" s="601"/>
    </row>
    <row r="2" spans="2:6" ht="15.75">
      <c r="B2" s="98" t="str">
        <f>inputPrYr!D4</f>
        <v>Geary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1263.81</v>
      </c>
      <c r="D7" s="424">
        <f>C62</f>
        <v>1585.6999999999996</v>
      </c>
      <c r="E7" s="160">
        <f>D62</f>
        <v>1138.6999999999998</v>
      </c>
      <c r="F7" s="601"/>
    </row>
    <row r="8" spans="2:6" ht="15.75">
      <c r="B8" s="236" t="s">
        <v>120</v>
      </c>
      <c r="C8" s="313"/>
      <c r="D8" s="313"/>
      <c r="E8" s="159"/>
      <c r="F8" s="601"/>
    </row>
    <row r="9" spans="2:6" ht="15.75">
      <c r="B9" s="219" t="s">
        <v>27</v>
      </c>
      <c r="C9" s="420">
        <v>1965.09</v>
      </c>
      <c r="D9" s="424">
        <f>IF(inputPrYr!H23&gt;0,inputPrYr!G24,inputPrYr!E24)</f>
        <v>1874</v>
      </c>
      <c r="E9" s="230" t="s">
        <v>21</v>
      </c>
      <c r="F9" s="601"/>
    </row>
    <row r="10" spans="2:6" ht="15.75">
      <c r="B10" s="219" t="s">
        <v>28</v>
      </c>
      <c r="C10" s="420"/>
      <c r="D10" s="420">
        <v>0</v>
      </c>
      <c r="E10" s="291">
        <v>0</v>
      </c>
      <c r="F10" s="601"/>
    </row>
    <row r="11" spans="2:6" ht="15.75">
      <c r="B11" s="219" t="s">
        <v>29</v>
      </c>
      <c r="C11" s="420"/>
      <c r="D11" s="420">
        <v>155</v>
      </c>
      <c r="E11" s="160">
        <f>mvalloc!D11</f>
        <v>169.91</v>
      </c>
      <c r="F11" s="601"/>
    </row>
    <row r="12" spans="2:6" ht="15.75">
      <c r="B12" s="219" t="s">
        <v>30</v>
      </c>
      <c r="C12" s="420"/>
      <c r="D12" s="420">
        <v>3</v>
      </c>
      <c r="E12" s="160">
        <f>mvalloc!E11</f>
        <v>0</v>
      </c>
      <c r="F12" s="601"/>
    </row>
    <row r="13" spans="2:6" ht="15.75">
      <c r="B13" s="313" t="s">
        <v>102</v>
      </c>
      <c r="C13" s="420"/>
      <c r="D13" s="420">
        <v>21</v>
      </c>
      <c r="E13" s="160">
        <f>mvalloc!F11</f>
        <v>39.739999999999995</v>
      </c>
      <c r="F13" s="601"/>
    </row>
    <row r="14" spans="2:6" ht="15.75">
      <c r="B14" s="313" t="s">
        <v>171</v>
      </c>
      <c r="C14" s="420">
        <v>0</v>
      </c>
      <c r="D14" s="420">
        <v>0</v>
      </c>
      <c r="E14" s="160">
        <f>inputOth!D84</f>
        <v>0</v>
      </c>
      <c r="F14" s="601"/>
    </row>
    <row r="15" spans="2:6" ht="15.75">
      <c r="B15" s="314"/>
      <c r="C15" s="420"/>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11</v>
      </c>
      <c r="C29" s="420"/>
      <c r="D29" s="420"/>
      <c r="E29" s="291"/>
      <c r="F29" s="601"/>
    </row>
    <row r="30" spans="2:6" ht="15.75">
      <c r="B30" s="315" t="s">
        <v>31</v>
      </c>
      <c r="C30" s="420"/>
      <c r="D30" s="420">
        <v>0</v>
      </c>
      <c r="E30" s="291">
        <v>0</v>
      </c>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1965.09</v>
      </c>
      <c r="D33" s="423">
        <f>SUM(D9:D31)</f>
        <v>2053</v>
      </c>
      <c r="E33" s="320">
        <f>SUM(E9:E31)</f>
        <v>209.64999999999998</v>
      </c>
      <c r="F33" s="601"/>
    </row>
    <row r="34" spans="2:6" ht="15.75">
      <c r="B34" s="319" t="s">
        <v>33</v>
      </c>
      <c r="C34" s="423">
        <f>C7+C33</f>
        <v>3228.8999999999996</v>
      </c>
      <c r="D34" s="423">
        <f>D7+D33</f>
        <v>3638.7</v>
      </c>
      <c r="E34" s="320">
        <f>E7+E33</f>
        <v>1348.35</v>
      </c>
      <c r="F34" s="601"/>
    </row>
    <row r="35" spans="2:6" ht="15.75">
      <c r="B35" s="219" t="s">
        <v>34</v>
      </c>
      <c r="C35" s="222"/>
      <c r="D35" s="222"/>
      <c r="E35" s="132"/>
      <c r="F35" s="601"/>
    </row>
    <row r="36" spans="2:6" ht="15.75">
      <c r="B36" s="314" t="s">
        <v>811</v>
      </c>
      <c r="C36" s="420"/>
      <c r="D36" s="420">
        <v>2500</v>
      </c>
      <c r="E36" s="120">
        <v>3000</v>
      </c>
      <c r="F36" s="601"/>
    </row>
    <row r="37" spans="2:6" ht="15.75">
      <c r="B37" s="314" t="s">
        <v>812</v>
      </c>
      <c r="C37" s="420">
        <v>1600</v>
      </c>
      <c r="D37" s="420"/>
      <c r="E37" s="120"/>
      <c r="F37" s="601"/>
    </row>
    <row r="38" spans="2:6" ht="15.75">
      <c r="B38" s="314" t="s">
        <v>818</v>
      </c>
      <c r="C38" s="420">
        <v>43.2</v>
      </c>
      <c r="D38" s="420"/>
      <c r="E38" s="120"/>
      <c r="F38" s="601"/>
    </row>
    <row r="39" spans="2:6" ht="15.75">
      <c r="B39" s="314" t="s">
        <v>11</v>
      </c>
      <c r="C39" s="420" t="s">
        <v>11</v>
      </c>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678</v>
      </c>
      <c r="H54" s="530"/>
      <c r="I54" s="530"/>
      <c r="J54" s="539">
        <v>0</v>
      </c>
      <c r="K54" s="96"/>
    </row>
    <row r="55" spans="2:11" ht="15.75">
      <c r="B55" s="314"/>
      <c r="C55" s="420"/>
      <c r="D55" s="420"/>
      <c r="E55" s="120"/>
      <c r="F55" s="96"/>
      <c r="G55" s="536" t="s">
        <v>679</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759</v>
      </c>
      <c r="H57" s="617"/>
      <c r="I57" s="617"/>
      <c r="J57" s="618">
        <f>IF(J54&gt;0,J56-E65,0)</f>
        <v>0</v>
      </c>
      <c r="K57" s="96"/>
    </row>
    <row r="58" spans="2:11" ht="15.75">
      <c r="B58" s="222" t="s">
        <v>225</v>
      </c>
      <c r="C58" s="314">
        <v>0</v>
      </c>
      <c r="D58" s="314">
        <v>0</v>
      </c>
      <c r="E58" s="162">
        <f>Nhood!E7</f>
      </c>
      <c r="F58" s="96"/>
      <c r="G58" s="96"/>
      <c r="H58" s="96"/>
      <c r="I58" s="96"/>
      <c r="J58" s="96"/>
      <c r="K58" s="96"/>
    </row>
    <row r="59" spans="2:11" ht="15.75">
      <c r="B59" s="222" t="s">
        <v>226</v>
      </c>
      <c r="C59" s="420">
        <v>0</v>
      </c>
      <c r="D59" s="420">
        <v>0</v>
      </c>
      <c r="E59" s="120">
        <v>0</v>
      </c>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1643.2</v>
      </c>
      <c r="D61" s="423">
        <f>SUM(D36:D59)</f>
        <v>2500</v>
      </c>
      <c r="E61" s="320">
        <f>SUM(E36:E59)</f>
        <v>3000</v>
      </c>
      <c r="F61" s="96"/>
      <c r="G61" s="528">
        <f>D62</f>
        <v>1138.6999999999998</v>
      </c>
      <c r="H61" s="529" t="str">
        <f>CONCATENATE("",E3-1," Ending Cash Balance (est.)")</f>
        <v>2013 Ending Cash Balance (est.)</v>
      </c>
      <c r="I61" s="621"/>
      <c r="J61" s="527"/>
      <c r="K61" s="96"/>
    </row>
    <row r="62" spans="2:11" ht="15.75">
      <c r="B62" s="219" t="s">
        <v>119</v>
      </c>
      <c r="C62" s="421">
        <f>C34-C61</f>
        <v>1585.6999999999996</v>
      </c>
      <c r="D62" s="421">
        <f>D34-D61</f>
        <v>1138.6999999999998</v>
      </c>
      <c r="E62" s="230" t="s">
        <v>21</v>
      </c>
      <c r="F62" s="96"/>
      <c r="G62" s="528">
        <f>E33</f>
        <v>209.64999999999998</v>
      </c>
      <c r="H62" s="530" t="str">
        <f>CONCATENATE("",E3," Non-AV Receipts (est.)")</f>
        <v>2014 Non-AV Receipts (est.)</v>
      </c>
      <c r="I62" s="621"/>
      <c r="J62" s="527"/>
      <c r="K62" s="96"/>
    </row>
    <row r="63" spans="2:11" ht="15.75">
      <c r="B63" s="181" t="str">
        <f>CONCATENATE("",E3-2,"/",E3-1," Budget Authority Amount:")</f>
        <v>2012/2013 Budget Authority Amount:</v>
      </c>
      <c r="C63" s="193">
        <f>inputOth!B102</f>
        <v>3000</v>
      </c>
      <c r="D63" s="170">
        <f>inputPrYr!D24</f>
        <v>2500</v>
      </c>
      <c r="E63" s="230" t="s">
        <v>21</v>
      </c>
      <c r="F63" s="646"/>
      <c r="G63" s="531">
        <f>IF(E67&gt;0,E66,E68)</f>
        <v>1651.65</v>
      </c>
      <c r="H63" s="530" t="str">
        <f>CONCATENATE("",E3," Ad Valorem Tax (est.)")</f>
        <v>2014 Ad Valorem Tax (est.)</v>
      </c>
      <c r="I63" s="530"/>
      <c r="J63" s="527"/>
      <c r="K63" s="647">
        <f>IF(G63=E68,"","Note: Does not include Delinquent Taxes")</f>
      </c>
    </row>
    <row r="64" spans="2:11" ht="15.75">
      <c r="B64" s="181"/>
      <c r="C64" s="735" t="s">
        <v>674</v>
      </c>
      <c r="D64" s="736"/>
      <c r="E64" s="120"/>
      <c r="F64" s="648">
        <f>IF(E61/0.95-E61&lt;E64,"Exceeds 5%","")</f>
      </c>
      <c r="G64" s="528">
        <f>SUM(G61:G63)</f>
        <v>3000</v>
      </c>
      <c r="H64" s="530" t="str">
        <f>CONCATENATE("Total ",E3," Resources Available")</f>
        <v>Total 2014 Resources Available</v>
      </c>
      <c r="I64" s="621"/>
      <c r="J64" s="527"/>
      <c r="K64" s="96"/>
    </row>
    <row r="65" spans="2:11" ht="15.75">
      <c r="B65" s="521" t="str">
        <f>CONCATENATE(C79,"     ",D79)</f>
        <v>     </v>
      </c>
      <c r="C65" s="737" t="s">
        <v>675</v>
      </c>
      <c r="D65" s="738"/>
      <c r="E65" s="160">
        <f>E61+E64</f>
        <v>3000</v>
      </c>
      <c r="F65" s="96"/>
      <c r="G65" s="532"/>
      <c r="H65" s="530"/>
      <c r="I65" s="530"/>
      <c r="J65" s="527"/>
      <c r="K65" s="96"/>
    </row>
    <row r="66" spans="2:11" ht="15.75">
      <c r="B66" s="521" t="str">
        <f>CONCATENATE(C80,"     ",D80)</f>
        <v>     </v>
      </c>
      <c r="C66" s="523"/>
      <c r="D66" s="524" t="s">
        <v>676</v>
      </c>
      <c r="E66" s="163">
        <f>IF(E65-E34&gt;0,E65-E34,0)</f>
        <v>1651.65</v>
      </c>
      <c r="F66" s="96"/>
      <c r="G66" s="531">
        <f>ROUND(C61*0.05+C61,0)</f>
        <v>1725</v>
      </c>
      <c r="H66" s="530" t="str">
        <f>CONCATENATE("Less ",E3-2," Expenditures + 5%")</f>
        <v>Less 2012 Expenditures + 5%</v>
      </c>
      <c r="I66" s="621"/>
      <c r="J66" s="527"/>
      <c r="K66" s="96"/>
    </row>
    <row r="67" spans="2:11" ht="15.75">
      <c r="B67" s="251"/>
      <c r="C67" s="522" t="s">
        <v>677</v>
      </c>
      <c r="D67" s="643">
        <f>inputOth!$E$96</f>
        <v>0</v>
      </c>
      <c r="E67" s="160">
        <f>ROUND(IF(D67&gt;0,(E66*D67),0),0)</f>
        <v>0</v>
      </c>
      <c r="F67" s="96"/>
      <c r="G67" s="649">
        <f>G64-G66</f>
        <v>1275</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1651.65</v>
      </c>
      <c r="F68" s="96"/>
      <c r="G68" s="96"/>
      <c r="H68" s="96"/>
      <c r="I68" s="96"/>
      <c r="J68" s="96"/>
      <c r="K68" s="96"/>
    </row>
    <row r="69" spans="2:11" ht="15.75">
      <c r="B69" s="98"/>
      <c r="C69" s="98"/>
      <c r="D69" s="98"/>
      <c r="E69" s="98"/>
      <c r="F69" s="96"/>
      <c r="G69" s="730" t="s">
        <v>760</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1.33</v>
      </c>
      <c r="H71" s="529" t="str">
        <f>CONCATENATE("",E3," Fund Mill Rate")</f>
        <v>2014 Fund Mill Rate</v>
      </c>
      <c r="I71" s="605"/>
      <c r="J71" s="628"/>
      <c r="K71" s="96"/>
    </row>
    <row r="72" spans="2:11" ht="15.75">
      <c r="B72" s="98"/>
      <c r="C72" s="98"/>
      <c r="D72" s="98"/>
      <c r="E72" s="98"/>
      <c r="F72" s="651"/>
      <c r="G72" s="630">
        <f>summ!E16</f>
        <v>1.541</v>
      </c>
      <c r="H72" s="529" t="str">
        <f>CONCATENATE("",E3-1," Fund Mill Rate")</f>
        <v>2013 Fund Mill Rate</v>
      </c>
      <c r="I72" s="605"/>
      <c r="J72" s="628"/>
      <c r="K72" s="96"/>
    </row>
    <row r="73" spans="2:11" ht="15.75">
      <c r="B73" s="98"/>
      <c r="C73" s="177"/>
      <c r="D73" s="177"/>
      <c r="E73" s="177"/>
      <c r="F73" s="644"/>
      <c r="G73" s="631">
        <f>summ!H23</f>
        <v>1.33</v>
      </c>
      <c r="H73" s="529" t="str">
        <f>CONCATENATE("Total ",E3," Mill Rate")</f>
        <v>Total 2014 Mill Rate</v>
      </c>
      <c r="I73" s="605"/>
      <c r="J73" s="628"/>
      <c r="K73" s="96"/>
    </row>
    <row r="74" spans="2:11" ht="15.75">
      <c r="B74" s="181"/>
      <c r="C74" s="115" t="s">
        <v>238</v>
      </c>
      <c r="D74" s="98"/>
      <c r="E74" s="98"/>
      <c r="F74" s="644"/>
      <c r="G74" s="630">
        <f>summ!E23</f>
        <v>1.541</v>
      </c>
      <c r="H74" s="632" t="str">
        <f>CONCATENATE("Total ",E3-1," Mill Rate")</f>
        <v>Total 2013 Mill Rate</v>
      </c>
      <c r="I74" s="633"/>
      <c r="J74" s="634"/>
      <c r="K74" s="96"/>
    </row>
    <row r="76" spans="2:9" ht="15.75">
      <c r="B76" s="184"/>
      <c r="G76" s="675" t="s">
        <v>800</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44" operator="greaterThan" stopIfTrue="1">
      <formula>$C$33*0.1</formula>
    </cfRule>
  </conditionalFormatting>
  <conditionalFormatting sqref="D31">
    <cfRule type="cellIs" priority="3" dxfId="44" operator="greaterThan" stopIfTrue="1">
      <formula>$D$33*0.1</formula>
    </cfRule>
  </conditionalFormatting>
  <conditionalFormatting sqref="C59">
    <cfRule type="cellIs" priority="4" dxfId="44" operator="greaterThan" stopIfTrue="1">
      <formula>$C$61*0.1</formula>
    </cfRule>
  </conditionalFormatting>
  <conditionalFormatting sqref="D59">
    <cfRule type="cellIs" priority="5" dxfId="44" operator="greaterThan" stopIfTrue="1">
      <formula>$D$61*0.1</formula>
    </cfRule>
  </conditionalFormatting>
  <conditionalFormatting sqref="E59">
    <cfRule type="cellIs" priority="6" dxfId="44" operator="greaterThan" stopIfTrue="1">
      <formula>$E$61*0.1</formula>
    </cfRule>
  </conditionalFormatting>
  <conditionalFormatting sqref="E64">
    <cfRule type="cellIs" priority="7" dxfId="44" operator="greaterThan" stopIfTrue="1">
      <formula>$E$61/0.95-$E$61</formula>
    </cfRule>
  </conditionalFormatting>
  <conditionalFormatting sqref="C62">
    <cfRule type="cellIs" priority="8" dxfId="44" operator="lessThan" stopIfTrue="1">
      <formula>0</formula>
    </cfRule>
  </conditionalFormatting>
  <conditionalFormatting sqref="E31">
    <cfRule type="cellIs" priority="11" dxfId="44" operator="greaterThan" stopIfTrue="1">
      <formula>$E$33*0.1+$E$68</formula>
    </cfRule>
  </conditionalFormatting>
  <printOptions/>
  <pageMargins left="1" right="1" top="0.5" bottom="0.5" header="0.5" footer="0.5"/>
  <pageSetup blackAndWhite="1" fitToHeight="1" fitToWidth="1" horizontalDpi="600" verticalDpi="60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Moss Springs Cemetery</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678</v>
      </c>
      <c r="H48" s="530"/>
      <c r="I48" s="530"/>
      <c r="J48" s="539">
        <v>0</v>
      </c>
      <c r="K48" s="619"/>
    </row>
    <row r="49" spans="2:11" ht="15.75">
      <c r="B49" s="335"/>
      <c r="C49" s="428"/>
      <c r="D49" s="428"/>
      <c r="E49" s="327"/>
      <c r="F49" s="619"/>
      <c r="G49" s="536" t="s">
        <v>679</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759</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674</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675</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676</v>
      </c>
      <c r="E59" s="163">
        <f>IF(E58-E31&gt;0,E58-E31,0)</f>
        <v>0</v>
      </c>
      <c r="F59"/>
      <c r="G59" s="532"/>
      <c r="H59" s="530"/>
      <c r="I59" s="530"/>
      <c r="J59" s="639"/>
      <c r="K59" s="619"/>
    </row>
    <row r="60" spans="2:11" ht="15.75">
      <c r="B60" s="251"/>
      <c r="C60" s="522" t="s">
        <v>677</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760</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1.33</v>
      </c>
      <c r="H67" s="529" t="str">
        <f>CONCATENATE("Total ",E1," Mill Rate")</f>
        <v>Total 2014 Mill Rate</v>
      </c>
      <c r="I67" s="605"/>
      <c r="J67" s="628"/>
      <c r="K67" s="619"/>
    </row>
    <row r="68" spans="6:11" ht="15.75">
      <c r="F68"/>
      <c r="G68" s="630">
        <f>summ!E23</f>
        <v>1.541</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800</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44" operator="greaterThan" stopIfTrue="1">
      <formula>$C$30*0.1</formula>
    </cfRule>
  </conditionalFormatting>
  <conditionalFormatting sqref="D28">
    <cfRule type="cellIs" priority="3" dxfId="44" operator="greaterThan" stopIfTrue="1">
      <formula>$D$30*0.1</formula>
    </cfRule>
  </conditionalFormatting>
  <conditionalFormatting sqref="E28">
    <cfRule type="cellIs" priority="4" dxfId="44" operator="greaterThan" stopIfTrue="1">
      <formula>$E$30*0.1</formula>
    </cfRule>
  </conditionalFormatting>
  <conditionalFormatting sqref="C52">
    <cfRule type="cellIs" priority="5" dxfId="44" operator="greaterThan" stopIfTrue="1">
      <formula>$C$54*0.1</formula>
    </cfRule>
  </conditionalFormatting>
  <conditionalFormatting sqref="D52">
    <cfRule type="cellIs" priority="6" dxfId="44" operator="greaterThan" stopIfTrue="1">
      <formula>$D$54*0.1</formula>
    </cfRule>
  </conditionalFormatting>
  <conditionalFormatting sqref="E52">
    <cfRule type="cellIs" priority="7" dxfId="44" operator="greaterThan" stopIfTrue="1">
      <formula>$E$54*0.1</formula>
    </cfRule>
  </conditionalFormatting>
  <conditionalFormatting sqref="E57">
    <cfRule type="cellIs" priority="8" dxfId="44" operator="greaterThan" stopIfTrue="1">
      <formula>$E$54/0.95-$E$54</formula>
    </cfRule>
  </conditionalFormatting>
  <conditionalFormatting sqref="C55">
    <cfRule type="cellIs" priority="9" dxfId="44"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Moss Springs Cemetery</v>
      </c>
      <c r="C1" s="98"/>
      <c r="D1" s="98"/>
      <c r="E1" s="276"/>
      <c r="F1" s="601"/>
    </row>
    <row r="2" spans="2:6" ht="15.75">
      <c r="B2" s="98" t="str">
        <f>inputPrYr!D4</f>
        <v>Geary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t="str">
        <f>inputPrYr!B27</f>
        <v>None</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678</v>
      </c>
      <c r="H27" s="530"/>
      <c r="I27" s="530"/>
      <c r="J27" s="539">
        <v>0</v>
      </c>
      <c r="K27" s="96"/>
    </row>
    <row r="28" spans="2:11" ht="15.75">
      <c r="B28" s="314"/>
      <c r="C28" s="420"/>
      <c r="D28" s="420"/>
      <c r="E28" s="120"/>
      <c r="F28" s="96"/>
      <c r="G28" s="536" t="s">
        <v>679</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759</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674</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675</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676</v>
      </c>
      <c r="E38" s="163">
        <f>IF(E37-E21&gt;0,E37-E21,0)</f>
        <v>0</v>
      </c>
      <c r="F38" s="96"/>
      <c r="G38" s="532"/>
      <c r="H38" s="530"/>
      <c r="I38" s="530"/>
      <c r="J38" s="620"/>
      <c r="K38" s="96"/>
    </row>
    <row r="39" spans="2:11" ht="15.75">
      <c r="B39" s="251"/>
      <c r="C39" s="522" t="s">
        <v>677</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760</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1.33</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1.541</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800</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678</v>
      </c>
      <c r="H67" s="530"/>
      <c r="I67" s="530"/>
      <c r="J67" s="539">
        <v>0</v>
      </c>
      <c r="K67" s="96"/>
    </row>
    <row r="68" spans="2:11" ht="15.75">
      <c r="B68" s="314"/>
      <c r="C68" s="420"/>
      <c r="D68" s="420"/>
      <c r="E68" s="291"/>
      <c r="F68" s="96"/>
      <c r="G68" s="536" t="s">
        <v>679</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759</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674</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675</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676</v>
      </c>
      <c r="E78" s="163">
        <f>IF(E77-E61&gt;0,E77-E61,0)</f>
        <v>0</v>
      </c>
      <c r="F78" s="96"/>
      <c r="G78" s="636"/>
      <c r="H78" s="543"/>
      <c r="I78" s="526"/>
      <c r="J78" s="527"/>
      <c r="K78" s="96"/>
    </row>
    <row r="79" spans="2:11" ht="15.75">
      <c r="B79" s="251"/>
      <c r="C79" s="522" t="s">
        <v>677</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760</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1.33</v>
      </c>
      <c r="H86" s="529" t="str">
        <f>CONCATENATE("Total ",E3," Mill Rate")</f>
        <v>Total 2014 Mill Rate</v>
      </c>
      <c r="I86" s="605"/>
      <c r="J86" s="628"/>
      <c r="K86" s="96"/>
    </row>
    <row r="87" spans="6:11" ht="15.75">
      <c r="F87" s="96"/>
      <c r="G87" s="630">
        <f>summ!E23</f>
        <v>1.541</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800</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44" operator="greaterThan" stopIfTrue="1">
      <formula>$C$33*0.1</formula>
    </cfRule>
  </conditionalFormatting>
  <conditionalFormatting sqref="D31">
    <cfRule type="cellIs" priority="4" dxfId="44" operator="greaterThan" stopIfTrue="1">
      <formula>$D$33*0.1</formula>
    </cfRule>
  </conditionalFormatting>
  <conditionalFormatting sqref="E31">
    <cfRule type="cellIs" priority="5" dxfId="44" operator="greaterThan" stopIfTrue="1">
      <formula>$E$33*0.1</formula>
    </cfRule>
  </conditionalFormatting>
  <conditionalFormatting sqref="E36">
    <cfRule type="cellIs" priority="6" dxfId="44" operator="greaterThan" stopIfTrue="1">
      <formula>$E$33/0.95-$E$33</formula>
    </cfRule>
  </conditionalFormatting>
  <conditionalFormatting sqref="C18">
    <cfRule type="cellIs" priority="7" dxfId="44" operator="greaterThan" stopIfTrue="1">
      <formula>$C$20*0.1</formula>
    </cfRule>
  </conditionalFormatting>
  <conditionalFormatting sqref="D18">
    <cfRule type="cellIs" priority="8" dxfId="44" operator="greaterThan" stopIfTrue="1">
      <formula>$D$20*0.1</formula>
    </cfRule>
  </conditionalFormatting>
  <conditionalFormatting sqref="E18">
    <cfRule type="cellIs" priority="9" dxfId="44" operator="greaterThan" stopIfTrue="1">
      <formula>$E$20*0.1</formula>
    </cfRule>
  </conditionalFormatting>
  <conditionalFormatting sqref="C58">
    <cfRule type="cellIs" priority="10" dxfId="44" operator="greaterThan" stopIfTrue="1">
      <formula>$C$60*0.1</formula>
    </cfRule>
  </conditionalFormatting>
  <conditionalFormatting sqref="D58">
    <cfRule type="cellIs" priority="11" dxfId="44" operator="greaterThan" stopIfTrue="1">
      <formula>$D$60*0.1</formula>
    </cfRule>
  </conditionalFormatting>
  <conditionalFormatting sqref="C71">
    <cfRule type="cellIs" priority="12" dxfId="44" operator="greaterThan" stopIfTrue="1">
      <formula>$C$73*0.1</formula>
    </cfRule>
  </conditionalFormatting>
  <conditionalFormatting sqref="D71">
    <cfRule type="cellIs" priority="13" dxfId="44" operator="greaterThan" stopIfTrue="1">
      <formula>$D$73*0.1</formula>
    </cfRule>
  </conditionalFormatting>
  <conditionalFormatting sqref="E71">
    <cfRule type="cellIs" priority="14" dxfId="44" operator="greaterThan" stopIfTrue="1">
      <formula>$E$73*0.1</formula>
    </cfRule>
  </conditionalFormatting>
  <conditionalFormatting sqref="E76">
    <cfRule type="cellIs" priority="15" dxfId="44" operator="greaterThan" stopIfTrue="1">
      <formula>$E$73/0.95-$E$73</formula>
    </cfRule>
  </conditionalFormatting>
  <conditionalFormatting sqref="E58">
    <cfRule type="cellIs" priority="16" dxfId="44" operator="greaterThan" stopIfTrue="1">
      <formula>$E$60*0.1+$E$80</formula>
    </cfRule>
  </conditionalFormatting>
  <conditionalFormatting sqref="C74 C34">
    <cfRule type="cellIs" priority="17" dxfId="44" operator="lessThan" stopIfTrue="1">
      <formula>0</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Moss Springs Cemetery</v>
      </c>
      <c r="C1" s="177"/>
      <c r="D1" s="98"/>
      <c r="E1" s="276"/>
    </row>
    <row r="2" spans="2:5" ht="15.75">
      <c r="B2" s="98" t="str">
        <f>inputPrYr!D4</f>
        <v>Geary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t="str">
        <f>inputPrYr!B31</f>
        <v>None</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44" operator="greaterThan" stopIfTrue="1">
      <formula>$C$31*0.1</formula>
    </cfRule>
  </conditionalFormatting>
  <conditionalFormatting sqref="D29">
    <cfRule type="cellIs" priority="4" dxfId="44" operator="greaterThan" stopIfTrue="1">
      <formula>$D$31*0.1</formula>
    </cfRule>
  </conditionalFormatting>
  <conditionalFormatting sqref="E29">
    <cfRule type="cellIs" priority="5" dxfId="44" operator="greaterThan" stopIfTrue="1">
      <formula>$E$31*0.1</formula>
    </cfRule>
  </conditionalFormatting>
  <conditionalFormatting sqref="C63">
    <cfRule type="cellIs" priority="6" dxfId="44" operator="greaterThan" stopIfTrue="1">
      <formula>$C$65*0.1</formula>
    </cfRule>
  </conditionalFormatting>
  <conditionalFormatting sqref="D63">
    <cfRule type="cellIs" priority="7" dxfId="44" operator="greaterThan" stopIfTrue="1">
      <formula>$D$65*0.1</formula>
    </cfRule>
  </conditionalFormatting>
  <conditionalFormatting sqref="E63">
    <cfRule type="cellIs" priority="8" dxfId="44" operator="greaterThan" stopIfTrue="1">
      <formula>$E$65*0.1</formula>
    </cfRule>
  </conditionalFormatting>
  <conditionalFormatting sqref="C51">
    <cfRule type="cellIs" priority="9" dxfId="44" operator="greaterThan" stopIfTrue="1">
      <formula>$C$53*0.1</formula>
    </cfRule>
  </conditionalFormatting>
  <conditionalFormatting sqref="D51">
    <cfRule type="cellIs" priority="10" dxfId="44" operator="greaterThan" stopIfTrue="1">
      <formula>$D$53*0.1</formula>
    </cfRule>
  </conditionalFormatting>
  <conditionalFormatting sqref="E51">
    <cfRule type="cellIs" priority="11" dxfId="44" operator="greaterThan" stopIfTrue="1">
      <formula>$E$53*0.1</formula>
    </cfRule>
  </conditionalFormatting>
  <conditionalFormatting sqref="C17">
    <cfRule type="cellIs" priority="12" dxfId="44" operator="greaterThan" stopIfTrue="1">
      <formula>$C$19*0.1</formula>
    </cfRule>
  </conditionalFormatting>
  <conditionalFormatting sqref="D17">
    <cfRule type="cellIs" priority="13" dxfId="44" operator="greaterThan" stopIfTrue="1">
      <formula>$D$19*0.1</formula>
    </cfRule>
  </conditionalFormatting>
  <conditionalFormatting sqref="E17">
    <cfRule type="cellIs" priority="14" dxfId="44" operator="greaterThan" stopIfTrue="1">
      <formula>$E$19*0.1</formula>
    </cfRule>
  </conditionalFormatting>
  <conditionalFormatting sqref="E66 C66 E32 C32">
    <cfRule type="cellIs" priority="15" dxfId="44"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Moss Springs Cemetery</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None</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E42" sqref="E42"/>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Moss Springs Cemetery</v>
      </c>
      <c r="B4" s="689"/>
      <c r="C4" s="689"/>
      <c r="D4" s="689"/>
      <c r="E4" s="689"/>
      <c r="F4" s="689"/>
      <c r="G4" s="689"/>
      <c r="H4" s="689"/>
    </row>
    <row r="5" spans="1:8" ht="15.75">
      <c r="A5" s="756" t="str">
        <f>inputPrYr!D4</f>
        <v>Geary County</v>
      </c>
      <c r="B5" s="756"/>
      <c r="C5" s="756"/>
      <c r="D5" s="756"/>
      <c r="E5" s="756"/>
      <c r="F5" s="756"/>
      <c r="G5" s="756"/>
      <c r="H5" s="756"/>
    </row>
    <row r="6" spans="1:8" ht="15.75">
      <c r="A6" s="758" t="str">
        <f>CONCATENATE("will meet on ",inputBudSum!B7," at ",inputBudSum!B9," at ",inputBudSum!B11," for the purpose of hearing and")</f>
        <v>will meet on September 30, 2013 at 7:30 p.m. at Greg Brown Residence 2431 Old Highway 13 for the purpose of hearing and</v>
      </c>
      <c r="B6" s="758"/>
      <c r="C6" s="758"/>
      <c r="D6" s="758"/>
      <c r="E6" s="758"/>
      <c r="F6" s="758"/>
      <c r="G6" s="758"/>
      <c r="H6" s="75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Greg Brown Residence 2431 Old Highway 13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47" t="str">
        <f>CONCATENATE("Estimated Value Of One Mill For ",I3,"")</f>
        <v>Estimated Value Of One Mill For 2014</v>
      </c>
      <c r="K11" s="748"/>
      <c r="L11" s="748"/>
      <c r="M11" s="749"/>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680</v>
      </c>
      <c r="K13" s="550"/>
      <c r="L13" s="550"/>
      <c r="M13" s="551">
        <f>ROUND(F27/1000,0)</f>
        <v>1242</v>
      </c>
    </row>
    <row r="14" spans="1:13" ht="15.75">
      <c r="A14" s="156"/>
      <c r="B14" s="154"/>
      <c r="C14" s="155" t="s">
        <v>44</v>
      </c>
      <c r="D14" s="154"/>
      <c r="E14" s="155" t="s">
        <v>44</v>
      </c>
      <c r="F14" s="156" t="s">
        <v>220</v>
      </c>
      <c r="G14" s="754" t="str">
        <f>CONCATENATE("Amount of ",I3-1," Ad Valorem Tax")</f>
        <v>Amount of 2013 Ad Valorem Tax</v>
      </c>
      <c r="H14" s="155" t="s">
        <v>683</v>
      </c>
      <c r="J14" s="96"/>
      <c r="K14" s="96"/>
      <c r="L14" s="96"/>
      <c r="M14" s="96"/>
    </row>
    <row r="15" spans="1:13" ht="15.7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2013?</v>
      </c>
      <c r="K15" s="750"/>
      <c r="L15" s="750"/>
      <c r="M15" s="751"/>
    </row>
    <row r="16" spans="1:13" ht="15.75">
      <c r="A16" s="132" t="str">
        <f>inputPrYr!B24</f>
        <v>General</v>
      </c>
      <c r="B16" s="160">
        <f>IF(gen!$C$61&lt;&gt;0,gen!$C$61,"  ")</f>
        <v>1643.2</v>
      </c>
      <c r="C16" s="663">
        <f>IF(inputPrYr!D43&gt;0,inputPrYr!D43,"  ")</f>
        <v>1.515</v>
      </c>
      <c r="D16" s="160">
        <f>IF(gen!$D$61&lt;&gt;0,gen!$D$61,"  ")</f>
        <v>2500</v>
      </c>
      <c r="E16" s="663">
        <f>IF(inputOth!D46&gt;0,inputOth!D46,"  ")</f>
        <v>1.541</v>
      </c>
      <c r="F16" s="160">
        <f>IF(gen!$E$61&lt;&gt;0,gen!$E$61,"  ")</f>
        <v>3000</v>
      </c>
      <c r="G16" s="160">
        <f>IF(gen!$E$68&lt;&gt;0,gen!$E$68,"  ")</f>
        <v>1651.65</v>
      </c>
      <c r="H16" s="663">
        <f>IF(gen!E68&gt;0,ROUND(G16/$F$27*1000,3)," ")</f>
        <v>1.33</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1.541</v>
      </c>
    </row>
    <row r="18" spans="1:13" ht="15.75">
      <c r="A18" s="132" t="str">
        <f>IF(inputPrYr!B27&gt;" ",inputPrYr!B27," ")</f>
        <v>None</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262.3499999999999</v>
      </c>
    </row>
    <row r="20" spans="1:13" ht="15.75">
      <c r="A20" s="132" t="str">
        <f>IF(inputPrYr!B31&gt;" ",inputPrYr!B31," ")</f>
        <v>None</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c>
      <c r="C22" s="666"/>
      <c r="D22" s="668"/>
      <c r="E22" s="666"/>
      <c r="F22" s="668"/>
      <c r="G22" s="566"/>
      <c r="H22" s="666"/>
      <c r="J22" s="747" t="str">
        <f>CONCATENATE("Impact On Keeping The Same Mill Rate As For ",I3-1,"")</f>
        <v>Impact On Keeping The Same Mill Rate As For 2013</v>
      </c>
      <c r="K22" s="752"/>
      <c r="L22" s="752"/>
      <c r="M22" s="753"/>
    </row>
    <row r="23" spans="1:13" ht="15.75">
      <c r="A23" s="118" t="s">
        <v>127</v>
      </c>
      <c r="B23" s="565">
        <f>SUM(B16:B22)</f>
        <v>1643.2</v>
      </c>
      <c r="C23" s="667">
        <f aca="true" t="shared" si="0" ref="C23:H23">SUM(C16:C21)</f>
        <v>1.515</v>
      </c>
      <c r="D23" s="565">
        <f t="shared" si="0"/>
        <v>2500</v>
      </c>
      <c r="E23" s="667">
        <f t="shared" si="0"/>
        <v>1.541</v>
      </c>
      <c r="F23" s="565">
        <f t="shared" si="0"/>
        <v>3000</v>
      </c>
      <c r="G23" s="565">
        <f>SUM(G16:G21)</f>
        <v>1651.65</v>
      </c>
      <c r="H23" s="667">
        <f t="shared" si="0"/>
        <v>1.33</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1651.65</v>
      </c>
    </row>
    <row r="25" spans="1:13" ht="16.5" thickBot="1">
      <c r="A25" s="118" t="s">
        <v>179</v>
      </c>
      <c r="B25" s="130">
        <f>SUM(B23-B24)</f>
        <v>1643.2</v>
      </c>
      <c r="C25" s="168"/>
      <c r="D25" s="130">
        <f>SUM(D23-D24)</f>
        <v>2500</v>
      </c>
      <c r="E25" s="168"/>
      <c r="F25" s="669">
        <f>SUM(F23-F24)</f>
        <v>3000</v>
      </c>
      <c r="G25" s="165"/>
      <c r="H25" s="166"/>
      <c r="J25" s="552" t="str">
        <f>CONCATENATE("",I3-1," Ad Valorem Tax Revenue:")</f>
        <v>2013 Ad Valorem Tax Revenue:</v>
      </c>
      <c r="K25" s="547"/>
      <c r="L25" s="547"/>
      <c r="M25" s="560">
        <f>ROUND(F27*M17/1000,0)</f>
        <v>1914</v>
      </c>
    </row>
    <row r="26" spans="1:13" ht="16.5" thickTop="1">
      <c r="A26" s="118" t="s">
        <v>47</v>
      </c>
      <c r="B26" s="221">
        <f>inputPrYr!E50</f>
        <v>1733</v>
      </c>
      <c r="C26" s="156"/>
      <c r="D26" s="221">
        <f>inputPrYr!E29</f>
        <v>1874</v>
      </c>
      <c r="E26" s="156"/>
      <c r="F26" s="326" t="s">
        <v>21</v>
      </c>
      <c r="G26" s="98"/>
      <c r="H26" s="98"/>
      <c r="J26" s="561" t="s">
        <v>681</v>
      </c>
      <c r="K26" s="562"/>
      <c r="L26" s="562"/>
      <c r="M26" s="551">
        <f>M24-M25</f>
        <v>-262.3499999999999</v>
      </c>
    </row>
    <row r="27" spans="1:13" ht="16.5" thickBot="1">
      <c r="A27" s="118" t="s">
        <v>212</v>
      </c>
      <c r="B27" s="231">
        <f>inputPrYr!E51</f>
        <v>1144239</v>
      </c>
      <c r="C27" s="156"/>
      <c r="D27" s="231">
        <f>inputOth!E60</f>
        <v>1215843</v>
      </c>
      <c r="E27" s="156"/>
      <c r="F27" s="231">
        <f>inputOth!E12</f>
        <v>1242185</v>
      </c>
      <c r="G27" s="98"/>
      <c r="H27" s="98"/>
      <c r="J27" s="563"/>
      <c r="K27" s="563"/>
      <c r="L27" s="563"/>
      <c r="M27" s="4"/>
    </row>
    <row r="28" spans="1:13" ht="16.5" thickTop="1">
      <c r="A28" s="101"/>
      <c r="B28" s="165"/>
      <c r="C28" s="105"/>
      <c r="D28" s="165"/>
      <c r="E28" s="105"/>
      <c r="F28" s="165"/>
      <c r="G28" s="98"/>
      <c r="H28" s="98"/>
      <c r="J28" s="747" t="s">
        <v>682</v>
      </c>
      <c r="K28" s="750"/>
      <c r="L28" s="750"/>
      <c r="M28" s="751"/>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1.33</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9" t="str">
        <f>inputBudSum!B3</f>
        <v>Greg Brown</v>
      </c>
      <c r="B41" s="712"/>
      <c r="C41" s="149"/>
      <c r="D41" s="98"/>
      <c r="E41" s="98"/>
      <c r="F41" s="98"/>
      <c r="G41" s="98"/>
      <c r="H41" s="138"/>
    </row>
    <row r="42" spans="1:8" ht="15.75">
      <c r="A42" s="757" t="str">
        <f>inputBudSum!B5</f>
        <v>Treasurer</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Moss Springs Cemetery</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None</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1242185</v>
      </c>
      <c r="E16" s="98"/>
      <c r="F16" s="138"/>
    </row>
    <row r="17" spans="1:6" ht="15.75">
      <c r="A17" s="98"/>
      <c r="B17" s="98"/>
      <c r="C17" s="98"/>
      <c r="D17" s="98"/>
      <c r="E17" s="98"/>
      <c r="F17" s="138"/>
    </row>
    <row r="18" spans="1:6" ht="15.75">
      <c r="A18" s="98"/>
      <c r="B18" s="763" t="s">
        <v>330</v>
      </c>
      <c r="C18" s="763"/>
      <c r="D18" s="197">
        <f>IF(D16&gt;0,(D16*0.001),"")</f>
        <v>1242.185</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Moss Springs Cemetery District with respect to financing the 2014 annual budget for Moss Springs Cemetery , Geary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Moss Springs Cemetery district budget exceed the amount levied to finance the</v>
      </c>
      <c r="C9"/>
      <c r="D9"/>
      <c r="E9"/>
      <c r="F9"/>
      <c r="G9"/>
      <c r="H9"/>
    </row>
    <row r="10" spans="2:8" ht="15.75">
      <c r="B10" s="48" t="str">
        <f>CONCATENATE("",inputPrYr!D11-1," ",inputPrYr!D3," except with regard to revenue produced and attributable to the")</f>
        <v>2013 Moss Springs Cemetery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Moss Springs Cemetery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Moss Springs Cemetery that is our desire to notify the public of the possibility of increased property taxes to finance the 2014 Moss Springs Cemetery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Moss Springs Cemetery District Board, Geary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Moss Springs Cemetery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2">
      <selection activeCell="F51" sqref="F51"/>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813</v>
      </c>
      <c r="E3" s="101"/>
    </row>
    <row r="4" spans="1:5" ht="15.75">
      <c r="A4" s="99" t="s">
        <v>233</v>
      </c>
      <c r="B4" s="98"/>
      <c r="C4" s="98"/>
      <c r="D4" s="102" t="s">
        <v>807</v>
      </c>
      <c r="E4" s="101"/>
    </row>
    <row r="5" spans="1:5" ht="15.75">
      <c r="A5" s="99" t="s">
        <v>155</v>
      </c>
      <c r="B5" s="98"/>
      <c r="C5" s="98"/>
      <c r="D5" s="103"/>
      <c r="E5" s="101"/>
    </row>
    <row r="6" spans="1:5" ht="15.75">
      <c r="A6" s="104" t="s">
        <v>234</v>
      </c>
      <c r="B6" s="105"/>
      <c r="C6" s="105"/>
      <c r="D6" s="100" t="s">
        <v>808</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750</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751</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t="s">
        <v>809</v>
      </c>
      <c r="D24" s="120">
        <v>2500</v>
      </c>
      <c r="E24" s="120">
        <v>1874</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t="s">
        <v>810</v>
      </c>
      <c r="C27" s="435"/>
      <c r="D27" s="120">
        <v>0</v>
      </c>
      <c r="E27" s="120">
        <v>0</v>
      </c>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1874</v>
      </c>
    </row>
    <row r="30" spans="1:5" ht="16.5" thickTop="1">
      <c r="A30" s="128" t="s">
        <v>7</v>
      </c>
      <c r="B30" s="98"/>
      <c r="C30" s="98"/>
      <c r="D30" s="98"/>
      <c r="E30" s="98"/>
    </row>
    <row r="31" spans="1:5" ht="15.75">
      <c r="A31" s="98"/>
      <c r="B31" s="123" t="s">
        <v>810</v>
      </c>
      <c r="C31" s="98"/>
      <c r="D31" s="120">
        <v>0</v>
      </c>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2500</v>
      </c>
      <c r="E33" s="122"/>
    </row>
    <row r="34" spans="1:5" ht="16.5" thickTop="1">
      <c r="A34" s="98" t="s">
        <v>278</v>
      </c>
      <c r="B34" s="98"/>
      <c r="C34" s="98"/>
      <c r="D34" s="98"/>
      <c r="E34" s="122"/>
    </row>
    <row r="35" spans="1:5" ht="15.75">
      <c r="A35" s="98">
        <v>1</v>
      </c>
      <c r="B35" s="131" t="s">
        <v>810</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1.515</v>
      </c>
      <c r="E43" s="122"/>
    </row>
    <row r="44" spans="1:5" ht="15.75">
      <c r="A44" s="98"/>
      <c r="B44" s="132" t="str">
        <f>B25</f>
        <v>Debt Service</v>
      </c>
      <c r="C44" s="98"/>
      <c r="D44" s="133">
        <v>0</v>
      </c>
      <c r="E44" s="122"/>
    </row>
    <row r="45" spans="1:5" ht="15.75">
      <c r="A45" s="98"/>
      <c r="B45" s="132" t="str">
        <f>B27</f>
        <v>None</v>
      </c>
      <c r="C45" s="98"/>
      <c r="D45" s="133">
        <v>0</v>
      </c>
      <c r="E45" s="122"/>
    </row>
    <row r="46" spans="1:5" ht="15.75">
      <c r="A46" s="98"/>
      <c r="B46" s="132">
        <f>B28</f>
        <v>0</v>
      </c>
      <c r="C46" s="98"/>
      <c r="D46" s="133"/>
      <c r="E46" s="122"/>
    </row>
    <row r="47" spans="1:5" ht="16.5" thickBot="1">
      <c r="A47" s="124" t="s">
        <v>8</v>
      </c>
      <c r="B47" s="125"/>
      <c r="C47" s="129"/>
      <c r="D47" s="134">
        <f>SUM(D43:D46)</f>
        <v>1.515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1733</v>
      </c>
    </row>
    <row r="51" spans="1:5" ht="15.75">
      <c r="A51" s="136" t="str">
        <f>CONCATENATE("Assessed Valuation (",D11-2," budget column):")</f>
        <v>Assessed Valuation (2012 budget column):</v>
      </c>
      <c r="B51" s="112"/>
      <c r="C51" s="98"/>
      <c r="D51" s="98"/>
      <c r="E51" s="137">
        <v>1144239</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v>0</v>
      </c>
      <c r="E57" s="142">
        <v>0</v>
      </c>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600" verticalDpi="600" orientation="portrait" scale="7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721</v>
      </c>
      <c r="L19" s="446"/>
    </row>
    <row r="20" spans="1:12" ht="14.25">
      <c r="A20" s="446"/>
      <c r="B20" s="450"/>
      <c r="L20" s="446"/>
    </row>
    <row r="21" spans="1:12" ht="14.25">
      <c r="A21" s="446"/>
      <c r="B21" s="448" t="s">
        <v>722</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723</v>
      </c>
      <c r="L62" s="446"/>
      <c r="M62" s="469"/>
      <c r="N62" s="469"/>
      <c r="O62" s="469"/>
      <c r="P62" s="469"/>
      <c r="Q62" s="469"/>
      <c r="R62" s="469"/>
      <c r="S62" s="469"/>
      <c r="T62" s="469"/>
      <c r="U62" s="469"/>
      <c r="V62" s="469"/>
      <c r="W62" s="469"/>
      <c r="X62" s="469"/>
    </row>
    <row r="63" spans="1:24" ht="14.25">
      <c r="A63" s="446"/>
      <c r="B63" s="448" t="s">
        <v>724</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725</v>
      </c>
      <c r="L69" s="446"/>
      <c r="M69" s="469"/>
      <c r="N69" s="469"/>
      <c r="O69" s="469"/>
      <c r="P69" s="469"/>
      <c r="Q69" s="469"/>
      <c r="R69" s="469"/>
      <c r="S69" s="469"/>
      <c r="T69" s="469"/>
      <c r="U69" s="469"/>
      <c r="V69" s="469"/>
      <c r="W69" s="469"/>
      <c r="X69" s="469"/>
    </row>
    <row r="70" spans="1:24" ht="14.25">
      <c r="A70" s="446"/>
      <c r="B70" s="448" t="s">
        <v>726</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805</v>
      </c>
    </row>
    <row r="2" ht="15.75">
      <c r="A2" s="146" t="s">
        <v>806</v>
      </c>
    </row>
    <row r="4" ht="15.75">
      <c r="A4" s="408" t="s">
        <v>803</v>
      </c>
    </row>
    <row r="5" ht="15.75">
      <c r="A5" s="590" t="s">
        <v>802</v>
      </c>
    </row>
    <row r="7" ht="15.75">
      <c r="A7" s="408" t="s">
        <v>799</v>
      </c>
    </row>
    <row r="8" ht="15.75">
      <c r="A8" s="1" t="s">
        <v>801</v>
      </c>
    </row>
    <row r="10" ht="15.75">
      <c r="A10" s="408" t="s">
        <v>727</v>
      </c>
    </row>
    <row r="11" ht="15.75">
      <c r="A11" s="590" t="s">
        <v>728</v>
      </c>
    </row>
    <row r="12" ht="15.75">
      <c r="A12" s="590" t="s">
        <v>729</v>
      </c>
    </row>
    <row r="13" ht="15.75">
      <c r="A13" s="146" t="s">
        <v>730</v>
      </c>
    </row>
    <row r="14" ht="15.75">
      <c r="A14" s="146" t="s">
        <v>731</v>
      </c>
    </row>
    <row r="15" ht="15.75">
      <c r="A15" s="146" t="s">
        <v>732</v>
      </c>
    </row>
    <row r="16" ht="15.75">
      <c r="A16" s="146" t="s">
        <v>733</v>
      </c>
    </row>
    <row r="17" ht="15.75">
      <c r="A17" s="146" t="s">
        <v>734</v>
      </c>
    </row>
    <row r="18" ht="15.75">
      <c r="A18" s="146" t="s">
        <v>735</v>
      </c>
    </row>
    <row r="19" ht="15.75">
      <c r="A19" s="146" t="s">
        <v>736</v>
      </c>
    </row>
    <row r="20" ht="15.75">
      <c r="A20" s="146" t="s">
        <v>737</v>
      </c>
    </row>
    <row r="21" ht="47.25">
      <c r="A21" s="377" t="s">
        <v>738</v>
      </c>
    </row>
    <row r="22" ht="31.5">
      <c r="A22" s="377" t="s">
        <v>739</v>
      </c>
    </row>
    <row r="23" ht="15.75">
      <c r="A23" s="146" t="s">
        <v>740</v>
      </c>
    </row>
    <row r="24" ht="15.75">
      <c r="A24" s="146" t="s">
        <v>741</v>
      </c>
    </row>
    <row r="25" ht="15.75">
      <c r="A25" s="146" t="s">
        <v>742</v>
      </c>
    </row>
    <row r="26" ht="15.75">
      <c r="A26" s="146" t="s">
        <v>743</v>
      </c>
    </row>
    <row r="27" ht="15.75">
      <c r="A27" s="146" t="s">
        <v>744</v>
      </c>
    </row>
    <row r="28" ht="15.75">
      <c r="A28" s="146" t="s">
        <v>745</v>
      </c>
    </row>
    <row r="29" ht="15.75">
      <c r="A29" s="146" t="s">
        <v>746</v>
      </c>
    </row>
    <row r="30" ht="15.75">
      <c r="A30" s="146" t="s">
        <v>747</v>
      </c>
    </row>
    <row r="31" ht="15.75">
      <c r="A31" s="146" t="s">
        <v>748</v>
      </c>
    </row>
    <row r="32" ht="15.75">
      <c r="A32" s="146" t="s">
        <v>749</v>
      </c>
    </row>
    <row r="37" ht="15.75">
      <c r="A37" s="408" t="s">
        <v>719</v>
      </c>
    </row>
    <row r="38" ht="15.75">
      <c r="A38" s="1" t="s">
        <v>720</v>
      </c>
    </row>
    <row r="40" ht="15.75">
      <c r="A40" s="408" t="s">
        <v>716</v>
      </c>
    </row>
    <row r="41" ht="15.75">
      <c r="A41" s="570" t="s">
        <v>717</v>
      </c>
    </row>
    <row r="42" ht="15.75">
      <c r="A42" s="570" t="s">
        <v>718</v>
      </c>
    </row>
    <row r="44" ht="15.75">
      <c r="A44" s="408" t="s">
        <v>673</v>
      </c>
    </row>
    <row r="45" ht="15.75">
      <c r="A45" s="570" t="s">
        <v>684</v>
      </c>
    </row>
    <row r="46" ht="15.75">
      <c r="A46" s="570" t="s">
        <v>685</v>
      </c>
    </row>
    <row r="47" ht="31.5">
      <c r="A47" s="571" t="s">
        <v>686</v>
      </c>
    </row>
    <row r="48" ht="15.75">
      <c r="A48" s="570" t="s">
        <v>687</v>
      </c>
    </row>
    <row r="49" ht="15.75">
      <c r="A49" s="570" t="s">
        <v>688</v>
      </c>
    </row>
    <row r="50" ht="15.75">
      <c r="A50" s="570" t="s">
        <v>689</v>
      </c>
    </row>
    <row r="51" ht="15.75">
      <c r="A51" s="570" t="s">
        <v>690</v>
      </c>
    </row>
    <row r="52" ht="15.75">
      <c r="A52" s="570" t="s">
        <v>691</v>
      </c>
    </row>
    <row r="53" ht="15.75">
      <c r="A53" s="570" t="s">
        <v>692</v>
      </c>
    </row>
    <row r="54" ht="15.75">
      <c r="A54" s="570" t="s">
        <v>693</v>
      </c>
    </row>
    <row r="55" ht="15.75">
      <c r="A55" s="570" t="s">
        <v>694</v>
      </c>
    </row>
    <row r="56" ht="15.75">
      <c r="A56" s="570" t="s">
        <v>695</v>
      </c>
    </row>
    <row r="57" ht="15.75">
      <c r="A57" s="570" t="s">
        <v>696</v>
      </c>
    </row>
    <row r="58" ht="15.75">
      <c r="A58" s="570" t="s">
        <v>697</v>
      </c>
    </row>
    <row r="59" ht="15.75">
      <c r="A59" s="570" t="s">
        <v>698</v>
      </c>
    </row>
    <row r="60" ht="15.75">
      <c r="A60" s="570" t="s">
        <v>699</v>
      </c>
    </row>
    <row r="61" ht="15.75">
      <c r="A61" s="570" t="s">
        <v>700</v>
      </c>
    </row>
    <row r="62" ht="15.75">
      <c r="A62" s="570" t="s">
        <v>701</v>
      </c>
    </row>
    <row r="63" ht="15.75">
      <c r="A63" s="570" t="s">
        <v>702</v>
      </c>
    </row>
    <row r="64" ht="15.75">
      <c r="A64" s="570" t="s">
        <v>703</v>
      </c>
    </row>
    <row r="65" ht="15.75">
      <c r="A65" s="570" t="s">
        <v>704</v>
      </c>
    </row>
    <row r="66" ht="15.75">
      <c r="A66" s="570" t="s">
        <v>705</v>
      </c>
    </row>
    <row r="67" ht="15.75">
      <c r="A67" s="570" t="s">
        <v>706</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46">
      <selection activeCell="D66" sqref="D6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Moss Springs Cemetery</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Geary County</v>
      </c>
      <c r="B7" s="20"/>
      <c r="C7" s="20"/>
      <c r="D7" s="11">
        <v>649033</v>
      </c>
      <c r="E7" s="24"/>
    </row>
    <row r="8" spans="1:5" ht="15.75">
      <c r="A8" s="27" t="str">
        <f>inputPrYr!$D$6</f>
        <v>Morris County</v>
      </c>
      <c r="B8" s="20"/>
      <c r="C8" s="20"/>
      <c r="D8" s="11">
        <v>593152</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1242185</v>
      </c>
    </row>
    <row r="13" spans="1:5" ht="16.5" thickTop="1">
      <c r="A13" s="62" t="str">
        <f>CONCATENATE("New Improvements for ",inputPrYr!D11-1,":")</f>
        <v>New Improvements for 2013:</v>
      </c>
      <c r="B13" s="20"/>
      <c r="C13" s="20"/>
      <c r="D13" s="20"/>
      <c r="E13" s="59"/>
    </row>
    <row r="14" spans="1:5" ht="15.75">
      <c r="A14" s="27" t="str">
        <f>inputPrYr!$D$4</f>
        <v>Geary County</v>
      </c>
      <c r="B14" s="20"/>
      <c r="C14" s="20"/>
      <c r="D14" s="50">
        <v>0</v>
      </c>
      <c r="E14" s="14"/>
    </row>
    <row r="15" spans="1:5" ht="15.75">
      <c r="A15" s="27" t="str">
        <f>inputPrYr!$D$6</f>
        <v>Morris County</v>
      </c>
      <c r="B15" s="20"/>
      <c r="C15" s="20"/>
      <c r="D15" s="13">
        <v>271</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271</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Geary County</v>
      </c>
      <c r="B21" s="20"/>
      <c r="C21" s="20"/>
      <c r="D21" s="50">
        <v>29221</v>
      </c>
      <c r="E21" s="14"/>
    </row>
    <row r="22" spans="1:5" ht="15.75">
      <c r="A22" s="27" t="str">
        <f>inputPrYr!$D$6</f>
        <v>Morris County</v>
      </c>
      <c r="B22" s="20"/>
      <c r="C22" s="20"/>
      <c r="D22" s="50">
        <v>4755</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33976</v>
      </c>
    </row>
    <row r="27" spans="1:5" ht="16.5" thickTop="1">
      <c r="A27" s="62" t="str">
        <f>CONCATENATE("Property that has changed in use for ",inputPrYr!D11-1,":")</f>
        <v>Property that has changed in use for 2013:</v>
      </c>
      <c r="B27" s="20"/>
      <c r="C27" s="20"/>
      <c r="D27" s="20"/>
      <c r="E27" s="59"/>
    </row>
    <row r="28" spans="1:5" ht="15.75">
      <c r="A28" s="27" t="str">
        <f>inputPrYr!$D$4</f>
        <v>Geary County</v>
      </c>
      <c r="B28" s="20"/>
      <c r="C28" s="20"/>
      <c r="D28" s="50">
        <v>6913</v>
      </c>
      <c r="E28" s="14"/>
    </row>
    <row r="29" spans="1:5" ht="15.75">
      <c r="A29" s="27" t="str">
        <f>inputPrYr!$D$6</f>
        <v>Morris County</v>
      </c>
      <c r="B29" s="20"/>
      <c r="C29" s="20"/>
      <c r="D29" s="50">
        <v>30</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6943</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Geary County</v>
      </c>
      <c r="B35" s="20"/>
      <c r="C35" s="20"/>
      <c r="D35" s="80">
        <v>30638</v>
      </c>
      <c r="E35" s="59"/>
    </row>
    <row r="36" spans="1:5" ht="15.75">
      <c r="A36" s="27" t="str">
        <f>inputPrYr!$D$6</f>
        <v>Morris County</v>
      </c>
      <c r="B36" s="20"/>
      <c r="C36" s="20"/>
      <c r="D36" s="81">
        <v>5744</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36382</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1.541</v>
      </c>
      <c r="E46" s="49"/>
    </row>
    <row r="47" spans="1:5" ht="15.75">
      <c r="A47" s="57" t="s">
        <v>284</v>
      </c>
      <c r="B47" s="58"/>
      <c r="C47" s="20"/>
      <c r="D47" s="77">
        <v>0</v>
      </c>
      <c r="E47" s="49"/>
    </row>
    <row r="48" spans="1:5" ht="15.75">
      <c r="A48" s="57" t="str">
        <f>inputPrYr!B27</f>
        <v>None</v>
      </c>
      <c r="B48" s="58"/>
      <c r="C48" s="20"/>
      <c r="D48" s="77">
        <v>0</v>
      </c>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1.541</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Geary County</v>
      </c>
      <c r="B55" s="36"/>
      <c r="C55" s="36"/>
      <c r="D55" s="80">
        <v>621763</v>
      </c>
      <c r="E55" s="36"/>
    </row>
    <row r="56" spans="1:5" ht="15.75">
      <c r="A56" s="27" t="str">
        <f>inputPrYr!$D$6</f>
        <v>Morris County</v>
      </c>
      <c r="B56" s="36"/>
      <c r="C56" s="36"/>
      <c r="D56" s="81">
        <v>594080</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1215843</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Geary County</v>
      </c>
      <c r="B64" s="14"/>
      <c r="C64" s="14"/>
      <c r="D64" s="11">
        <v>105</v>
      </c>
      <c r="E64" s="24"/>
    </row>
    <row r="65" spans="1:5" ht="15.75">
      <c r="A65" s="27" t="str">
        <f>inputPrYr!$D$6</f>
        <v>Morris County</v>
      </c>
      <c r="B65" s="14"/>
      <c r="C65" s="14"/>
      <c r="D65" s="11">
        <v>64.91</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169.91</v>
      </c>
    </row>
    <row r="70" spans="1:5" ht="16.5" thickTop="1">
      <c r="A70" s="63" t="s">
        <v>147</v>
      </c>
      <c r="B70" s="14"/>
      <c r="C70" s="14"/>
      <c r="D70" s="14"/>
      <c r="E70" s="49"/>
    </row>
    <row r="71" spans="1:5" ht="15.75">
      <c r="A71" s="27" t="str">
        <f>inputPrYr!$D$4</f>
        <v>Geary County</v>
      </c>
      <c r="B71" s="14"/>
      <c r="C71" s="14"/>
      <c r="D71" s="11">
        <v>0</v>
      </c>
      <c r="E71" s="24"/>
    </row>
    <row r="72" spans="1:5" ht="15.75">
      <c r="A72" s="27" t="str">
        <f>inputPrYr!$D$6</f>
        <v>Morris County</v>
      </c>
      <c r="B72" s="14"/>
      <c r="C72" s="14"/>
      <c r="D72" s="12">
        <v>0</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0</v>
      </c>
    </row>
    <row r="77" spans="1:5" ht="16.5" thickTop="1">
      <c r="A77" s="63" t="s">
        <v>143</v>
      </c>
      <c r="B77" s="14"/>
      <c r="C77" s="14"/>
      <c r="D77" s="14"/>
      <c r="E77" s="49"/>
    </row>
    <row r="78" spans="1:5" ht="15.75">
      <c r="A78" s="27" t="str">
        <f>inputPrYr!$D$4</f>
        <v>Geary County</v>
      </c>
      <c r="B78" s="14"/>
      <c r="C78" s="14"/>
      <c r="D78" s="11">
        <v>14</v>
      </c>
      <c r="E78" s="24"/>
    </row>
    <row r="79" spans="1:5" ht="15.75">
      <c r="A79" s="27" t="str">
        <f>inputPrYr!$D$6</f>
        <v>Morris County</v>
      </c>
      <c r="B79" s="14"/>
      <c r="C79" s="14"/>
      <c r="D79" s="12">
        <v>25.74</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39.739999999999995</v>
      </c>
    </row>
    <row r="84" spans="1:5" ht="16.5" thickTop="1">
      <c r="A84" s="63" t="s">
        <v>171</v>
      </c>
      <c r="B84" s="14"/>
      <c r="C84" s="14"/>
      <c r="D84" s="61">
        <v>0</v>
      </c>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Geary County</v>
      </c>
      <c r="B89" s="21"/>
      <c r="C89" s="91"/>
      <c r="D89" s="61"/>
      <c r="E89" s="51"/>
    </row>
    <row r="90" spans="1:5" ht="15.75">
      <c r="A90" s="27" t="str">
        <f>inputPrYr!$D$6</f>
        <v>Morris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752</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3000</v>
      </c>
      <c r="C102" s="84" t="s">
        <v>222</v>
      </c>
      <c r="D102" s="90"/>
      <c r="E102" s="90"/>
    </row>
    <row r="103" spans="1:5" ht="15.75">
      <c r="A103" s="89" t="str">
        <f>inputPrYr!B25</f>
        <v>Debt Service</v>
      </c>
      <c r="B103" s="61"/>
      <c r="C103" s="84"/>
      <c r="D103" s="90"/>
      <c r="E103" s="90"/>
    </row>
    <row r="104" spans="1:5" ht="15.75">
      <c r="A104" s="89" t="str">
        <f>inputPrYr!B27</f>
        <v>None</v>
      </c>
      <c r="B104" s="61"/>
      <c r="C104" s="85"/>
      <c r="D104" s="85"/>
      <c r="E104" s="85"/>
    </row>
    <row r="105" spans="1:5" ht="15.75">
      <c r="A105" s="89">
        <f>inputPrYr!B28</f>
        <v>0</v>
      </c>
      <c r="B105" s="61"/>
      <c r="C105" s="85"/>
      <c r="D105" s="85"/>
      <c r="E105" s="85"/>
    </row>
    <row r="106" spans="1:5" ht="15.75">
      <c r="A106" s="89" t="str">
        <f>inputPrYr!B31</f>
        <v>None</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0" fitToWidth="1"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54" t="s">
        <v>764</v>
      </c>
    </row>
    <row r="2" spans="1:10" ht="54" customHeight="1">
      <c r="A2" s="703" t="s">
        <v>334</v>
      </c>
      <c r="B2" s="704"/>
      <c r="C2" s="704"/>
      <c r="D2" s="704"/>
      <c r="E2" s="704"/>
      <c r="F2" s="704"/>
      <c r="J2" s="654" t="s">
        <v>765</v>
      </c>
    </row>
    <row r="3" spans="1:10" ht="15" customHeight="1">
      <c r="A3" s="641" t="s">
        <v>762</v>
      </c>
      <c r="B3" s="388" t="s">
        <v>814</v>
      </c>
      <c r="C3" s="642"/>
      <c r="D3" s="642"/>
      <c r="E3" s="642"/>
      <c r="F3" s="642"/>
      <c r="J3" s="654" t="s">
        <v>766</v>
      </c>
    </row>
    <row r="4" spans="1:10" ht="15" customHeight="1">
      <c r="A4" s="641"/>
      <c r="B4" s="642"/>
      <c r="C4" s="642"/>
      <c r="D4" s="642"/>
      <c r="E4" s="642"/>
      <c r="F4" s="642"/>
      <c r="J4" s="654" t="s">
        <v>767</v>
      </c>
    </row>
    <row r="5" spans="1:10" ht="15" customHeight="1">
      <c r="A5" s="1" t="s">
        <v>763</v>
      </c>
      <c r="B5" s="388" t="s">
        <v>815</v>
      </c>
      <c r="J5" s="654" t="s">
        <v>768</v>
      </c>
    </row>
    <row r="6" spans="1:10" ht="15.75">
      <c r="A6" s="385"/>
      <c r="B6" s="385"/>
      <c r="C6" s="385"/>
      <c r="D6" s="386"/>
      <c r="E6" s="385"/>
      <c r="F6" s="385"/>
      <c r="J6" s="654" t="s">
        <v>769</v>
      </c>
    </row>
    <row r="7" spans="1:10" ht="15.75">
      <c r="A7" s="387" t="s">
        <v>335</v>
      </c>
      <c r="B7" s="388" t="s">
        <v>819</v>
      </c>
      <c r="C7" s="389"/>
      <c r="D7" s="387" t="s">
        <v>761</v>
      </c>
      <c r="E7" s="385"/>
      <c r="F7" s="385"/>
      <c r="J7" s="654" t="s">
        <v>770</v>
      </c>
    </row>
    <row r="8" spans="1:10" ht="15.75">
      <c r="A8" s="387"/>
      <c r="B8" s="390"/>
      <c r="C8" s="391"/>
      <c r="D8" s="655" t="str">
        <f>IF(B7="","",CONCATENATE("Latest date for notice to be published in your newspaper: ",I18," ",I22,", ",I23))</f>
        <v>Latest date for notice to be published in your newspaper: September 20, 2013</v>
      </c>
      <c r="E8" s="385"/>
      <c r="F8" s="385"/>
      <c r="J8" s="654" t="s">
        <v>771</v>
      </c>
    </row>
    <row r="9" spans="1:10" ht="15.75">
      <c r="A9" s="387" t="s">
        <v>336</v>
      </c>
      <c r="B9" s="388" t="s">
        <v>816</v>
      </c>
      <c r="C9" s="392"/>
      <c r="D9" s="387"/>
      <c r="E9" s="385"/>
      <c r="F9" s="385"/>
      <c r="J9" s="654" t="s">
        <v>772</v>
      </c>
    </row>
    <row r="10" spans="1:10" ht="15.75">
      <c r="A10" s="387"/>
      <c r="B10" s="387"/>
      <c r="C10" s="387"/>
      <c r="D10" s="387"/>
      <c r="E10" s="385"/>
      <c r="F10" s="385"/>
      <c r="J10" s="654" t="s">
        <v>773</v>
      </c>
    </row>
    <row r="11" spans="1:10" ht="15.75">
      <c r="A11" s="387" t="s">
        <v>337</v>
      </c>
      <c r="B11" s="393" t="s">
        <v>817</v>
      </c>
      <c r="C11" s="393"/>
      <c r="D11" s="393"/>
      <c r="E11" s="394"/>
      <c r="F11" s="385"/>
      <c r="J11" s="654" t="s">
        <v>774</v>
      </c>
    </row>
    <row r="12" spans="1:10" ht="15.75">
      <c r="A12" s="387"/>
      <c r="B12" s="387"/>
      <c r="C12" s="387"/>
      <c r="D12" s="387"/>
      <c r="E12" s="385"/>
      <c r="F12" s="385"/>
      <c r="J12" s="654" t="s">
        <v>775</v>
      </c>
    </row>
    <row r="13" spans="1:6" ht="15.75">
      <c r="A13" s="387"/>
      <c r="B13" s="387"/>
      <c r="C13" s="387"/>
      <c r="D13" s="387"/>
      <c r="E13" s="385"/>
      <c r="F13" s="385"/>
    </row>
    <row r="14" spans="1:6" ht="15.75">
      <c r="A14" s="387" t="s">
        <v>338</v>
      </c>
      <c r="B14" s="393" t="s">
        <v>817</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September</v>
      </c>
    </row>
    <row r="19" spans="1:9" ht="15.75">
      <c r="A19" s="387" t="s">
        <v>335</v>
      </c>
      <c r="B19" s="390" t="s">
        <v>340</v>
      </c>
      <c r="C19" s="387"/>
      <c r="D19" s="387"/>
      <c r="E19" s="387"/>
      <c r="I19" s="656" t="str">
        <f>IF(B7="","",CONCATENATE("J",I21))</f>
        <v>J9</v>
      </c>
    </row>
    <row r="20" spans="1:9" ht="15.75">
      <c r="A20" s="387"/>
      <c r="B20" s="387"/>
      <c r="C20" s="387"/>
      <c r="D20" s="387"/>
      <c r="E20" s="387"/>
      <c r="I20" s="657">
        <f>B7-10</f>
        <v>41537</v>
      </c>
    </row>
    <row r="21" spans="1:9" ht="15.75">
      <c r="A21" s="387" t="s">
        <v>336</v>
      </c>
      <c r="B21" s="387" t="s">
        <v>341</v>
      </c>
      <c r="C21" s="387"/>
      <c r="D21" s="387"/>
      <c r="E21" s="387"/>
      <c r="I21" s="658">
        <f>IF(B7="","",MONTH(I20))</f>
        <v>9</v>
      </c>
    </row>
    <row r="22" spans="1:9" ht="15.75">
      <c r="A22" s="387"/>
      <c r="B22" s="387"/>
      <c r="C22" s="387"/>
      <c r="D22" s="387"/>
      <c r="E22" s="387"/>
      <c r="I22" s="659">
        <f>IF(B7="","",DAY(I20))</f>
        <v>20</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Geary County, State of Kansas</v>
      </c>
      <c r="B4" s="717"/>
      <c r="C4" s="717"/>
      <c r="D4" s="717"/>
      <c r="E4" s="717"/>
      <c r="F4" s="717"/>
      <c r="G4" s="717"/>
    </row>
    <row r="5" spans="1:7" ht="15.75">
      <c r="A5" s="148" t="s">
        <v>172</v>
      </c>
      <c r="B5" s="108"/>
      <c r="C5" s="108"/>
      <c r="D5" s="108"/>
      <c r="E5" s="108"/>
      <c r="F5" s="108"/>
      <c r="G5" s="108"/>
    </row>
    <row r="6" spans="1:7" ht="15.75">
      <c r="A6" s="689" t="str">
        <f>inputPrYr!D3</f>
        <v>Moss Springs Cemetery</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17-1330</v>
      </c>
      <c r="D22" s="193">
        <v>6</v>
      </c>
      <c r="E22" s="221">
        <f>IF(gen!$E$61&lt;&gt;0,gen!$E$61,"  ")</f>
        <v>3000</v>
      </c>
      <c r="F22" s="221">
        <f>IF(gen!$E$68&lt;&gt;0,gen!$E$68,"  ")</f>
        <v>1651.65</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None</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None</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c>
      <c r="E28" s="227"/>
      <c r="F28" s="228"/>
      <c r="G28" s="664"/>
    </row>
    <row r="29" spans="1:7" ht="16.5" thickBot="1">
      <c r="A29" s="229" t="s">
        <v>127</v>
      </c>
      <c r="B29" s="223"/>
      <c r="C29" s="217"/>
      <c r="D29" s="230" t="s">
        <v>21</v>
      </c>
      <c r="E29" s="231">
        <f>SUM(E22:E27)</f>
        <v>3000</v>
      </c>
      <c r="F29" s="169">
        <f>SUM(F22:F27)</f>
        <v>1651.65</v>
      </c>
      <c r="G29" s="665">
        <f>IF(SUM(G22:G27)=0,"",SUM(G22:G27))</f>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Geary County</v>
      </c>
      <c r="E34" s="223"/>
      <c r="F34" s="706"/>
      <c r="G34" s="707"/>
    </row>
    <row r="35" spans="1:7" ht="15.75">
      <c r="A35" s="237"/>
      <c r="B35" s="237"/>
      <c r="C35" s="97" t="s">
        <v>22</v>
      </c>
      <c r="D35" s="219" t="str">
        <f>inputPrYr!D6</f>
        <v>Morris County</v>
      </c>
      <c r="E35" s="223"/>
      <c r="F35" s="706"/>
      <c r="G35" s="707"/>
    </row>
    <row r="36" spans="1:7" ht="15.75">
      <c r="A36" s="238"/>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c r="B38" s="237"/>
      <c r="C38" s="97" t="s">
        <v>22</v>
      </c>
      <c r="D38" s="219">
        <f>inputPrYr!D9</f>
        <v>0</v>
      </c>
      <c r="E38" s="223"/>
      <c r="F38" s="706"/>
      <c r="G38" s="707"/>
    </row>
    <row r="39" spans="1:7" ht="15.75">
      <c r="A39" s="238"/>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776</v>
      </c>
      <c r="B41" s="97" t="s">
        <v>22</v>
      </c>
      <c r="C41" s="97"/>
      <c r="D41" s="97"/>
      <c r="E41" s="98"/>
      <c r="F41" s="98"/>
      <c r="G41" s="98"/>
    </row>
    <row r="42" spans="1:7" ht="15.75">
      <c r="A42" s="661"/>
      <c r="B42" s="237"/>
      <c r="C42" s="105"/>
      <c r="D42" s="105" t="s">
        <v>777</v>
      </c>
      <c r="E42" s="670"/>
      <c r="F42" s="578"/>
      <c r="G42" s="578"/>
    </row>
    <row r="43" spans="1:7" ht="15.75">
      <c r="A43" s="97" t="s">
        <v>22</v>
      </c>
      <c r="B43" s="97" t="s">
        <v>22</v>
      </c>
      <c r="C43" s="97"/>
      <c r="D43" s="98"/>
      <c r="E43" s="98"/>
      <c r="F43" s="138"/>
      <c r="G43" s="138"/>
    </row>
    <row r="44" spans="1:7" ht="15.75">
      <c r="A44" s="97" t="s">
        <v>22</v>
      </c>
      <c r="B44" s="97" t="s">
        <v>22</v>
      </c>
      <c r="C44" s="105"/>
      <c r="D44" s="105" t="s">
        <v>777</v>
      </c>
      <c r="E44" s="105"/>
      <c r="F44" s="578"/>
      <c r="G44" s="578"/>
    </row>
    <row r="45" spans="1:7" ht="15.75">
      <c r="A45" s="97" t="s">
        <v>22</v>
      </c>
      <c r="B45" s="579" t="s">
        <v>22</v>
      </c>
      <c r="C45" s="105"/>
      <c r="D45" s="105"/>
      <c r="E45" s="105"/>
      <c r="F45" s="578"/>
      <c r="G45" s="578"/>
    </row>
    <row r="46" spans="1:7" ht="15.75">
      <c r="A46" s="97" t="s">
        <v>22</v>
      </c>
      <c r="B46" s="97" t="s">
        <v>22</v>
      </c>
      <c r="C46" s="105"/>
      <c r="D46" s="105" t="s">
        <v>777</v>
      </c>
      <c r="E46" s="105"/>
      <c r="F46" s="578"/>
      <c r="G46" s="578"/>
    </row>
    <row r="47" spans="1:7" ht="15.75">
      <c r="A47" s="97" t="s">
        <v>22</v>
      </c>
      <c r="B47" s="97" t="s">
        <v>22</v>
      </c>
      <c r="C47" s="105"/>
      <c r="D47" s="105"/>
      <c r="E47" s="105"/>
      <c r="F47" s="670"/>
      <c r="G47" s="670"/>
    </row>
    <row r="48" spans="1:7" ht="15.75">
      <c r="A48" s="97" t="s">
        <v>173</v>
      </c>
      <c r="B48" s="105"/>
      <c r="C48" s="97">
        <f>G3-1</f>
        <v>2013</v>
      </c>
      <c r="D48" s="105" t="s">
        <v>777</v>
      </c>
      <c r="E48" s="105"/>
      <c r="F48" s="578"/>
      <c r="G48" s="578"/>
    </row>
    <row r="49" spans="1:7" ht="15.75">
      <c r="A49" s="97" t="s">
        <v>22</v>
      </c>
      <c r="B49" s="97" t="s">
        <v>22</v>
      </c>
      <c r="C49" s="97" t="s">
        <v>22</v>
      </c>
      <c r="D49" s="98"/>
      <c r="E49" s="98"/>
      <c r="F49" s="108"/>
      <c r="G49" s="108"/>
    </row>
    <row r="50" spans="1:7" ht="15.75">
      <c r="A50" s="711"/>
      <c r="B50" s="712"/>
      <c r="C50" s="98"/>
      <c r="D50" s="105" t="s">
        <v>777</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Moss Springs Cemetery</v>
      </c>
      <c r="D1" s="98"/>
      <c r="E1" s="98"/>
      <c r="F1" s="98"/>
      <c r="G1" s="98"/>
      <c r="H1" s="98"/>
      <c r="I1" s="98"/>
      <c r="J1" s="98">
        <f>inputPrYr!D11</f>
        <v>2014</v>
      </c>
    </row>
    <row r="2" spans="1:10" ht="15.75" customHeight="1">
      <c r="A2" s="98"/>
      <c r="B2" s="98"/>
      <c r="C2" s="98" t="str">
        <f>inputPrYr!D4</f>
        <v>Geary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1874</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1874</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271</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33976</v>
      </c>
      <c r="F14" s="243"/>
      <c r="G14" s="122"/>
      <c r="H14" s="122"/>
      <c r="I14" s="246"/>
      <c r="J14" s="122"/>
    </row>
    <row r="15" spans="1:10" ht="15.75">
      <c r="A15" s="242"/>
      <c r="B15" s="98" t="s">
        <v>92</v>
      </c>
      <c r="C15" s="98" t="str">
        <f>CONCATENATE("Personal Property ",J1-2,"")</f>
        <v>Personal Property 2012</v>
      </c>
      <c r="D15" s="242" t="s">
        <v>88</v>
      </c>
      <c r="E15" s="245">
        <f>inputOth!E40</f>
        <v>36382</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6943</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7214</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1242185</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1234971</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0.005841432713804616</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11</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1885</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1885</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Moss Springs Cemetery</v>
      </c>
      <c r="C1" s="98"/>
      <c r="D1" s="98"/>
      <c r="E1" s="98"/>
      <c r="F1" s="98"/>
      <c r="G1" s="98"/>
      <c r="H1" s="98"/>
      <c r="I1" s="251"/>
      <c r="J1" s="98"/>
    </row>
    <row r="2" spans="1:10" ht="15.75">
      <c r="A2" s="98"/>
      <c r="B2" s="98" t="str">
        <f>inputPrYr!D4</f>
        <v>Geary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753</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1874</v>
      </c>
      <c r="D11" s="159">
        <f>IF(E17=0,0,E17-D12-D13-D14)</f>
        <v>169.91</v>
      </c>
      <c r="E11" s="159">
        <f>IF(E19=0,0,E19-E12-E13-E14)</f>
        <v>0</v>
      </c>
      <c r="F11" s="159">
        <f>IF(E21=0,0,E21-F12-F13-F14)</f>
        <v>39.739999999999995</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None</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1874</v>
      </c>
      <c r="D15" s="167">
        <f>SUM(D11:D14)</f>
        <v>169.91</v>
      </c>
      <c r="E15" s="167">
        <f>SUM(E11:E14)</f>
        <v>0</v>
      </c>
      <c r="F15" s="167">
        <f>SUM(F11:F14)</f>
        <v>39.739999999999995</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169.91</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0</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39.739999999999995</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0.09066702241195304</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0.021205976520811097</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600" verticalDpi="60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Moss Springs Cemetery</v>
      </c>
      <c r="B2" s="259"/>
      <c r="C2" s="98"/>
      <c r="D2" s="98"/>
      <c r="E2" s="251"/>
      <c r="F2" s="98"/>
    </row>
    <row r="3" spans="1:6" ht="15.75">
      <c r="A3" s="259" t="str">
        <f>inputPrYr!D4</f>
        <v>Geary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t="s">
        <v>810</v>
      </c>
      <c r="B10" s="266"/>
      <c r="C10" s="267">
        <v>0</v>
      </c>
      <c r="D10" s="267">
        <v>0</v>
      </c>
      <c r="E10" s="267">
        <v>0</v>
      </c>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2013-09-11T19:12:46Z</cp:lastPrinted>
  <dcterms:created xsi:type="dcterms:W3CDTF">1999-08-06T13:59:57Z</dcterms:created>
  <dcterms:modified xsi:type="dcterms:W3CDTF">2013-09-11T19:13:23Z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