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<sst xmlns="http://schemas.openxmlformats.org/spreadsheetml/2006/main" count="1185" uniqueCount="806">
  <si>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</si>
  <si>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</si>
  <si>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</si>
  <si>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</si>
  <si>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</si>
  <si>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</si>
  <si>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</si>
  <si>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</si>
  <si>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</si>
  <si>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</si>
  <si>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</si>
  <si>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</si>
  <si>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</si>
  <si>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</si>
  <si>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</si>
  <si>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</si>
  <si>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</si>
  <si>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</si>
  <si>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</si>
  <si>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</si>
  <si>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</si>
  <si>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</si>
  <si>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</si>
  <si>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</si>
  <si>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</si>
  <si>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</si>
  <si>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</si>
  <si>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</si>
  <si>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</si>
  <si>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</si>
  <si>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</si>
  <si>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</si>
  <si>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</si>
  <si>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</si>
  <si>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</si>
  <si>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</si>
  <si>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</si>
  <si>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</si>
  <si>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</si>
  <si>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</si>
  <si>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</si>
  <si>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</si>
  <si>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</si>
  <si>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</si>
  <si>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</si>
  <si>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</si>
  <si>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</si>
  <si>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</si>
  <si>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</si>
  <si>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</si>
  <si>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</si>
  <si>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</si>
  <si>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</si>
  <si>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</si>
  <si>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</si>
  <si>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</si>
  <si>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</si>
  <si>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</si>
  <si>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</si>
  <si>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</si>
  <si>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</si>
  <si>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</si>
  <si>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</si>
  <si>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</si>
  <si>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</si>
  <si>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</si>
  <si>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</si>
  <si>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</si>
  <si>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</si>
  <si>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</si>
  <si>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</si>
  <si>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</si>
  <si>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</si>
  <si>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</si>
  <si>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</si>
  <si>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</si>
  <si>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</si>
  <si>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</si>
  <si>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</si>
  <si>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</si>
  <si>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</si>
  <si>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</si>
  <si>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</si>
  <si>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</si>
  <si>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</si>
  <si>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</si>
  <si>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</si>
  <si>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</si>
  <si>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</si>
  <si>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</si>
  <si>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</si>
  <si>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</si>
  <si>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</si>
  <si>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</si>
  <si>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</si>
  <si>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</si>
  <si>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</si>
  <si>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</si>
  <si>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</si>
  <si>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</si>
  <si>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</si>
  <si>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</si>
  <si>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</si>
  <si>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</si>
  <si>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</si>
  <si>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</si>
  <si>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</si>
  <si>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</si>
  <si>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</si>
  <si>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</si>
  <si>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</si>
  <si>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</si>
  <si>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</si>
  <si>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</si>
  <si>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</si>
  <si>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</si>
  <si>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</si>
  <si>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</si>
  <si>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</si>
  <si>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</si>
  <si>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</si>
  <si>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</si>
  <si>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</si>
  <si>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</si>
  <si>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</si>
  <si>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</si>
  <si>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</si>
  <si>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</si>
  <si>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</si>
  <si>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</si>
  <si>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</si>
  <si>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</si>
  <si>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</si>
  <si>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</si>
  <si>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</si>
  <si>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</si>
  <si>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</si>
  <si>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</si>
  <si>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</si>
  <si>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</si>
  <si>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</si>
  <si>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</si>
  <si>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</si>
  <si>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</si>
  <si>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</si>
  <si>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</si>
  <si>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</si>
  <si>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</si>
  <si>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</si>
  <si>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</si>
  <si>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</si>
  <si>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</si>
  <si>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</si>
  <si>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</si>
  <si>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</si>
  <si>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</si>
  <si>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</si>
  <si>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</si>
  <si>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</si>
  <si>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</si>
  <si>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</si>
  <si>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</si>
  <si>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</si>
  <si>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</si>
  <si>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</si>
  <si>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</si>
  <si>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</si>
  <si>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</si>
  <si>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</si>
  <si>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</si>
  <si>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</si>
  <si>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</si>
  <si>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</si>
  <si>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</si>
  <si>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</si>
  <si>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</si>
  <si>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</si>
  <si>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</si>
  <si>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</si>
  <si>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</si>
  <si>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</si>
  <si>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</si>
  <si>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</si>
  <si>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</si>
  <si>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</si>
  <si>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</si>
  <si>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</si>
  <si>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</si>
  <si>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</si>
  <si>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</si>
  <si>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</si>
  <si>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</si>
  <si>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</si>
  <si>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</si>
  <si>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</si>
  <si>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</si>
  <si>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</si>
  <si>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</si>
  <si>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</si>
  <si>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</si>
  <si>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</si>
  <si>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</si>
  <si>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</si>
  <si>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</si>
  <si>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</si>
  <si>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</si>
  <si>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</si>
  <si>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</si>
  <si>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</si>
  <si>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</si>
  <si>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</si>
  <si>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</si>
  <si>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</si>
  <si>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</si>
  <si>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</si>
  <si>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</si>
  <si>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</si>
  <si>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</si>
  <si>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</si>
  <si>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</si>
  <si>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</si>
  <si>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</si>
  <si>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</si>
  <si>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</si>
  <si>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</si>
  <si>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</si>
  <si>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</si>
  <si>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</si>
  <si>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</si>
  <si>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</si>
  <si>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</si>
  <si>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</si>
  <si>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</si>
  <si>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</si>
  <si>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</si>
  <si>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</si>
  <si>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</si>
  <si>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</si>
  <si>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</si>
  <si>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</si>
  <si>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</si>
  <si>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</si>
  <si>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</si>
  <si>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</si>
  <si>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</si>
  <si>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</si>
  <si>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</si>
  <si>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</si>
  <si>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</si>
  <si>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</si>
  <si>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</si>
  <si>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</si>
  <si>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</si>
  <si>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</si>
  <si>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</si>
  <si>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</si>
  <si>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</si>
  <si>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</si>
  <si>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</si>
  <si>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</si>
  <si>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</si>
  <si>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</si>
  <si>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</si>
  <si>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</si>
  <si>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</si>
  <si>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</si>
  <si>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</si>
  <si>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</si>
  <si>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</si>
  <si>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</si>
  <si>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</si>
  <si>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</si>
  <si>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</si>
  <si>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</si>
  <si>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</si>
  <si>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</si>
  <si>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</si>
  <si>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</si>
  <si>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</si>
  <si>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</si>
  <si>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</si>
  <si>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</si>
  <si>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</si>
  <si>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</si>
  <si>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</si>
  <si>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</si>
  <si>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</si>
  <si>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</si>
  <si>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</si>
  <si>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</si>
  <si>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</si>
  <si>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</si>
  <si>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</si>
  <si>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</si>
  <si>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</si>
  <si>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</si>
  <si>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</si>
  <si>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</si>
  <si>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</si>
  <si>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</si>
  <si>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</si>
  <si>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</si>
  <si>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</si>
  <si>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</si>
  <si>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</si>
  <si>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</si>
  <si>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</si>
  <si>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</si>
  <si>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</si>
  <si>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</si>
  <si>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</si>
  <si>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</si>
  <si>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</si>
  <si>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</si>
  <si>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</si>
  <si>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</si>
  <si>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</si>
  <si>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</si>
  <si>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</si>
  <si>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</si>
  <si>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</si>
  <si>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</si>
  <si>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</si>
  <si>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</si>
  <si>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</si>
  <si>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</si>
  <si>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</si>
  <si>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</si>
  <si>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</si>
  <si>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</si>
  <si>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</si>
  <si>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</si>
  <si>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</si>
  <si>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</si>
  <si>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</si>
  <si>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</si>
  <si>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</si>
  <si>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</si>
  <si>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</si>
  <si>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</si>
  <si>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</si>
  <si>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</si>
  <si>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</si>
  <si>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</si>
  <si>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</si>
  <si>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</si>
  <si>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</si>
  <si>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</si>
  <si>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</si>
  <si>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</si>
  <si>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</si>
  <si>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</si>
  <si>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</si>
  <si>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</si>
  <si>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</si>
  <si>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</si>
  <si>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</si>
  <si>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</si>
  <si>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</si>
  <si>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</si>
  <si>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</si>
  <si>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</si>
  <si>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</si>
  <si>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</si>
  <si>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</si>
  <si>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</si>
  <si>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</si>
  <si>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</si>
  <si>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</si>
  <si>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</si>
  <si>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</si>
  <si>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</si>
  <si>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</si>
  <si>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</si>
  <si>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</si>
  <si>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</si>
  <si>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</si>
  <si>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</si>
  <si>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</si>
  <si>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</si>
  <si>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</si>
  <si>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</si>
  <si>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</si>
  <si>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</si>
  <si>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</si>
  <si>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</si>
  <si>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</si>
  <si>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</si>
  <si>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</si>
  <si>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</si>
  <si>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</si>
  <si>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</si>
  <si>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</si>
  <si>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</si>
  <si>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</si>
  <si>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</si>
  <si>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</si>
  <si>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</si>
  <si>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</si>
  <si>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</si>
  <si>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</si>
  <si>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</si>
  <si>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</si>
  <si>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</si>
  <si>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</si>
  <si>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</si>
  <si>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</si>
  <si>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</si>
  <si>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</si>
  <si>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</si>
  <si>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</si>
  <si>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</si>
  <si>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</si>
  <si>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</si>
  <si>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</si>
  <si>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</si>
  <si>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</si>
  <si>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</si>
  <si>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</si>
  <si>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</si>
  <si>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</si>
  <si>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</si>
  <si>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</si>
  <si>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</si>
  <si>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</si>
  <si>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</si>
  <si>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</si>
  <si>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</si>
  <si>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</si>
  <si>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</si>
  <si>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</si>
  <si>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</si>
  <si>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</si>
  <si>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</si>
  <si>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</si>
  <si>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</si>
  <si>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</si>
  <si>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</si>
  <si>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</si>
  <si>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</si>
  <si>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</si>
  <si>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</si>
  <si>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</si>
  <si>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</si>
  <si>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</si>
  <si>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</si>
  <si>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</si>
  <si>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</si>
  <si>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</si>
  <si>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</si>
  <si>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</si>
  <si>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</si>
  <si>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</si>
  <si>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</si>
  <si>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</si>
  <si>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</si>
  <si>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</si>
  <si>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</si>
  <si>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</si>
  <si>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</si>
  <si>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</si>
  <si>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</si>
  <si>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</si>
  <si>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</si>
  <si>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</si>
  <si>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</si>
  <si>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</si>
  <si>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</si>
  <si>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</si>
  <si>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</si>
  <si>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</si>
  <si>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</si>
  <si>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</si>
  <si>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</si>
  <si>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</si>
  <si>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</si>
  <si>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</si>
  <si>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</si>
  <si>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</si>
  <si>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</si>
  <si>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</si>
  <si>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</si>
  <si>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</si>
  <si>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</si>
  <si>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</si>
  <si>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</si>
  <si>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</si>
  <si>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</si>
  <si>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</si>
  <si>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</si>
  <si>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</si>
  <si>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</si>
  <si>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</si>
  <si>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</si>
  <si>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</si>
  <si>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</si>
  <si>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</si>
  <si>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</si>
  <si>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</si>
  <si>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</si>
  <si>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</si>
  <si>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</si>
  <si>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</si>
  <si>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</si>
  <si>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</si>
  <si>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</si>
  <si>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</si>
  <si>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</si>
  <si>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</si>
  <si>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</si>
  <si>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</si>
  <si>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</si>
  <si>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</si>
  <si>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</si>
  <si>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</si>
  <si>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</si>
  <si>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</si>
  <si>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</si>
  <si>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</si>
  <si>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</si>
  <si>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</si>
  <si>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</si>
  <si>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</si>
  <si>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</si>
  <si>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</si>
  <si>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</si>
  <si>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</si>
  <si>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</si>
  <si>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</si>
  <si>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</si>
  <si>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</si>
  <si>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</si>
  <si>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</si>
  <si>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</si>
  <si>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</si>
  <si>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</si>
  <si>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</si>
  <si>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</si>
  <si>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</si>
  <si>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</si>
  <si>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</si>
  <si>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</si>
  <si>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</si>
  <si>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</si>
  <si>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</si>
  <si>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</si>
  <si>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</si>
  <si>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</si>
  <si>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</si>
  <si>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</si>
  <si>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</si>
  <si>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</si>
  <si>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</si>
  <si>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</si>
  <si>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</si>
  <si>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</si>
  <si>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</si>
  <si>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</si>
  <si>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</si>
  <si>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</si>
  <si>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</si>
  <si>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</si>
  <si>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</si>
  <si>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</si>
  <si>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</si>
  <si>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</si>
  <si>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</si>
  <si>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</si>
  <si>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</si>
  <si>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</si>
  <si>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</si>
  <si>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</si>
  <si>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</si>
  <si>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</si>
  <si>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</si>
  <si>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</si>
  <si>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</si>
  <si>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</si>
  <si>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</si>
  <si>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</si>
  <si>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</si>
  <si>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</si>
  <si>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</si>
  <si>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</si>
  <si>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</si>
  <si>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</si>
  <si>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</si>
  <si>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</si>
  <si>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</si>
  <si>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</si>
  <si>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</si>
  <si>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</si>
  <si>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</si>
  <si>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</si>
  <si>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</si>
  <si>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</si>
  <si>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</si>
  <si>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</si>
  <si>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</si>
  <si>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</si>
  <si>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</si>
  <si>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</si>
  <si>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</si>
  <si>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</si>
  <si>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</si>
  <si>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</si>
  <si>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</si>
  <si>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</si>
  <si>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</si>
  <si>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</si>
  <si>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</si>
  <si>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</si>
  <si>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</si>
  <si>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</si>
  <si>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</si>
  <si>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</si>
  <si>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</si>
  <si>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</si>
  <si>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</si>
  <si>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</si>
  <si>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</si>
  <si>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</si>
  <si>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</si>
  <si>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</si>
  <si>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</si>
  <si>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</si>
  <si>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</si>
  <si>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</si>
  <si>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</si>
  <si>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</si>
  <si>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</si>
  <si>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</si>
  <si>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</si>
  <si>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</si>
  <si>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</si>
  <si>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</si>
  <si>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</si>
  <si>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</si>
  <si>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</si>
  <si>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</si>
  <si>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</si>
  <si>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</si>
  <si>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</si>
  <si>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</si>
  <si>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</si>
  <si>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</si>
  <si>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</si>
  <si>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</si>
  <si>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</si>
  <si>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</si>
  <si>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</si>
  <si>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</si>
  <si>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</si>
  <si>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</si>
  <si>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</si>
  <si>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</si>
  <si>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</si>
  <si>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</si>
  <si>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</si>
  <si>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</si>
  <si>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</si>
  <si>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</si>
  <si>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</si>
  <si>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</si>
  <si>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</si>
  <si>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</si>
  <si>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</si>
  <si>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</si>
  <si>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</si>
  <si>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</si>
  <si>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</si>
  <si>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</si>
  <si>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</si>
  <si>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</si>
  <si>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</si>
  <si>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</si>
  <si>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</si>
  <si>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</si>
  <si>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</si>
  <si>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</si>
  <si>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</si>
  <si>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</si>
  <si>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</si>
  <si>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</si>
  <si>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</si>
  <si>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</si>
  <si>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</si>
  <si>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</si>
  <si>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</si>
  <si>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</si>
  <si>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</si>
  <si>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</si>
  <si>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</si>
  <si>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</si>
  <si>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</si>
  <si>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</si>
  <si>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</si>
  <si>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</si>
  <si>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</si>
  <si>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</si>
  <si>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</si>
  <si>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</si>
  <si>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</si>
  <si>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</si>
  <si>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</si>
  <si>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</si>
  <si>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</si>
  <si>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</si>
  <si>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</si>
  <si>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</si>
  <si>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</si>
  <si>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</si>
  <si>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</si>
  <si>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</si>
  <si>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</si>
  <si>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</si>
  <si>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</si>
  <si>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</si>
  <si>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</si>
  <si>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</si>
  <si>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</si>
  <si>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</si>
  <si>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</si>
  <si>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</si>
  <si>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</si>
  <si>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</si>
  <si>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</si>
  <si>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</si>
  <si>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</si>
  <si>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</si>
  <si>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</si>
  <si>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</si>
  <si>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</si>
  <si>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</si>
  <si>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</si>
  <si>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</si>
  <si>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</si>
  <si>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</si>
  <si>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</si>
  <si>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</si>
  <si>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</si>
  <si>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</si>
  <si>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</si>
  <si>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</si>
  <si>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</si>
  <si>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</si>
  <si>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</si>
  <si>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</si>
  <si>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</si>
  <si>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</si>
  <si>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</si>
  <si>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</si>
  <si>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</si>
  <si>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</si>
  <si>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</si>
  <si>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</si>
  <si>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</si>
  <si>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</si>
  <si>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</si>
  <si>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</si>
  <si>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</si>
  <si>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</si>
  <si>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</si>
  <si>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</si>
  <si>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</si>
  <si>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</si>
  <si>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</si>
  <si>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</si>
  <si>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</si>
  <si>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</si>
  <si>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</si>
  <si>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</si>
  <si>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</si>
  <si>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</si>
  <si>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</si>
  <si>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</si>
  <si>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</si>
  <si>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</si>
  <si>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</si>
  <si>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</si>
  <si>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</si>
  <si>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</si>
  <si>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</si>
  <si>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</si>
  <si>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</si>
  <si>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</si>
  <si>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</si>
  <si>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</si>
  <si>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</si>
  <si>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</si>
  <si>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</si>
  <si>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</si>
  <si>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Independence Cemetery</t>
  </si>
  <si>
    <t>Osborne County</t>
  </si>
  <si>
    <t>Insurance</t>
  </si>
  <si>
    <t>Mowing</t>
  </si>
  <si>
    <t>Rodney Shike, Independence Cemeter</t>
  </si>
  <si>
    <t>Treasurer</t>
  </si>
  <si>
    <t>August 12, 2013</t>
  </si>
  <si>
    <t>2:00 p.m.</t>
  </si>
  <si>
    <t>Osborne County Courthouse</t>
  </si>
  <si>
    <t xml:space="preserve">Osborne County Clerk's </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</si>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</sst>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Independence Cemetery</v>
      </c>
      <c r="C1" s="18"/>
      <c r="D1" s="18"/>
      <c r="E1" s="18"/>
      <c r="F1" s="18"/>
      <c r="G1" s="18"/>
      <c r="H1" s="18"/>
      <c r="I1" s="18"/>
      <c r="J1" s="18"/>
      <c r="K1" s="18"/>
      <c r="L1" s="182">
        <f>inputPrYr!D6</f>
        <v>2014</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Independence Cemetery</v>
      </c>
      <c r="C1" s="222"/>
      <c r="D1" s="18"/>
      <c r="E1" s="182"/>
    </row>
    <row r="2" spans="2:5" ht="15.75">
      <c r="B2" s="18" t="str">
        <f>inputPrYr!D4</f>
        <v>Osborne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2227</v>
      </c>
      <c r="D7" s="373">
        <f>C62</f>
        <v>3188</v>
      </c>
      <c r="E7" s="45">
        <f>D62</f>
        <v>1944</v>
      </c>
    </row>
    <row r="8" spans="2:5" ht="15.75">
      <c r="B8" s="226" t="s">
        <v>127</v>
      </c>
      <c r="C8" s="227"/>
      <c r="D8" s="227"/>
      <c r="E8" s="123"/>
    </row>
    <row r="9" spans="2:5" ht="15.75">
      <c r="B9" s="119" t="s">
        <v>33</v>
      </c>
      <c r="C9" s="366">
        <v>1449</v>
      </c>
      <c r="D9" s="373">
        <f>IF(inputPrYr!H18&gt;0,inputPrYr!G19,inputPrYr!E19)</f>
        <v>1360</v>
      </c>
      <c r="E9" s="128" t="s">
        <v>28</v>
      </c>
    </row>
    <row r="10" spans="2:5" ht="15.75">
      <c r="B10" s="119" t="s">
        <v>34</v>
      </c>
      <c r="C10" s="366">
        <v>1</v>
      </c>
      <c r="D10" s="366"/>
      <c r="E10" s="198"/>
    </row>
    <row r="11" spans="2:5" ht="15.75">
      <c r="B11" s="119" t="s">
        <v>35</v>
      </c>
      <c r="C11" s="366">
        <v>56</v>
      </c>
      <c r="D11" s="366">
        <v>53</v>
      </c>
      <c r="E11" s="45">
        <f>mvalloc!D11</f>
        <v>57</v>
      </c>
    </row>
    <row r="12" spans="2:5" ht="15.75">
      <c r="B12" s="119" t="s">
        <v>36</v>
      </c>
      <c r="C12" s="366">
        <v>1</v>
      </c>
      <c r="D12" s="366">
        <v>1</v>
      </c>
      <c r="E12" s="45">
        <f>mvalloc!E11</f>
        <v>1</v>
      </c>
    </row>
    <row r="13" spans="2:5" ht="15.75">
      <c r="B13" s="227" t="s">
        <v>109</v>
      </c>
      <c r="C13" s="366">
        <v>54</v>
      </c>
      <c r="D13" s="366">
        <v>40</v>
      </c>
      <c r="E13" s="45">
        <f>mvalloc!F11</f>
        <v>37</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1561</v>
      </c>
      <c r="D33" s="368">
        <f>SUM(D9:D31)</f>
        <v>1454</v>
      </c>
      <c r="E33" s="234">
        <f>SUM(E9:E31)</f>
        <v>95</v>
      </c>
    </row>
    <row r="34" spans="2:5" ht="15.75">
      <c r="B34" s="233" t="s">
        <v>40</v>
      </c>
      <c r="C34" s="368">
        <f>C7+C33</f>
        <v>3788</v>
      </c>
      <c r="D34" s="368">
        <f>D7+D33</f>
        <v>4642</v>
      </c>
      <c r="E34" s="234">
        <f>E7+E33</f>
        <v>2039</v>
      </c>
    </row>
    <row r="35" spans="2:5" ht="15.75">
      <c r="B35" s="119" t="s">
        <v>41</v>
      </c>
      <c r="C35" s="121"/>
      <c r="D35" s="121"/>
      <c r="E35" s="36"/>
    </row>
    <row r="36" spans="2:5" ht="15.75">
      <c r="B36" s="228" t="s">
        <v>794</v>
      </c>
      <c r="C36" s="366">
        <v>600</v>
      </c>
      <c r="D36" s="366">
        <v>600</v>
      </c>
      <c r="E36" s="198">
        <v>800</v>
      </c>
    </row>
    <row r="37" spans="2:5" ht="15.75">
      <c r="B37" s="228" t="s">
        <v>795</v>
      </c>
      <c r="C37" s="366"/>
      <c r="D37" s="366">
        <v>2098</v>
      </c>
      <c r="E37" s="198">
        <v>2629</v>
      </c>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600</v>
      </c>
      <c r="D61" s="368">
        <f>SUM(D36:D59)</f>
        <v>2698</v>
      </c>
      <c r="E61" s="234">
        <f>SUM(E36:E59)</f>
        <v>3429</v>
      </c>
      <c r="F61" s="16"/>
      <c r="G61" s="489">
        <f>D62</f>
        <v>1944</v>
      </c>
      <c r="H61" s="488" t="str">
        <f>CONCATENATE("",E3-1," Ending Cash Balance (est.)")</f>
        <v>2013 Ending Cash Balance (est.)</v>
      </c>
      <c r="I61" s="584"/>
      <c r="J61" s="483"/>
      <c r="K61" s="16"/>
    </row>
    <row r="62" spans="2:11" ht="15.75">
      <c r="B62" s="119" t="s">
        <v>126</v>
      </c>
      <c r="C62" s="369">
        <f>C34-C61</f>
        <v>3188</v>
      </c>
      <c r="D62" s="369">
        <f>D34-D61</f>
        <v>1944</v>
      </c>
      <c r="E62" s="128" t="s">
        <v>28</v>
      </c>
      <c r="F62" s="16"/>
      <c r="G62" s="489">
        <f>E33</f>
        <v>95</v>
      </c>
      <c r="H62" s="482" t="str">
        <f>CONCATENATE("",E3," Non-AV Receipts (est.)")</f>
        <v>2014 Non-AV Receipts (est.)</v>
      </c>
      <c r="I62" s="584"/>
      <c r="J62" s="483"/>
      <c r="K62" s="16"/>
    </row>
    <row r="63" spans="2:11" ht="15.75">
      <c r="B63" s="138" t="str">
        <f>CONCATENATE("",E3-2,"/",E3-1," Budget Authority Amount:")</f>
        <v>2012/2013 Budget Authority Amount:</v>
      </c>
      <c r="C63" s="120">
        <f>inputOth!B41</f>
        <v>2439</v>
      </c>
      <c r="D63" s="387">
        <f>inputPrYr!D19</f>
        <v>2698</v>
      </c>
      <c r="E63" s="128" t="s">
        <v>28</v>
      </c>
      <c r="F63" s="251"/>
      <c r="G63" s="481">
        <f>IF(E67&gt;0,E66,E68)</f>
        <v>1390</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3429</v>
      </c>
      <c r="H64" s="482" t="str">
        <f>CONCATENATE("Total ",E3," Resources Available")</f>
        <v>Total 2014 Resources Available</v>
      </c>
      <c r="I64" s="584"/>
      <c r="J64" s="483"/>
      <c r="K64" s="16"/>
    </row>
    <row r="65" spans="2:11" ht="15.75">
      <c r="B65" s="385" t="str">
        <f>CONCATENATE(C81,"     ",D81)</f>
        <v>     </v>
      </c>
      <c r="C65" s="696" t="s">
        <v>659</v>
      </c>
      <c r="D65" s="697"/>
      <c r="E65" s="45">
        <f>E61+E64</f>
        <v>3429</v>
      </c>
      <c r="F65" s="16"/>
      <c r="G65" s="480"/>
      <c r="H65" s="482"/>
      <c r="I65" s="482"/>
      <c r="J65" s="483"/>
      <c r="K65" s="16"/>
    </row>
    <row r="66" spans="2:11" ht="15.75">
      <c r="B66" s="385" t="str">
        <f>CONCATENATE(C82,"     ",D82)</f>
        <v>     </v>
      </c>
      <c r="C66" s="493"/>
      <c r="D66" s="492" t="s">
        <v>660</v>
      </c>
      <c r="E66" s="42">
        <f>IF(E65-E34&gt;0,E65-E34,0)</f>
        <v>1390</v>
      </c>
      <c r="F66" s="16"/>
      <c r="G66" s="481">
        <f>ROUND(C61*0.05+C61,0)</f>
        <v>630</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2799</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1390</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1.323</v>
      </c>
      <c r="H71" s="488" t="str">
        <f>CONCATENATE("",E3," Fund Mill Rate")</f>
        <v>2014 Fund Mill Rate</v>
      </c>
      <c r="I71" s="570"/>
      <c r="J71" s="589"/>
      <c r="K71" s="16"/>
    </row>
    <row r="72" spans="2:11" ht="15.75">
      <c r="B72" s="18"/>
      <c r="C72" s="18"/>
      <c r="D72" s="18"/>
      <c r="E72" s="18"/>
      <c r="F72" s="591"/>
      <c r="G72" s="592">
        <f>summ!E16</f>
        <v>1.192</v>
      </c>
      <c r="H72" s="488" t="str">
        <f>CONCATENATE("",E3-1," Fund Mill Rate")</f>
        <v>2013 Fund Mill Rate</v>
      </c>
      <c r="I72" s="570"/>
      <c r="J72" s="589"/>
      <c r="K72" s="16"/>
    </row>
    <row r="73" spans="2:11" ht="15.75">
      <c r="B73" s="18"/>
      <c r="C73" s="222"/>
      <c r="D73" s="222"/>
      <c r="E73" s="222"/>
      <c r="F73" s="575"/>
      <c r="G73" s="593">
        <f>summ!H23</f>
        <v>1.323</v>
      </c>
      <c r="H73" s="488" t="str">
        <f>CONCATENATE("Total ",E3," Mill Rate")</f>
        <v>Total 2014 Mill Rate</v>
      </c>
      <c r="I73" s="570"/>
      <c r="J73" s="589"/>
      <c r="K73" s="16"/>
    </row>
    <row r="74" spans="2:11" ht="15.75">
      <c r="B74" s="138"/>
      <c r="C74" s="18" t="s">
        <v>227</v>
      </c>
      <c r="D74" s="18"/>
      <c r="E74" s="18"/>
      <c r="F74" s="575"/>
      <c r="G74" s="592">
        <f>summ!E23</f>
        <v>1.192</v>
      </c>
      <c r="H74" s="594" t="str">
        <f>CONCATENATE("Total ",E3-1," Mill Rate")</f>
        <v>Total 2013 Mill Rate</v>
      </c>
      <c r="I74" s="595"/>
      <c r="J74" s="78"/>
      <c r="K74" s="16"/>
    </row>
    <row r="76" spans="2:9" ht="15.75">
      <c r="B76" s="61"/>
      <c r="G76" s="631" t="s">
        <v>784</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Independence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1.323</v>
      </c>
      <c r="H65" s="488" t="str">
        <f>CONCATENATE("Total ",E1," Mill Rate")</f>
        <v>Total 2014 Mill Rate</v>
      </c>
      <c r="I65" s="570"/>
      <c r="J65" s="589"/>
      <c r="K65" s="597"/>
    </row>
    <row r="66" spans="6:11" ht="15.75">
      <c r="F66"/>
      <c r="G66" s="592">
        <f>summ!E23</f>
        <v>1.192</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Independence Cemetery</v>
      </c>
      <c r="C1" s="18"/>
      <c r="D1" s="18"/>
      <c r="E1" s="182"/>
    </row>
    <row r="2" spans="2:5" ht="15.75">
      <c r="B2" s="18" t="str">
        <f>inputPrYr!D4</f>
        <v>Osborne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1.323</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1.192</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1.323</v>
      </c>
      <c r="H86" s="488" t="str">
        <f>CONCATENATE("Total ",E3," Mill Rate")</f>
        <v>Total 2014 Mill Rate</v>
      </c>
      <c r="I86" s="570"/>
      <c r="J86" s="589"/>
      <c r="K86" s="16"/>
    </row>
    <row r="87" spans="3:11" ht="15.75" customHeight="1">
      <c r="C87" s="95">
        <f>IF(C33&gt;C35,"See Tab A","")</f>
      </c>
      <c r="D87" s="95">
        <f>IF(D33&gt;D35,"See Tab C","")</f>
      </c>
      <c r="F87" s="16"/>
      <c r="G87" s="592">
        <f>summ!E23</f>
        <v>1.192</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Independence Cemetery</v>
      </c>
      <c r="C1" s="222"/>
      <c r="D1" s="18"/>
      <c r="E1" s="182"/>
    </row>
    <row r="2" spans="2:5" ht="15.75">
      <c r="B2" s="18" t="str">
        <f>inputPrYr!D4</f>
        <v>Osborne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Independence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D4">
      <selection activeCell="A5" sqref="A5:H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Independence Cemetery</v>
      </c>
      <c r="B4" s="650"/>
      <c r="C4" s="650"/>
      <c r="D4" s="650"/>
      <c r="E4" s="650"/>
      <c r="F4" s="650"/>
      <c r="G4" s="650"/>
      <c r="H4" s="650"/>
    </row>
    <row r="5" spans="1:8" ht="15.75">
      <c r="A5" s="709" t="str">
        <f>inputPrYr!D4</f>
        <v>Osborne County</v>
      </c>
      <c r="B5" s="709"/>
      <c r="C5" s="709"/>
      <c r="D5" s="709"/>
      <c r="E5" s="709"/>
      <c r="F5" s="709"/>
      <c r="G5" s="709"/>
      <c r="H5" s="709"/>
    </row>
    <row r="6" spans="1:8" ht="15.75">
      <c r="A6" s="668" t="str">
        <f>CONCATENATE("will meet on ",inputBudSum!B7," at ",inputBudSum!B9," at ",inputBudSum!B11," for the purpose of hearing and")</f>
        <v>will meet on August 12, 2013 at 2:00 p.m. at Osborne County Courthouse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1051</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600</v>
      </c>
      <c r="C16" s="622">
        <f>IF(inputPrYr!D38&gt;0,inputPrYr!D38,"  ")</f>
        <v>1.166</v>
      </c>
      <c r="D16" s="560">
        <f>IF(gen!$D$61&lt;&gt;0,gen!$D$61,"  ")</f>
        <v>2698</v>
      </c>
      <c r="E16" s="625">
        <f>IF(inputOth!D16&gt;0,inputOth!D16,"  ")</f>
        <v>1.192</v>
      </c>
      <c r="F16" s="560">
        <f>IF(gen!$E$61&lt;&gt;0,gen!$E$61,"  ")</f>
        <v>3429</v>
      </c>
      <c r="G16" s="243">
        <f>IF(gen!$E$68&lt;&gt;0,gen!$E$68,"  ")</f>
        <v>1390</v>
      </c>
      <c r="H16" s="622">
        <f>IF(gen!E68&gt;0,ROUND(G16/$F$27*1000,3)," ")</f>
        <v>1.323</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1.192</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-138</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600</v>
      </c>
      <c r="C23" s="624">
        <f aca="true" t="shared" si="0" ref="C23:H23">SUM(C16:C21)</f>
        <v>1.166</v>
      </c>
      <c r="D23" s="619">
        <f t="shared" si="0"/>
        <v>2698</v>
      </c>
      <c r="E23" s="627">
        <f t="shared" si="0"/>
        <v>1.192</v>
      </c>
      <c r="F23" s="619">
        <f t="shared" si="0"/>
        <v>3429</v>
      </c>
      <c r="G23" s="619">
        <f t="shared" si="0"/>
        <v>1390</v>
      </c>
      <c r="H23" s="627">
        <f t="shared" si="0"/>
        <v>1.323</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600</v>
      </c>
      <c r="C25" s="296"/>
      <c r="D25" s="129">
        <f>SUM(D23-D24)</f>
        <v>2698</v>
      </c>
      <c r="E25" s="296"/>
      <c r="F25" s="484">
        <f>SUM(F23-F24)</f>
        <v>3429</v>
      </c>
      <c r="G25" s="238"/>
      <c r="H25" s="295"/>
      <c r="J25" s="503" t="str">
        <f>CONCATENATE("",I3," Ad Valorem Tax Revenue:")</f>
        <v>2014 Ad Valorem Tax Revenue:</v>
      </c>
      <c r="K25" s="498"/>
      <c r="L25" s="498"/>
      <c r="M25" s="499">
        <f>G23</f>
        <v>1390</v>
      </c>
    </row>
    <row r="26" spans="1:13" ht="16.5" thickTop="1">
      <c r="A26" s="33" t="s">
        <v>54</v>
      </c>
      <c r="B26" s="619">
        <f>inputPrYr!E44</f>
        <v>1360</v>
      </c>
      <c r="C26" s="215"/>
      <c r="D26" s="619">
        <f>inputPrYr!E24</f>
        <v>1360</v>
      </c>
      <c r="E26" s="215"/>
      <c r="F26" s="83" t="s">
        <v>174</v>
      </c>
      <c r="G26" s="18"/>
      <c r="H26" s="18"/>
      <c r="J26" s="503" t="str">
        <f>CONCATENATE("",I3-1," Ad Valorem Tax Revenue:")</f>
        <v>2013 Ad Valorem Tax Revenue:</v>
      </c>
      <c r="K26" s="498"/>
      <c r="L26" s="498"/>
      <c r="M26" s="512">
        <f>ROUND(F27*M18/1000,0)</f>
        <v>1252</v>
      </c>
    </row>
    <row r="27" spans="1:13" ht="15.75">
      <c r="A27" s="33" t="s">
        <v>170</v>
      </c>
      <c r="B27" s="42">
        <f>inputPrYr!E45</f>
        <v>1166614</v>
      </c>
      <c r="C27" s="215"/>
      <c r="D27" s="42">
        <f>inputOth!E24</f>
        <v>1141779</v>
      </c>
      <c r="E27" s="215"/>
      <c r="F27" s="42">
        <f>inputOth!E7</f>
        <v>1050553</v>
      </c>
      <c r="G27" s="18"/>
      <c r="H27" s="18"/>
      <c r="J27" s="513" t="s">
        <v>667</v>
      </c>
      <c r="K27" s="514"/>
      <c r="L27" s="514"/>
      <c r="M27" s="502">
        <f>M25-M26</f>
        <v>138</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1.323</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Rodney Shike, Independence Cemeter</v>
      </c>
      <c r="B40" s="676"/>
      <c r="C40" s="99"/>
      <c r="D40" s="18"/>
      <c r="E40" s="18"/>
      <c r="F40" s="18"/>
      <c r="G40" s="18"/>
      <c r="H40" s="52"/>
    </row>
    <row r="41" spans="1:8" ht="15.75">
      <c r="A41" s="710" t="str">
        <f>inputBudSum!B5</f>
        <v>Treasurer</v>
      </c>
      <c r="B41" s="711"/>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Independence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1050553</v>
      </c>
      <c r="E16" s="18"/>
      <c r="F16" s="52"/>
    </row>
    <row r="17" spans="1:6" ht="15.75">
      <c r="A17" s="18"/>
      <c r="B17" s="18"/>
      <c r="C17" s="18"/>
      <c r="D17" s="18"/>
      <c r="E17" s="18"/>
      <c r="F17" s="52"/>
    </row>
    <row r="18" spans="1:6" ht="15.75">
      <c r="A18" s="18"/>
      <c r="B18" s="723" t="s">
        <v>318</v>
      </c>
      <c r="C18" s="723"/>
      <c r="D18" s="309">
        <f>IF(D16&gt;0,(D16*0.001),"")</f>
        <v>1050.553</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Independence Cemetery District with respect to financing the 2014 annual budget for Independence Cemetery , Osborne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Independence Cemetery district budget exceed the amount levied to finance the</v>
      </c>
      <c r="C9"/>
      <c r="D9"/>
      <c r="E9"/>
      <c r="F9"/>
      <c r="G9"/>
      <c r="H9"/>
    </row>
    <row r="10" spans="2:8" ht="15.75">
      <c r="B10" s="12" t="str">
        <f>CONCATENATE("",inputPrYr!D6-1," ",inputPrYr!D3," except with regard to revenue produced and attributable to the")</f>
        <v>2013 Independence Cemetery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Independence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Independence Cemetery that is our desire to notify the public of the possibility of increased property taxes to finance the 2014 Independence Cemetery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Independence Cemetery District Board, Osborne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Independence Cemetery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2698</v>
      </c>
      <c r="E19" s="35">
        <v>1360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1360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2698</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1.166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1.166</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1360</v>
      </c>
    </row>
    <row r="45" spans="1:5" ht="15.75">
      <c r="A45" s="49" t="str">
        <f>CONCATENATE("Assessed Valuation (",D6-2," budget column)")</f>
        <v>Assessed Valuation (2012 budget column)</v>
      </c>
      <c r="B45" s="27"/>
      <c r="C45" s="18"/>
      <c r="D45" s="18"/>
      <c r="E45" s="51">
        <v>1166614</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Independence Cemetery</v>
      </c>
      <c r="B1" s="60"/>
      <c r="C1" s="60"/>
      <c r="D1" s="60"/>
      <c r="E1" s="60">
        <f>inputPrYr!D6</f>
        <v>2014</v>
      </c>
    </row>
    <row r="2" spans="1:5" ht="15.75">
      <c r="A2" s="60" t="str">
        <f>inputPrYr!D4</f>
        <v>Osborne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1050553</v>
      </c>
    </row>
    <row r="8" spans="1:5" ht="15.75">
      <c r="A8" s="66" t="str">
        <f>CONCATENATE("New Improvements for ",inputPrYr!D6-1,"")</f>
        <v>New Improvements for 2013</v>
      </c>
      <c r="B8" s="67"/>
      <c r="C8" s="67"/>
      <c r="D8" s="67"/>
      <c r="E8" s="68">
        <v>12988</v>
      </c>
    </row>
    <row r="9" spans="1:5" ht="15.75">
      <c r="A9" s="66" t="str">
        <f>CONCATENATE("Personal Property excluding oil, gas, and mobile homes- ",inputPrYr!D6-1,"")</f>
        <v>Personal Property excluding oil, gas, and mobile homes- 2013</v>
      </c>
      <c r="B9" s="67"/>
      <c r="C9" s="67"/>
      <c r="D9" s="67"/>
      <c r="E9" s="68">
        <v>57234</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48249</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1.192</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1.192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1141779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57</v>
      </c>
    </row>
    <row r="28" spans="1:5" ht="15.75">
      <c r="A28" s="66" t="s">
        <v>15</v>
      </c>
      <c r="B28" s="67"/>
      <c r="C28" s="67"/>
      <c r="D28" s="84"/>
      <c r="E28" s="35">
        <v>1</v>
      </c>
    </row>
    <row r="29" spans="1:5" ht="15.75">
      <c r="A29" s="66" t="s">
        <v>171</v>
      </c>
      <c r="B29" s="67"/>
      <c r="C29" s="67"/>
      <c r="D29" s="84"/>
      <c r="E29" s="35">
        <v>37</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2439</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797</v>
      </c>
      <c r="C5" s="339"/>
      <c r="D5" s="340"/>
      <c r="E5" s="339"/>
      <c r="F5" s="339"/>
      <c r="J5" s="539" t="s">
        <v>715</v>
      </c>
    </row>
    <row r="6" spans="1:10" ht="15.75">
      <c r="A6" s="339"/>
      <c r="B6" s="339"/>
      <c r="C6" s="339"/>
      <c r="D6" s="340"/>
      <c r="E6" s="339"/>
      <c r="F6" s="339"/>
      <c r="J6" s="539" t="s">
        <v>716</v>
      </c>
    </row>
    <row r="7" spans="1:10" ht="15.75">
      <c r="A7" s="341" t="s">
        <v>320</v>
      </c>
      <c r="B7" s="342" t="s">
        <v>798</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 2013</v>
      </c>
      <c r="E8" s="339"/>
      <c r="F8" s="339"/>
      <c r="J8" s="539" t="s">
        <v>718</v>
      </c>
    </row>
    <row r="9" spans="1:10" ht="15.75">
      <c r="A9" s="341" t="s">
        <v>321</v>
      </c>
      <c r="B9" s="342" t="s">
        <v>799</v>
      </c>
      <c r="C9" s="346"/>
      <c r="D9" s="341"/>
      <c r="E9" s="339"/>
      <c r="F9" s="339"/>
      <c r="J9" s="539" t="s">
        <v>719</v>
      </c>
    </row>
    <row r="10" spans="1:10" ht="15.75">
      <c r="A10" s="341"/>
      <c r="B10" s="341"/>
      <c r="C10" s="341"/>
      <c r="D10" s="341"/>
      <c r="E10" s="339"/>
      <c r="F10" s="339"/>
      <c r="J10" s="539" t="s">
        <v>720</v>
      </c>
    </row>
    <row r="11" spans="1:10" ht="15.75">
      <c r="A11" s="341" t="s">
        <v>322</v>
      </c>
      <c r="B11" s="347" t="s">
        <v>800</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801</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41488</v>
      </c>
    </row>
    <row r="21" spans="1:7" ht="15.75">
      <c r="A21" s="341" t="s">
        <v>321</v>
      </c>
      <c r="B21" s="341" t="s">
        <v>326</v>
      </c>
      <c r="C21" s="341"/>
      <c r="D21" s="341"/>
      <c r="E21" s="341"/>
      <c r="G21" s="543">
        <f>IF(B7="","",MONTH(G20))</f>
        <v>8</v>
      </c>
    </row>
    <row r="22" spans="1:7" ht="15.75">
      <c r="A22" s="341"/>
      <c r="B22" s="341"/>
      <c r="C22" s="341"/>
      <c r="D22" s="341"/>
      <c r="E22" s="341"/>
      <c r="G22" s="544">
        <f>IF(B7="","",DAY(G20))</f>
        <v>2</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24" sqref="G2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Osborne County, State of Kansas</v>
      </c>
      <c r="B4" s="668"/>
      <c r="C4" s="668"/>
      <c r="D4" s="668"/>
      <c r="E4" s="668"/>
      <c r="F4" s="668"/>
      <c r="G4" s="668"/>
    </row>
    <row r="5" spans="1:7" ht="15.75">
      <c r="A5" s="97" t="s">
        <v>156</v>
      </c>
      <c r="B5" s="24"/>
      <c r="C5" s="24"/>
      <c r="D5" s="24"/>
      <c r="E5" s="24"/>
      <c r="F5" s="24"/>
      <c r="G5" s="24"/>
    </row>
    <row r="6" spans="1:7" ht="15.75">
      <c r="A6" s="650" t="str">
        <f>inputPrYr!D3</f>
        <v>Independence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3429</v>
      </c>
      <c r="F23" s="558">
        <f>IF(gen!$E$68&lt;&gt;0,gen!$E$68,"  ")</f>
        <v>1390</v>
      </c>
      <c r="G23" s="559">
        <v>1.324</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3429</v>
      </c>
      <c r="F30" s="565">
        <f>SUM(F23:F28)</f>
        <v>1390</v>
      </c>
      <c r="G30" s="566">
        <f>IF(SUM(G23:G28)=0,"",SUM(G23:G28))</f>
        <v>1.324</v>
      </c>
    </row>
    <row r="31" spans="1:7" ht="15.75">
      <c r="A31" s="119" t="s">
        <v>204</v>
      </c>
      <c r="B31" s="67"/>
      <c r="C31" s="116"/>
      <c r="D31" s="131">
        <f>summ!E41</f>
        <v>0</v>
      </c>
      <c r="E31" s="135" t="s">
        <v>199</v>
      </c>
      <c r="F31" s="383" t="str">
        <f>IF(F30&gt;computation!J34,"Yes","No")</f>
        <v>Yes</v>
      </c>
      <c r="G31" s="384" t="s">
        <v>136</v>
      </c>
    </row>
    <row r="32" spans="1:7" ht="15.75">
      <c r="A32" s="119" t="s">
        <v>219</v>
      </c>
      <c r="B32" s="133"/>
      <c r="C32" s="134"/>
      <c r="D32" s="131">
        <f>IF(Nhood!C35=0,"",Nhood!C35)</f>
      </c>
      <c r="E32" s="382"/>
      <c r="F32" s="69"/>
      <c r="G32" s="140">
        <v>1050553</v>
      </c>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t="s">
        <v>802</v>
      </c>
      <c r="B36" s="520"/>
      <c r="C36" s="69"/>
      <c r="D36" s="69"/>
      <c r="E36" s="139"/>
      <c r="F36" s="69"/>
      <c r="G36" s="18"/>
    </row>
    <row r="37" spans="1:7" ht="15.75">
      <c r="A37" s="521" t="s">
        <v>803</v>
      </c>
      <c r="B37" s="521"/>
      <c r="C37" s="69"/>
      <c r="D37" s="69"/>
      <c r="E37" s="391"/>
      <c r="F37" s="69"/>
      <c r="G37" s="69"/>
    </row>
    <row r="38" spans="1:7" ht="15.75">
      <c r="A38" s="20" t="s">
        <v>564</v>
      </c>
      <c r="B38" s="69"/>
      <c r="C38" s="69"/>
      <c r="D38" s="69"/>
      <c r="E38" s="553"/>
      <c r="F38" s="69"/>
      <c r="G38" s="69"/>
    </row>
    <row r="39" spans="1:7" ht="15.75">
      <c r="A39" s="520" t="s">
        <v>804</v>
      </c>
      <c r="B39" s="520"/>
      <c r="C39" s="69"/>
      <c r="D39" s="69" t="s">
        <v>729</v>
      </c>
      <c r="E39" s="554"/>
      <c r="F39" s="554"/>
      <c r="G39" s="69"/>
    </row>
    <row r="40" spans="1:7" ht="15.75">
      <c r="A40" s="521" t="s">
        <v>805</v>
      </c>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Independence Cemetery</v>
      </c>
      <c r="D1" s="18"/>
      <c r="E1" s="18"/>
      <c r="F1" s="18"/>
      <c r="G1" s="18"/>
      <c r="H1" s="18"/>
      <c r="I1" s="18"/>
      <c r="J1" s="18">
        <f>inputPrYr!D6</f>
        <v>2014</v>
      </c>
    </row>
    <row r="2" spans="1:10" ht="15.75" customHeight="1">
      <c r="A2" s="18"/>
      <c r="B2" s="18"/>
      <c r="C2" s="18" t="str">
        <f>inputPrYr!D4</f>
        <v>Osborne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1360</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1360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12988</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57234</v>
      </c>
      <c r="F14" s="146"/>
      <c r="G14" s="37"/>
      <c r="H14" s="37"/>
      <c r="I14" s="149"/>
      <c r="J14" s="37"/>
    </row>
    <row r="15" spans="1:10" ht="15.75">
      <c r="A15" s="145"/>
      <c r="B15" s="18" t="s">
        <v>99</v>
      </c>
      <c r="C15" s="18" t="str">
        <f>CONCATENATE("Personal Property ",J1-2,"")</f>
        <v>Personal Property 2012</v>
      </c>
      <c r="D15" s="145" t="s">
        <v>95</v>
      </c>
      <c r="E15" s="41">
        <f>inputOth!E11</f>
        <v>48249</v>
      </c>
      <c r="F15" s="146"/>
      <c r="G15" s="149"/>
      <c r="H15" s="149"/>
      <c r="I15" s="37"/>
      <c r="J15" s="37"/>
    </row>
    <row r="16" spans="1:10" ht="15.75">
      <c r="A16" s="145"/>
      <c r="B16" s="18" t="s">
        <v>100</v>
      </c>
      <c r="C16" s="18" t="s">
        <v>114</v>
      </c>
      <c r="D16" s="18"/>
      <c r="E16" s="37"/>
      <c r="F16" s="37" t="s">
        <v>92</v>
      </c>
      <c r="G16" s="148">
        <f>IF(E14&gt;E15,E14-E15,0)</f>
        <v>8985</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21973</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1050553</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1028580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0.02136246086838165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29</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1389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1389</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Independence Cemetery</v>
      </c>
      <c r="C1" s="18"/>
      <c r="D1" s="18"/>
      <c r="E1" s="18"/>
      <c r="F1" s="18"/>
      <c r="G1" s="18"/>
      <c r="H1" s="18"/>
      <c r="I1" s="155"/>
      <c r="J1" s="18"/>
    </row>
    <row r="2" spans="1:10" ht="15.75">
      <c r="A2" s="18"/>
      <c r="B2" s="18" t="str">
        <f>inputPrYr!D4</f>
        <v>Osborne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1360</v>
      </c>
      <c r="D11" s="123">
        <f>IF(E17=0,0,E17-D12-D13-D14)</f>
        <v>57</v>
      </c>
      <c r="E11" s="123">
        <f>IF(E19=0,0,E19-E12-E13-E14)</f>
        <v>1</v>
      </c>
      <c r="F11" s="123">
        <f>IF(E21=0,0,E21-F12-F13-F14)</f>
        <v>37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1360</v>
      </c>
      <c r="D15" s="130">
        <f>SUM(D11:D14)</f>
        <v>57</v>
      </c>
      <c r="E15" s="130">
        <f>SUM(E11:E14)</f>
        <v>1</v>
      </c>
      <c r="F15" s="203">
        <f>SUM(F11:F14)</f>
        <v>37</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57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0.04191176470588235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0.0007352941176470588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0.027205882352941177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Independence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2013-07-16T21:00:14Z</cp:lastPrinted>
  <dcterms:created xsi:type="dcterms:W3CDTF">1999-08-06T13:59:57Z</dcterms:created>
  <dcterms:modified xsi:type="dcterms:W3CDTF">2013-11-19T19:40:15Z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