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notice of 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'summ'!$A$1:$I$37</definedName>
  </definedNames>
  <calcPr fullCalcOnLoad="1"/>
</workbook>
</file>

<file path=xl/sharedStrings.xml><?xml version="1.0" encoding="utf-8"?>
<sst xmlns="http://schemas.openxmlformats.org/spreadsheetml/2006/main" count="1236" uniqueCount="830">
  <si>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</si>
  <si>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</si>
  <si>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</si>
  <si>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</si>
  <si>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</si>
  <si>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</si>
  <si>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</si>
  <si>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</si>
  <si>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</si>
  <si>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</si>
  <si>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</si>
  <si>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</si>
  <si>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</si>
  <si>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</si>
  <si>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</si>
  <si>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</si>
  <si>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</si>
  <si>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</si>
  <si>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</si>
  <si>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</si>
  <si>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</si>
  <si>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</si>
  <si>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</si>
  <si>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</si>
  <si>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</si>
  <si>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</si>
  <si>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</si>
  <si>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</si>
  <si>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</si>
  <si>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</si>
  <si>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</si>
  <si>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</si>
  <si>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</si>
  <si>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</si>
  <si>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</si>
  <si>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</si>
  <si>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</si>
  <si>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</si>
  <si>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</si>
  <si>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</si>
  <si>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</si>
  <si>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</si>
  <si>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</si>
  <si>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</si>
  <si>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</si>
  <si>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</si>
  <si>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</si>
  <si>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</si>
  <si>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</si>
  <si>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</si>
  <si>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</si>
  <si>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</si>
  <si>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</si>
  <si>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</si>
  <si>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</si>
  <si>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</si>
  <si>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</si>
  <si>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</si>
  <si>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</si>
  <si>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</si>
  <si>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</si>
  <si>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</si>
  <si>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</si>
  <si>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</si>
  <si>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</si>
  <si>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</si>
  <si>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</si>
  <si>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</si>
  <si>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</si>
  <si>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</si>
  <si>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</si>
  <si>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</si>
  <si>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</si>
  <si>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</si>
  <si>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</si>
  <si>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</si>
  <si>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</si>
  <si>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</si>
  <si>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</si>
  <si>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</si>
  <si>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</si>
  <si>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</si>
  <si>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</si>
  <si>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</si>
  <si>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</si>
  <si>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</si>
  <si>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</si>
  <si>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</si>
  <si>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</si>
  <si>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</si>
  <si>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</si>
  <si>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</si>
  <si>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</si>
  <si>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</si>
  <si>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</si>
  <si>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</si>
  <si>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</si>
  <si>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</si>
  <si>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</si>
  <si>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</si>
  <si>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</si>
  <si>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</si>
  <si>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</si>
  <si>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</si>
  <si>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</si>
  <si>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</si>
  <si>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</si>
  <si>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</si>
  <si>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</si>
  <si>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</si>
  <si>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</si>
  <si>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</si>
  <si>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</si>
  <si>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</si>
  <si>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</si>
  <si>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</si>
  <si>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</si>
  <si>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</si>
  <si>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</si>
  <si>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</si>
  <si>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</si>
  <si>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</si>
  <si>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</si>
  <si>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</si>
  <si>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</si>
  <si>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</si>
  <si>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</si>
  <si>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</si>
  <si>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</si>
  <si>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</si>
  <si>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</si>
  <si>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</si>
  <si>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</si>
  <si>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</si>
  <si>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</si>
  <si>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</si>
  <si>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</si>
  <si>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</si>
  <si>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</si>
  <si>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</si>
  <si>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</si>
  <si>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</si>
  <si>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</si>
  <si>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</si>
  <si>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</si>
  <si>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</si>
  <si>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</si>
  <si>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</si>
  <si>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</si>
  <si>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</si>
  <si>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</si>
  <si>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</si>
  <si>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</si>
  <si>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</si>
  <si>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</si>
  <si>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</si>
  <si>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</si>
  <si>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</si>
  <si>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</si>
  <si>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</si>
  <si>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</si>
  <si>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</si>
  <si>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</si>
  <si>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</si>
  <si>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</si>
  <si>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</si>
  <si>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</si>
  <si>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</si>
  <si>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</si>
  <si>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</si>
  <si>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</si>
  <si>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</si>
  <si>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</si>
  <si>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</si>
  <si>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</si>
  <si>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</si>
  <si>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</si>
  <si>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</si>
  <si>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</si>
  <si>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</si>
  <si>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</si>
  <si>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</si>
  <si>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</si>
  <si>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</si>
  <si>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</si>
  <si>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</si>
  <si>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</si>
  <si>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</si>
  <si>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</si>
  <si>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</si>
  <si>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</si>
  <si>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</si>
  <si>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</si>
  <si>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</si>
  <si>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</si>
  <si>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</si>
  <si>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</si>
  <si>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</si>
  <si>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</si>
  <si>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</si>
  <si>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</si>
  <si>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</si>
  <si>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</si>
  <si>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</si>
  <si>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</si>
  <si>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</si>
  <si>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</si>
  <si>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</si>
  <si>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</si>
  <si>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</si>
  <si>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</si>
  <si>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</si>
  <si>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</si>
  <si>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</si>
  <si>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</si>
  <si>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</si>
  <si>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</si>
  <si>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</si>
  <si>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</si>
  <si>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</si>
  <si>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</si>
  <si>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</si>
  <si>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</si>
  <si>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</si>
  <si>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</si>
  <si>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</si>
  <si>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</si>
  <si>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</si>
  <si>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</si>
  <si>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</si>
  <si>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</si>
  <si>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</si>
  <si>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</si>
  <si>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</si>
  <si>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</si>
  <si>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</si>
  <si>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</si>
  <si>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</si>
  <si>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</si>
  <si>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</si>
  <si>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</si>
  <si>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</si>
  <si>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</si>
  <si>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</si>
  <si>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</si>
  <si>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</si>
  <si>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</si>
  <si>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</si>
  <si>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</si>
  <si>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</si>
  <si>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</si>
  <si>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</si>
  <si>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</si>
  <si>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</si>
  <si>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</si>
  <si>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</si>
  <si>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</si>
  <si>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</si>
  <si>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</si>
  <si>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</si>
  <si>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</si>
  <si>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</si>
  <si>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</si>
  <si>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</si>
  <si>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</si>
  <si>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</si>
  <si>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</si>
  <si>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</si>
  <si>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</si>
  <si>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</si>
  <si>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</si>
  <si>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</si>
  <si>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</si>
  <si>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</si>
  <si>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</si>
  <si>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</si>
  <si>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</si>
  <si>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</si>
  <si>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</si>
  <si>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</si>
  <si>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</si>
  <si>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</si>
  <si>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</si>
  <si>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</si>
  <si>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</si>
  <si>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</si>
  <si>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</si>
  <si>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</si>
  <si>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</si>
  <si>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</si>
  <si>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</si>
  <si>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</si>
  <si>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</si>
  <si>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</si>
  <si>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</si>
  <si>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</si>
  <si>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</si>
  <si>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</si>
  <si>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</si>
  <si>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</si>
  <si>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</si>
  <si>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</si>
  <si>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</si>
  <si>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</si>
  <si>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</si>
  <si>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</si>
  <si>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</si>
  <si>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</si>
  <si>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</si>
  <si>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</si>
  <si>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</si>
  <si>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</si>
  <si>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</si>
  <si>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</si>
  <si>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</si>
  <si>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</si>
  <si>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</si>
  <si>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</si>
  <si>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</si>
  <si>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</si>
  <si>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</si>
  <si>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</si>
  <si>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</si>
  <si>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</si>
  <si>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</si>
  <si>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</si>
  <si>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</si>
  <si>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</si>
  <si>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</si>
  <si>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</si>
  <si>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</si>
  <si>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</si>
  <si>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</si>
  <si>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</si>
  <si>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</si>
  <si>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</si>
  <si>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</si>
  <si>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</si>
  <si>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</si>
  <si>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</si>
  <si>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</si>
  <si>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</si>
  <si>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</si>
  <si>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</si>
  <si>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</si>
  <si>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</si>
  <si>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</si>
  <si>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</si>
  <si>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</si>
  <si>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</si>
  <si>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</si>
  <si>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</si>
  <si>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</si>
  <si>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</si>
  <si>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</si>
  <si>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</si>
  <si>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</si>
  <si>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</si>
  <si>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</si>
  <si>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</si>
  <si>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</si>
  <si>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</si>
  <si>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</si>
  <si>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</si>
  <si>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</si>
  <si>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</si>
  <si>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</si>
  <si>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</si>
  <si>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</si>
  <si>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</si>
  <si>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</si>
  <si>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</si>
  <si>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</si>
  <si>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</si>
  <si>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</si>
  <si>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</si>
  <si>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</si>
  <si>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</si>
  <si>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</si>
  <si>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</si>
  <si>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</si>
  <si>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</si>
  <si>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</si>
  <si>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</si>
  <si>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</si>
  <si>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</si>
  <si>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</si>
  <si>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</si>
  <si>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</si>
  <si>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</si>
  <si>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</si>
  <si>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</si>
  <si>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</si>
  <si>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</si>
  <si>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</si>
  <si>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</si>
  <si>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</si>
  <si>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</si>
  <si>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</si>
  <si>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</si>
  <si>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</si>
  <si>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</si>
  <si>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</si>
  <si>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</si>
  <si>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</si>
  <si>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</si>
  <si>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</si>
  <si>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</si>
  <si>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</si>
  <si>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</si>
  <si>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</si>
  <si>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</si>
  <si>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</si>
  <si>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</si>
  <si>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</si>
  <si>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</si>
  <si>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</si>
  <si>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</si>
  <si>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</si>
  <si>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</si>
  <si>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</si>
  <si>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</si>
  <si>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</si>
  <si>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</si>
  <si>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</si>
  <si>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</si>
  <si>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</si>
  <si>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</si>
  <si>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</si>
  <si>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</si>
  <si>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</si>
  <si>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</si>
  <si>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</si>
  <si>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</si>
  <si>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</si>
  <si>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</si>
  <si>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</si>
  <si>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</si>
  <si>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</si>
  <si>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</si>
  <si>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</si>
  <si>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</si>
  <si>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</si>
  <si>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</si>
  <si>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</si>
  <si>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</si>
  <si>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</si>
  <si>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</si>
  <si>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</si>
  <si>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</si>
  <si>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</si>
  <si>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</si>
  <si>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</si>
  <si>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</si>
  <si>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</si>
  <si>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</si>
  <si>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</si>
  <si>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</si>
  <si>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</si>
  <si>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</si>
  <si>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</si>
  <si>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</si>
  <si>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</si>
  <si>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</si>
  <si>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</si>
  <si>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</si>
  <si>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</si>
  <si>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</si>
  <si>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</si>
  <si>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</si>
  <si>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</si>
  <si>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</si>
  <si>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</si>
  <si>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</si>
  <si>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</si>
  <si>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</si>
  <si>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</si>
  <si>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</si>
  <si>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</si>
  <si>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</si>
  <si>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</si>
  <si>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</si>
  <si>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</si>
  <si>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</si>
  <si>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</si>
  <si>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</si>
  <si>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</si>
  <si>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</si>
  <si>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</si>
  <si>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</si>
  <si>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</si>
  <si>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</si>
  <si>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</si>
  <si>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</si>
  <si>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</si>
  <si>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</si>
  <si>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</si>
  <si>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</si>
  <si>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</si>
  <si>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</si>
  <si>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</si>
  <si>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</si>
  <si>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</si>
  <si>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</si>
  <si>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</si>
  <si>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</si>
  <si>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</si>
  <si>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</si>
  <si>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</si>
  <si>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</si>
  <si>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</si>
  <si>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</si>
  <si>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</si>
  <si>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</si>
  <si>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</si>
  <si>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</si>
  <si>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</si>
  <si>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</si>
  <si>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</si>
  <si>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</si>
  <si>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</si>
  <si>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</si>
  <si>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</si>
  <si>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</si>
  <si>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</si>
  <si>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</si>
  <si>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</si>
  <si>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</si>
  <si>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</si>
  <si>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</si>
  <si>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</si>
  <si>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</si>
  <si>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</si>
  <si>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</si>
  <si>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</si>
  <si>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</si>
  <si>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</si>
  <si>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</si>
  <si>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</si>
  <si>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</si>
  <si>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</si>
  <si>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</si>
  <si>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</si>
  <si>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</si>
  <si>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</si>
  <si>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</si>
  <si>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</si>
  <si>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</si>
  <si>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</si>
  <si>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</si>
  <si>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</si>
  <si>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</si>
  <si>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</si>
  <si>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</si>
  <si>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</si>
  <si>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</si>
  <si>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</si>
  <si>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</si>
  <si>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</si>
  <si>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</si>
  <si>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</si>
  <si>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</si>
  <si>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</si>
  <si>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</si>
  <si>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</si>
  <si>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</si>
  <si>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</si>
  <si>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</si>
  <si>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</si>
  <si>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</si>
  <si>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</si>
  <si>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</si>
  <si>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</si>
  <si>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</si>
  <si>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</si>
  <si>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</si>
  <si>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</si>
  <si>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</si>
  <si>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</si>
  <si>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</si>
  <si>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</si>
  <si>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</si>
  <si>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</si>
  <si>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</si>
  <si>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</si>
  <si>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</si>
  <si>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</si>
  <si>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</si>
  <si>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</si>
  <si>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</si>
  <si>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</si>
  <si>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</si>
  <si>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</si>
  <si>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</si>
  <si>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</si>
  <si>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</si>
  <si>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</si>
  <si>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</si>
  <si>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</si>
  <si>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</si>
  <si>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</si>
  <si>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</si>
  <si>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</si>
  <si>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</si>
  <si>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</si>
  <si>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</si>
  <si>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</si>
  <si>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</si>
  <si>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</si>
  <si>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</si>
  <si>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</si>
  <si>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</si>
  <si>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</si>
  <si>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</si>
  <si>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</si>
  <si>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</si>
  <si>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</si>
  <si>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</si>
  <si>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</si>
  <si>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</si>
  <si>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</si>
  <si>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</si>
  <si>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</si>
  <si>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</si>
  <si>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</si>
  <si>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</si>
  <si>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</si>
  <si>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</si>
  <si>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</si>
  <si>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</si>
  <si>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</si>
  <si>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</si>
  <si>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</si>
  <si>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</si>
  <si>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</si>
  <si>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</si>
  <si>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</si>
  <si>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</si>
  <si>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</si>
  <si>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</si>
  <si>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</si>
  <si>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</si>
  <si>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</si>
  <si>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</si>
  <si>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</si>
  <si>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</si>
  <si>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</si>
  <si>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</si>
  <si>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</si>
  <si>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</si>
  <si>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</si>
  <si>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</si>
  <si>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</si>
  <si>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</si>
  <si>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</si>
  <si>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</si>
  <si>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</si>
  <si>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</si>
  <si>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</si>
  <si>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</si>
  <si>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</si>
  <si>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</si>
  <si>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</si>
  <si>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</si>
  <si>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</si>
  <si>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</si>
  <si>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</si>
  <si>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</si>
  <si>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</si>
  <si>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</si>
  <si>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</si>
  <si>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</si>
  <si>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</si>
  <si>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</si>
  <si>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</si>
  <si>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</si>
  <si>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</si>
  <si>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</si>
  <si>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</si>
  <si>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</si>
  <si>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</si>
  <si>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</si>
  <si>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</si>
  <si>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</si>
  <si>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</si>
  <si>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</si>
  <si>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</si>
  <si>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</si>
  <si>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</si>
  <si>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</si>
  <si>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</si>
  <si>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</si>
  <si>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</si>
  <si>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</si>
  <si>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</si>
  <si>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</si>
  <si>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</si>
  <si>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</si>
  <si>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</si>
  <si>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</si>
  <si>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</si>
  <si>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</si>
  <si>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</si>
  <si>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</si>
  <si>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</si>
  <si>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</si>
  <si>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</si>
  <si>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</si>
  <si>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</si>
  <si>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</si>
  <si>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</si>
  <si>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</si>
  <si>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</si>
  <si>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</si>
  <si>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</si>
  <si>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</si>
  <si>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</si>
  <si>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</si>
  <si>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</si>
  <si>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</si>
  <si>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</si>
  <si>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</si>
  <si>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</si>
  <si>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</si>
  <si>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</si>
  <si>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</si>
  <si>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</si>
  <si>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</si>
  <si>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</si>
  <si>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</si>
  <si>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</si>
  <si>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</si>
  <si>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</si>
  <si>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</si>
  <si>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</si>
  <si>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</si>
  <si>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</si>
  <si>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</si>
  <si>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</si>
  <si>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</si>
  <si>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</si>
  <si>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</si>
  <si>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</si>
  <si>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</si>
  <si>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</si>
  <si>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</si>
  <si>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</si>
  <si>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</si>
  <si>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</si>
  <si>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</si>
  <si>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</si>
  <si>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</si>
  <si>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</si>
  <si>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</si>
  <si>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</si>
  <si>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</si>
  <si>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</si>
  <si>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</si>
  <si>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</si>
  <si>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</si>
  <si>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</si>
  <si>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</si>
  <si>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</si>
  <si>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</si>
  <si>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</si>
  <si>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</si>
  <si>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</si>
  <si>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</si>
  <si>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</si>
  <si>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</si>
  <si>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</si>
  <si>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</si>
  <si>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</si>
  <si>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</si>
  <si>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</si>
  <si>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</si>
  <si>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</si>
  <si>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</si>
  <si>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</si>
  <si>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</si>
  <si>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</si>
  <si>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</si>
  <si>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</si>
  <si>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</si>
  <si>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</si>
  <si>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</si>
  <si>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</si>
  <si>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</si>
  <si>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</si>
  <si>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</si>
  <si>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</si>
  <si>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</si>
  <si>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</si>
  <si>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</si>
  <si>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</si>
  <si>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</si>
  <si>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</si>
  <si>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</si>
  <si>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</si>
  <si>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</si>
  <si>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</si>
  <si>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</si>
  <si>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</si>
  <si>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</si>
  <si>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</si>
  <si>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</si>
  <si>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Fairview (Menlo) Cemetery</t>
  </si>
  <si>
    <t>Thomas County</t>
  </si>
  <si>
    <t>Sheridan</t>
  </si>
  <si>
    <t>17-1330</t>
  </si>
  <si>
    <t>Leoma Steiger</t>
  </si>
  <si>
    <t>Secretary/Treasurer</t>
  </si>
  <si>
    <t>Leoma Steiger residence at 3526 County Rd O, Menlo, KS  67753</t>
  </si>
  <si>
    <t>Shelly A. Harms</t>
  </si>
  <si>
    <t>Thomas County Clerk</t>
  </si>
  <si>
    <t>Colby KS  67701</t>
  </si>
  <si>
    <t>tcc01@st-tel.net</t>
  </si>
  <si>
    <t>Sheridan County</t>
  </si>
  <si>
    <t>Operations/Supplies</t>
  </si>
  <si>
    <t xml:space="preserve">General Office </t>
  </si>
  <si>
    <t>Utilities/Weed Treatment</t>
  </si>
  <si>
    <t>Sale of Lots</t>
  </si>
  <si>
    <t>Repairs</t>
  </si>
  <si>
    <t>Budget Preparation</t>
  </si>
  <si>
    <t>Fuel</t>
  </si>
  <si>
    <t>Equipment Purchases</t>
  </si>
  <si>
    <t>August 10, 2013</t>
  </si>
  <si>
    <t>7:00 p.m.</t>
  </si>
  <si>
    <t>Donations</t>
  </si>
  <si>
    <t>1224 Court Place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</si>
</sst>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97">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4">
      <alignment/>
      <protection/>
    </xf>
    <xf numFmtId="0" fontId="7" fillId="0" borderId="0" xfId="474" applyFont="1">
      <alignment/>
      <protection/>
    </xf>
    <xf numFmtId="0" fontId="7" fillId="0" borderId="0" xfId="474" applyFont="1" applyAlignment="1">
      <alignment horizontal="left" indent="1"/>
      <protection/>
    </xf>
    <xf numFmtId="0" fontId="16" fillId="0" borderId="0" xfId="47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4"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4"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4"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2" applyFont="1" applyFill="1" applyAlignment="1" applyProtection="1">
      <alignment horizontal="centerContinuous" vertical="center"/>
      <protection/>
    </xf>
    <xf numFmtId="0" fontId="4" fillId="0" borderId="0" xfId="472" applyFont="1" applyAlignment="1" applyProtection="1">
      <alignment vertical="center"/>
      <protection locked="0"/>
    </xf>
    <xf numFmtId="0" fontId="4" fillId="34" borderId="0" xfId="472"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2" applyFont="1" applyFill="1" applyBorder="1" applyAlignment="1" applyProtection="1">
      <alignment vertical="center"/>
      <protection/>
    </xf>
    <xf numFmtId="37" fontId="5" fillId="38" borderId="17" xfId="472" applyNumberFormat="1" applyFont="1" applyFill="1" applyBorder="1" applyAlignment="1" applyProtection="1">
      <alignment vertical="center"/>
      <protection/>
    </xf>
    <xf numFmtId="0" fontId="4" fillId="34" borderId="0" xfId="473" applyFont="1" applyFill="1" applyAlignment="1" applyProtection="1">
      <alignment horizontal="centerContinuous" vertical="center"/>
      <protection/>
    </xf>
    <xf numFmtId="0" fontId="4" fillId="34" borderId="0" xfId="473" applyFont="1" applyFill="1" applyAlignment="1" applyProtection="1">
      <alignment vertical="center"/>
      <protection/>
    </xf>
    <xf numFmtId="0" fontId="4" fillId="0" borderId="0" xfId="473" applyFont="1" applyAlignment="1">
      <alignment vertical="center"/>
      <protection/>
    </xf>
    <xf numFmtId="0" fontId="4" fillId="34" borderId="27" xfId="473" applyFont="1" applyFill="1" applyBorder="1" applyAlignment="1" applyProtection="1">
      <alignment vertical="center"/>
      <protection/>
    </xf>
    <xf numFmtId="0" fontId="4" fillId="34" borderId="0" xfId="473"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2"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8" applyFont="1" applyAlignment="1">
      <alignment vertical="center" wrapText="1"/>
      <protection/>
    </xf>
    <xf numFmtId="0" fontId="4" fillId="0" borderId="0" xfId="402" applyNumberFormat="1" applyFont="1" applyAlignment="1">
      <alignment vertical="center" wrapText="1"/>
      <protection/>
    </xf>
    <xf numFmtId="0" fontId="4" fillId="0" borderId="0" xfId="280" applyFont="1" applyAlignment="1">
      <alignment vertical="center" wrapText="1"/>
      <protection/>
    </xf>
    <xf numFmtId="0" fontId="4" fillId="0" borderId="0" xfId="434" applyFont="1" applyAlignment="1">
      <alignment vertical="center" wrapText="1"/>
      <protection/>
    </xf>
    <xf numFmtId="0" fontId="4" fillId="41" borderId="0" xfId="0" applyFont="1" applyFill="1" applyAlignment="1">
      <alignment wrapText="1"/>
    </xf>
    <xf numFmtId="0" fontId="4" fillId="0" borderId="0" xfId="465" applyFont="1" applyAlignment="1">
      <alignment vertical="center"/>
      <protection/>
    </xf>
    <xf numFmtId="0" fontId="4" fillId="0" borderId="0" xfId="78" applyFont="1" applyAlignment="1">
      <alignment vertical="center"/>
      <protection/>
    </xf>
    <xf numFmtId="0" fontId="10" fillId="0" borderId="0" xfId="446" applyFont="1">
      <alignment/>
      <protection/>
    </xf>
    <xf numFmtId="0" fontId="10" fillId="0" borderId="0" xfId="446" applyNumberFormat="1" applyFont="1" applyAlignment="1">
      <alignment horizontal="left" vertical="center"/>
      <protection/>
    </xf>
    <xf numFmtId="0" fontId="4" fillId="0" borderId="0" xfId="446" applyFont="1" applyAlignment="1">
      <alignment horizontal="left" vertical="center"/>
      <protection/>
    </xf>
    <xf numFmtId="49" fontId="4" fillId="33" borderId="0" xfId="446" applyNumberFormat="1" applyFont="1" applyFill="1" applyAlignment="1" applyProtection="1">
      <alignment horizontal="left" vertical="center"/>
      <protection locked="0"/>
    </xf>
    <xf numFmtId="184" fontId="26" fillId="0" borderId="0" xfId="446" applyNumberFormat="1" applyFont="1" applyAlignment="1">
      <alignment horizontal="left" vertical="center"/>
      <protection/>
    </xf>
    <xf numFmtId="49" fontId="4" fillId="0" borderId="0" xfId="446" applyNumberFormat="1" applyFont="1" applyAlignment="1">
      <alignment horizontal="left" vertical="center"/>
      <protection/>
    </xf>
    <xf numFmtId="0" fontId="26" fillId="0" borderId="0" xfId="446" applyFont="1" applyAlignment="1">
      <alignment horizontal="left" vertical="center"/>
      <protection/>
    </xf>
    <xf numFmtId="185" fontId="26" fillId="0" borderId="0" xfId="446" applyNumberFormat="1" applyFont="1" applyAlignment="1">
      <alignment horizontal="left" vertical="center"/>
      <protection/>
    </xf>
    <xf numFmtId="0" fontId="4" fillId="33" borderId="0" xfId="446" applyFont="1" applyFill="1" applyAlignment="1" applyProtection="1">
      <alignment horizontal="left" vertical="center"/>
      <protection locked="0"/>
    </xf>
    <xf numFmtId="0" fontId="10" fillId="33" borderId="0" xfId="44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28" applyFont="1">
      <alignment/>
      <protection/>
    </xf>
    <xf numFmtId="0" fontId="0" fillId="0" borderId="0" xfId="228"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3" applyFont="1" applyAlignment="1">
      <alignment vertical="center" wrapText="1"/>
      <protection/>
    </xf>
    <xf numFmtId="0" fontId="6" fillId="0" borderId="0" xfId="132" applyFont="1" applyAlignment="1">
      <alignment vertical="center"/>
      <protection/>
    </xf>
    <xf numFmtId="0" fontId="4" fillId="0" borderId="0" xfId="136"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1"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0" applyFont="1" applyAlignment="1">
      <alignment horizontal="center"/>
      <protection/>
    </xf>
    <xf numFmtId="0" fontId="4" fillId="0" borderId="0" xfId="80" applyFont="1" applyAlignment="1">
      <alignment wrapText="1"/>
      <protection/>
    </xf>
    <xf numFmtId="0" fontId="37" fillId="0" borderId="0" xfId="66" applyFont="1" applyAlignment="1" applyProtection="1">
      <alignment/>
      <protection/>
    </xf>
    <xf numFmtId="0" fontId="4" fillId="0" borderId="0" xfId="80" applyFont="1">
      <alignment/>
      <protection/>
    </xf>
    <xf numFmtId="0" fontId="88" fillId="34" borderId="0" xfId="0" applyFont="1" applyFill="1" applyAlignment="1" applyProtection="1">
      <alignment horizontal="center" vertical="center"/>
      <protection/>
    </xf>
    <xf numFmtId="0" fontId="4" fillId="34" borderId="0" xfId="98" applyFont="1" applyFill="1" applyAlignment="1" applyProtection="1">
      <alignment horizontal="right" vertical="center"/>
      <protection/>
    </xf>
    <xf numFmtId="0" fontId="89" fillId="34" borderId="0" xfId="80" applyFont="1" applyFill="1" applyAlignment="1" applyProtection="1">
      <alignment horizontal="center" vertical="center"/>
      <protection/>
    </xf>
    <xf numFmtId="37" fontId="4" fillId="34" borderId="0" xfId="80"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0" fontId="4" fillId="34" borderId="10" xfId="80" applyFont="1" applyFill="1" applyBorder="1" applyAlignment="1" applyProtection="1">
      <alignment vertical="center"/>
      <protection/>
    </xf>
    <xf numFmtId="0" fontId="5" fillId="34" borderId="0" xfId="87" applyFont="1" applyFill="1" applyAlignment="1" applyProtection="1">
      <alignment vertical="center"/>
      <protection/>
    </xf>
    <xf numFmtId="0" fontId="5" fillId="34" borderId="0" xfId="85" applyFont="1" applyFill="1" applyAlignment="1" applyProtection="1">
      <alignment vertical="center"/>
      <protection/>
    </xf>
    <xf numFmtId="0" fontId="4" fillId="0" borderId="0" xfId="98" applyFont="1" applyAlignment="1">
      <alignment vertical="center"/>
      <protection/>
    </xf>
    <xf numFmtId="0" fontId="4" fillId="0" borderId="0" xfId="9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0"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2"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2" applyFont="1" applyFill="1" applyBorder="1" applyAlignment="1" applyProtection="1">
      <alignment horizontal="centerContinuous" vertical="center"/>
      <protection/>
    </xf>
    <xf numFmtId="0" fontId="4" fillId="34" borderId="19" xfId="472" applyFont="1" applyFill="1" applyBorder="1" applyAlignment="1" applyProtection="1">
      <alignment horizontal="left" vertical="center"/>
      <protection/>
    </xf>
    <xf numFmtId="0" fontId="4" fillId="34" borderId="0" xfId="472" applyFont="1" applyFill="1" applyBorder="1" applyAlignment="1" applyProtection="1">
      <alignment vertical="center"/>
      <protection/>
    </xf>
    <xf numFmtId="0" fontId="4" fillId="34" borderId="17" xfId="472" applyFont="1" applyFill="1" applyBorder="1" applyAlignment="1" applyProtection="1">
      <alignment vertical="center"/>
      <protection/>
    </xf>
    <xf numFmtId="0" fontId="5" fillId="34" borderId="17" xfId="472" applyFont="1" applyFill="1" applyBorder="1" applyAlignment="1" applyProtection="1">
      <alignment horizontal="center" vertical="center"/>
      <protection/>
    </xf>
    <xf numFmtId="3" fontId="4" fillId="34" borderId="17" xfId="472" applyNumberFormat="1" applyFont="1" applyFill="1" applyBorder="1" applyAlignment="1" applyProtection="1">
      <alignment vertical="center"/>
      <protection/>
    </xf>
    <xf numFmtId="0" fontId="5" fillId="34" borderId="17" xfId="472"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6" applyFont="1" applyAlignment="1">
      <alignment horizontal="left" vertical="center" wrapText="1"/>
      <protection/>
    </xf>
    <xf numFmtId="0" fontId="10" fillId="0" borderId="0" xfId="446" applyFont="1" applyAlignment="1">
      <alignment horizontal="left" vertical="center" wrapText="1"/>
      <protection/>
    </xf>
    <xf numFmtId="191" fontId="4" fillId="34" borderId="0" xfId="80"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49" applyFont="1" applyAlignment="1">
      <alignment horizontal="left" vertical="center"/>
      <protection/>
    </xf>
    <xf numFmtId="0" fontId="44" fillId="0" borderId="0" xfId="449" applyFont="1">
      <alignment/>
      <protection/>
    </xf>
    <xf numFmtId="184" fontId="45" fillId="0" borderId="0" xfId="449" applyNumberFormat="1" applyFont="1" applyAlignment="1">
      <alignment horizontal="left" vertical="center"/>
      <protection/>
    </xf>
    <xf numFmtId="0" fontId="45" fillId="0" borderId="0" xfId="449" applyNumberFormat="1" applyFont="1" applyAlignment="1">
      <alignment horizontal="left" vertical="center"/>
      <protection/>
    </xf>
    <xf numFmtId="1" fontId="45" fillId="0" borderId="0" xfId="449" applyNumberFormat="1" applyFont="1" applyAlignment="1">
      <alignment horizontal="left" vertical="center"/>
      <protection/>
    </xf>
    <xf numFmtId="0" fontId="46" fillId="0" borderId="0" xfId="449" applyFont="1" applyAlignment="1">
      <alignment horizontal="left" vertical="center"/>
      <protection/>
    </xf>
    <xf numFmtId="0" fontId="37" fillId="33" borderId="10" xfId="64"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67" applyFont="1" applyAlignment="1">
      <alignment vertical="center" wrapText="1"/>
      <protection/>
    </xf>
    <xf numFmtId="0" fontId="4" fillId="0" borderId="0" xfId="81"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6" applyFont="1" applyAlignment="1">
      <alignment horizontal="left" vertical="center" wrapText="1"/>
      <protection/>
    </xf>
    <xf numFmtId="0" fontId="10" fillId="0" borderId="0" xfId="446" applyFont="1" applyAlignment="1">
      <alignment horizontal="left" vertical="center" wrapText="1"/>
      <protection/>
    </xf>
    <xf numFmtId="0" fontId="21" fillId="0" borderId="0" xfId="44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3"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34" borderId="19" xfId="98" applyNumberFormat="1" applyFont="1" applyFill="1" applyBorder="1" applyAlignment="1" applyProtection="1">
      <alignment horizontal="right" vertical="center"/>
      <protection/>
    </xf>
    <xf numFmtId="0" fontId="0" fillId="0" borderId="13" xfId="98" applyBorder="1" applyAlignment="1">
      <alignment horizontal="right" vertical="center"/>
      <protection/>
    </xf>
    <xf numFmtId="0" fontId="4" fillId="34" borderId="0" xfId="98" applyFont="1" applyFill="1" applyAlignment="1" applyProtection="1">
      <alignment horizontal="right" vertical="center"/>
      <protection/>
    </xf>
    <xf numFmtId="0" fontId="4" fillId="0" borderId="14" xfId="98"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4"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4" xfId="70"/>
    <cellStyle name="Hyperlink 4 2" xfId="71"/>
    <cellStyle name="Hyperlink 7" xfId="72"/>
    <cellStyle name="Hyperlink 7 2" xfId="73"/>
    <cellStyle name="Hyperlink 8" xfId="74"/>
    <cellStyle name="Input" xfId="75"/>
    <cellStyle name="Linked Cell" xfId="76"/>
    <cellStyle name="Neutral" xfId="77"/>
    <cellStyle name="Normal 10" xfId="78"/>
    <cellStyle name="Normal 10 2" xfId="79"/>
    <cellStyle name="Normal 10 2 2" xfId="80"/>
    <cellStyle name="Normal 10 2 2 2" xfId="81"/>
    <cellStyle name="Normal 10 2 2 3"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4 7" xfId="126"/>
    <cellStyle name="Normal 15" xfId="127"/>
    <cellStyle name="Normal 15 2" xfId="128"/>
    <cellStyle name="Normal 15 3" xfId="129"/>
    <cellStyle name="Normal 15 4" xfId="130"/>
    <cellStyle name="Normal 16" xfId="131"/>
    <cellStyle name="Normal 16 2" xfId="132"/>
    <cellStyle name="Normal 16 3" xfId="133"/>
    <cellStyle name="Normal 16 4" xfId="134"/>
    <cellStyle name="Normal 17" xfId="135"/>
    <cellStyle name="Normal 17 2" xfId="136"/>
    <cellStyle name="Normal 17 3" xfId="137"/>
    <cellStyle name="Normal 17 4" xfId="138"/>
    <cellStyle name="Normal 18" xfId="139"/>
    <cellStyle name="Normal 18 2" xfId="140"/>
    <cellStyle name="Normal 18 2 2" xfId="141"/>
    <cellStyle name="Normal 18 2 3" xfId="142"/>
    <cellStyle name="Normal 18 3" xfId="143"/>
    <cellStyle name="Normal 18 4" xfId="144"/>
    <cellStyle name="Normal 18 5" xfId="145"/>
    <cellStyle name="Normal 18 6" xfId="146"/>
    <cellStyle name="Normal 18 7" xfId="147"/>
    <cellStyle name="Normal 18 8" xfId="148"/>
    <cellStyle name="Normal 19" xfId="149"/>
    <cellStyle name="Normal 19 2" xfId="150"/>
    <cellStyle name="Normal 19 2 2" xfId="151"/>
    <cellStyle name="Normal 19 2 3" xfId="152"/>
    <cellStyle name="Normal 19 3" xfId="153"/>
    <cellStyle name="Normal 19 4" xfId="154"/>
    <cellStyle name="Normal 19 5" xfId="155"/>
    <cellStyle name="Normal 19 6" xfId="156"/>
    <cellStyle name="Normal 19 7" xfId="157"/>
    <cellStyle name="Normal 2" xfId="158"/>
    <cellStyle name="Normal 2 10" xfId="159"/>
    <cellStyle name="Normal 2 10 10" xfId="160"/>
    <cellStyle name="Normal 2 10 11"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11"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16"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2 2 2" xfId="207"/>
    <cellStyle name="Normal 2 2 12 2 3" xfId="208"/>
    <cellStyle name="Normal 2 2 12 3" xfId="209"/>
    <cellStyle name="Normal 2 2 12 4" xfId="210"/>
    <cellStyle name="Normal 2 2 13" xfId="211"/>
    <cellStyle name="Normal 2 2 13 2" xfId="212"/>
    <cellStyle name="Normal 2 2 13 2 2" xfId="213"/>
    <cellStyle name="Normal 2 2 13 2 3" xfId="214"/>
    <cellStyle name="Normal 2 2 13 3" xfId="215"/>
    <cellStyle name="Normal 2 2 13 4" xfId="216"/>
    <cellStyle name="Normal 2 2 14" xfId="217"/>
    <cellStyle name="Normal 2 2 14 2" xfId="218"/>
    <cellStyle name="Normal 2 2 15" xfId="219"/>
    <cellStyle name="Normal 2 2 15 2" xfId="220"/>
    <cellStyle name="Normal 2 2 16" xfId="221"/>
    <cellStyle name="Normal 2 2 16 2" xfId="222"/>
    <cellStyle name="Normal 2 2 16 3" xfId="223"/>
    <cellStyle name="Normal 2 2 17" xfId="224"/>
    <cellStyle name="Normal 2 2 18" xfId="225"/>
    <cellStyle name="Normal 2 2 19" xfId="226"/>
    <cellStyle name="Normal 2 2 2" xfId="227"/>
    <cellStyle name="Normal 2 2 2 2" xfId="228"/>
    <cellStyle name="Normal 2 2 2 2 2" xfId="229"/>
    <cellStyle name="Normal 2 2 2 2 3" xfId="230"/>
    <cellStyle name="Normal 2 2 2 3" xfId="231"/>
    <cellStyle name="Normal 2 2 2 3 2" xfId="232"/>
    <cellStyle name="Normal 2 2 2 4" xfId="233"/>
    <cellStyle name="Normal 2 2 2 4 2" xfId="234"/>
    <cellStyle name="Normal 2 2 2 5" xfId="235"/>
    <cellStyle name="Normal 2 2 2 5 2" xfId="236"/>
    <cellStyle name="Normal 2 2 2 6" xfId="237"/>
    <cellStyle name="Normal 2 2 2 6 2" xfId="238"/>
    <cellStyle name="Normal 2 2 2 7" xfId="239"/>
    <cellStyle name="Normal 2 2 2 8" xfId="240"/>
    <cellStyle name="Normal 2 2 20" xfId="241"/>
    <cellStyle name="Normal 2 2 21" xfId="242"/>
    <cellStyle name="Normal 2 2 3" xfId="243"/>
    <cellStyle name="Normal 2 2 3 2" xfId="244"/>
    <cellStyle name="Normal 2 2 4" xfId="245"/>
    <cellStyle name="Normal 2 2 4 2" xfId="246"/>
    <cellStyle name="Normal 2 2 5" xfId="247"/>
    <cellStyle name="Normal 2 2 5 2" xfId="248"/>
    <cellStyle name="Normal 2 2 6" xfId="249"/>
    <cellStyle name="Normal 2 2 6 2" xfId="250"/>
    <cellStyle name="Normal 2 2 7" xfId="251"/>
    <cellStyle name="Normal 2 2 7 2" xfId="252"/>
    <cellStyle name="Normal 2 2 8" xfId="253"/>
    <cellStyle name="Normal 2 2 8 2" xfId="254"/>
    <cellStyle name="Normal 2 2 9" xfId="255"/>
    <cellStyle name="Normal 2 2 9 2" xfId="256"/>
    <cellStyle name="Normal 2 3" xfId="257"/>
    <cellStyle name="Normal 2 3 10" xfId="258"/>
    <cellStyle name="Normal 2 3 11" xfId="259"/>
    <cellStyle name="Normal 2 3 12" xfId="260"/>
    <cellStyle name="Normal 2 3 13" xfId="261"/>
    <cellStyle name="Normal 2 3 14" xfId="262"/>
    <cellStyle name="Normal 2 3 15" xfId="263"/>
    <cellStyle name="Normal 2 3 2" xfId="264"/>
    <cellStyle name="Normal 2 3 2 2" xfId="265"/>
    <cellStyle name="Normal 2 3 2 2 2" xfId="266"/>
    <cellStyle name="Normal 2 3 2 2 3" xfId="267"/>
    <cellStyle name="Normal 2 3 2 3" xfId="268"/>
    <cellStyle name="Normal 2 3 2 4" xfId="269"/>
    <cellStyle name="Normal 2 3 2 5" xfId="270"/>
    <cellStyle name="Normal 2 3 3" xfId="271"/>
    <cellStyle name="Normal 2 3 3 2" xfId="272"/>
    <cellStyle name="Normal 2 3 3 3" xfId="273"/>
    <cellStyle name="Normal 2 3 4" xfId="274"/>
    <cellStyle name="Normal 2 3 5" xfId="275"/>
    <cellStyle name="Normal 2 3 6" xfId="276"/>
    <cellStyle name="Normal 2 3 7" xfId="277"/>
    <cellStyle name="Normal 2 3 8" xfId="278"/>
    <cellStyle name="Normal 2 3 9" xfId="279"/>
    <cellStyle name="Normal 2 4" xfId="280"/>
    <cellStyle name="Normal 2 4 10" xfId="281"/>
    <cellStyle name="Normal 2 4 11" xfId="282"/>
    <cellStyle name="Normal 2 4 12" xfId="283"/>
    <cellStyle name="Normal 2 4 13" xfId="284"/>
    <cellStyle name="Normal 2 4 2" xfId="285"/>
    <cellStyle name="Normal 2 4 2 2" xfId="286"/>
    <cellStyle name="Normal 2 4 2 2 2" xfId="287"/>
    <cellStyle name="Normal 2 4 2 2 3" xfId="288"/>
    <cellStyle name="Normal 2 4 2 3" xfId="289"/>
    <cellStyle name="Normal 2 4 2 4" xfId="290"/>
    <cellStyle name="Normal 2 4 2 5" xfId="291"/>
    <cellStyle name="Normal 2 4 3" xfId="292"/>
    <cellStyle name="Normal 2 4 3 2" xfId="293"/>
    <cellStyle name="Normal 2 4 3 3" xfId="294"/>
    <cellStyle name="Normal 2 4 4" xfId="295"/>
    <cellStyle name="Normal 2 4 5" xfId="296"/>
    <cellStyle name="Normal 2 4 6" xfId="297"/>
    <cellStyle name="Normal 2 4 7" xfId="298"/>
    <cellStyle name="Normal 2 4 8" xfId="299"/>
    <cellStyle name="Normal 2 4 9" xfId="300"/>
    <cellStyle name="Normal 2 5" xfId="301"/>
    <cellStyle name="Normal 2 5 10" xfId="302"/>
    <cellStyle name="Normal 2 5 11" xfId="303"/>
    <cellStyle name="Normal 2 5 12" xfId="304"/>
    <cellStyle name="Normal 2 5 12 2" xfId="305"/>
    <cellStyle name="Normal 2 5 12 3"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2" xfId="333"/>
    <cellStyle name="Normal 2 7 2 2" xfId="334"/>
    <cellStyle name="Normal 2 7 2 3" xfId="335"/>
    <cellStyle name="Normal 2 7 3" xfId="336"/>
    <cellStyle name="Normal 2 7 3 2" xfId="337"/>
    <cellStyle name="Normal 2 7 4" xfId="338"/>
    <cellStyle name="Normal 2 7 4 2" xfId="339"/>
    <cellStyle name="Normal 2 7 5" xfId="340"/>
    <cellStyle name="Normal 2 7 5 2" xfId="341"/>
    <cellStyle name="Normal 2 7 6" xfId="342"/>
    <cellStyle name="Normal 2 7 6 2" xfId="343"/>
    <cellStyle name="Normal 2 7 7" xfId="344"/>
    <cellStyle name="Normal 2 7 7 2" xfId="345"/>
    <cellStyle name="Normal 2 7 8" xfId="346"/>
    <cellStyle name="Normal 2 7 8 2" xfId="347"/>
    <cellStyle name="Normal 2 7 9" xfId="348"/>
    <cellStyle name="Normal 2 8" xfId="349"/>
    <cellStyle name="Normal 2 8 10" xfId="350"/>
    <cellStyle name="Normal 2 8 11" xfId="351"/>
    <cellStyle name="Normal 2 8 2" xfId="352"/>
    <cellStyle name="Normal 2 8 2 2" xfId="353"/>
    <cellStyle name="Normal 2 8 3" xfId="354"/>
    <cellStyle name="Normal 2 8 3 2" xfId="355"/>
    <cellStyle name="Normal 2 8 4" xfId="356"/>
    <cellStyle name="Normal 2 8 4 2" xfId="357"/>
    <cellStyle name="Normal 2 8 5" xfId="358"/>
    <cellStyle name="Normal 2 8 5 2" xfId="359"/>
    <cellStyle name="Normal 2 8 6" xfId="360"/>
    <cellStyle name="Normal 2 8 6 2" xfId="361"/>
    <cellStyle name="Normal 2 8 7" xfId="362"/>
    <cellStyle name="Normal 2 8 7 2" xfId="363"/>
    <cellStyle name="Normal 2 8 8" xfId="364"/>
    <cellStyle name="Normal 2 8 8 2" xfId="365"/>
    <cellStyle name="Normal 2 8 9" xfId="366"/>
    <cellStyle name="Normal 2 9" xfId="367"/>
    <cellStyle name="Normal 2 9 10" xfId="368"/>
    <cellStyle name="Normal 2 9 11" xfId="369"/>
    <cellStyle name="Normal 2 9 2" xfId="370"/>
    <cellStyle name="Normal 2 9 2 2" xfId="371"/>
    <cellStyle name="Normal 2 9 3" xfId="372"/>
    <cellStyle name="Normal 2 9 3 2" xfId="373"/>
    <cellStyle name="Normal 2 9 4" xfId="374"/>
    <cellStyle name="Normal 2 9 4 2" xfId="375"/>
    <cellStyle name="Normal 2 9 5" xfId="376"/>
    <cellStyle name="Normal 2 9 5 2" xfId="377"/>
    <cellStyle name="Normal 2 9 6" xfId="378"/>
    <cellStyle name="Normal 2 9 6 2" xfId="379"/>
    <cellStyle name="Normal 2 9 7" xfId="380"/>
    <cellStyle name="Normal 2 9 7 2" xfId="381"/>
    <cellStyle name="Normal 2 9 8" xfId="382"/>
    <cellStyle name="Normal 2 9 8 2" xfId="383"/>
    <cellStyle name="Normal 2 9 9" xfId="384"/>
    <cellStyle name="Normal 20" xfId="385"/>
    <cellStyle name="Normal 20 2" xfId="386"/>
    <cellStyle name="Normal 20 3" xfId="387"/>
    <cellStyle name="Normal 21" xfId="388"/>
    <cellStyle name="Normal 22" xfId="389"/>
    <cellStyle name="Normal 22 2" xfId="390"/>
    <cellStyle name="Normal 22 3" xfId="391"/>
    <cellStyle name="Normal 23" xfId="392"/>
    <cellStyle name="Normal 23 2" xfId="393"/>
    <cellStyle name="Normal 23 3" xfId="394"/>
    <cellStyle name="Normal 24" xfId="395"/>
    <cellStyle name="Normal 24 2" xfId="396"/>
    <cellStyle name="Normal 24 3" xfId="397"/>
    <cellStyle name="Normal 25" xfId="398"/>
    <cellStyle name="Normal 25 2" xfId="399"/>
    <cellStyle name="Normal 25 3" xfId="400"/>
    <cellStyle name="Normal 26" xfId="401"/>
    <cellStyle name="Normal 3" xfId="402"/>
    <cellStyle name="Normal 3 2" xfId="403"/>
    <cellStyle name="Normal 3 2 2" xfId="404"/>
    <cellStyle name="Normal 3 2 2 2" xfId="405"/>
    <cellStyle name="Normal 3 2 2 3" xfId="406"/>
    <cellStyle name="Normal 3 2 3" xfId="407"/>
    <cellStyle name="Normal 3 2 4" xfId="408"/>
    <cellStyle name="Normal 3 2 5" xfId="409"/>
    <cellStyle name="Normal 3 3" xfId="410"/>
    <cellStyle name="Normal 3 3 2" xfId="411"/>
    <cellStyle name="Normal 3 3 2 2" xfId="412"/>
    <cellStyle name="Normal 3 3 2 3" xfId="413"/>
    <cellStyle name="Normal 3 3 3" xfId="414"/>
    <cellStyle name="Normal 3 3 4" xfId="415"/>
    <cellStyle name="Normal 3 4" xfId="416"/>
    <cellStyle name="Normal 3 5" xfId="417"/>
    <cellStyle name="Normal 3 6" xfId="418"/>
    <cellStyle name="Normal 3 7" xfId="419"/>
    <cellStyle name="Normal 3 8" xfId="420"/>
    <cellStyle name="Normal 3 9" xfId="421"/>
    <cellStyle name="Normal 4" xfId="422"/>
    <cellStyle name="Normal 4 2" xfId="423"/>
    <cellStyle name="Normal 4 2 2" xfId="424"/>
    <cellStyle name="Normal 4 2 2 2" xfId="425"/>
    <cellStyle name="Normal 4 2 3" xfId="426"/>
    <cellStyle name="Normal 4 2 4" xfId="427"/>
    <cellStyle name="Normal 4 3" xfId="428"/>
    <cellStyle name="Normal 4 3 2" xfId="429"/>
    <cellStyle name="Normal 4 3 3" xfId="430"/>
    <cellStyle name="Normal 4 4" xfId="431"/>
    <cellStyle name="Normal 4 5" xfId="432"/>
    <cellStyle name="Normal 4 6" xfId="433"/>
    <cellStyle name="Normal 5" xfId="434"/>
    <cellStyle name="Normal 5 2" xfId="435"/>
    <cellStyle name="Normal 5 3" xfId="436"/>
    <cellStyle name="Normal 5 3 2" xfId="437"/>
    <cellStyle name="Normal 5 3 3" xfId="438"/>
    <cellStyle name="Normal 5 4" xfId="439"/>
    <cellStyle name="Normal 5 5"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2 5" xfId="452"/>
    <cellStyle name="Normal 7 3" xfId="453"/>
    <cellStyle name="Normal 7 4" xfId="454"/>
    <cellStyle name="Normal 7 4 2" xfId="455"/>
    <cellStyle name="Normal 7 4 3" xfId="456"/>
    <cellStyle name="Normal 7 5" xfId="457"/>
    <cellStyle name="Normal 7 5 2" xfId="458"/>
    <cellStyle name="Normal 7 5 3" xfId="459"/>
    <cellStyle name="Normal 7 5 4" xfId="460"/>
    <cellStyle name="Normal 7 6" xfId="461"/>
    <cellStyle name="Normal 7 7" xfId="462"/>
    <cellStyle name="Normal 8" xfId="463"/>
    <cellStyle name="Normal 8 2" xfId="464"/>
    <cellStyle name="Normal 9" xfId="465"/>
    <cellStyle name="Normal 9 2" xfId="466"/>
    <cellStyle name="Normal 9 2 2" xfId="467"/>
    <cellStyle name="Normal 9 3" xfId="468"/>
    <cellStyle name="Normal 9 4" xfId="469"/>
    <cellStyle name="Normal 9 5" xfId="470"/>
    <cellStyle name="Normal 9 6" xfId="471"/>
    <cellStyle name="Normal_debt" xfId="472"/>
    <cellStyle name="Normal_lpform" xfId="473"/>
    <cellStyle name="Normal_Township 07" xfId="474"/>
    <cellStyle name="Note" xfId="475"/>
    <cellStyle name="Output" xfId="476"/>
    <cellStyle name="Percent" xfId="477"/>
    <cellStyle name="Title" xfId="478"/>
    <cellStyle name="Total" xfId="479"/>
    <cellStyle name="Warning Text" xfId="48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F10" sqref="F10"/>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67" t="s">
        <v>228</v>
      </c>
    </row>
    <row r="31" ht="84.75" customHeight="1">
      <c r="A31" s="567" t="s">
        <v>781</v>
      </c>
    </row>
    <row r="32" ht="14.25" customHeight="1">
      <c r="A32" s="567"/>
    </row>
    <row r="33" ht="55.5" customHeight="1">
      <c r="A33" s="664" t="s">
        <v>782</v>
      </c>
    </row>
    <row r="34" ht="73.5" customHeight="1">
      <c r="A34" s="408" t="s">
        <v>542</v>
      </c>
    </row>
    <row r="35" ht="73.5" customHeight="1">
      <c r="A35" s="568"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66" t="s">
        <v>785</v>
      </c>
    </row>
    <row r="62" ht="65.25" customHeight="1">
      <c r="A62" s="566" t="s">
        <v>786</v>
      </c>
    </row>
    <row r="63" ht="66.75" customHeight="1">
      <c r="A63" s="568"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69" t="s">
        <v>554</v>
      </c>
    </row>
    <row r="74" ht="54" customHeight="1">
      <c r="A74" s="569" t="s">
        <v>555</v>
      </c>
    </row>
    <row r="75" ht="25.5" customHeight="1">
      <c r="A75" s="378" t="s">
        <v>556</v>
      </c>
    </row>
    <row r="76" ht="12" customHeight="1">
      <c r="A76" s="378"/>
    </row>
    <row r="77" ht="58.5" customHeight="1">
      <c r="A77" s="378" t="s">
        <v>557</v>
      </c>
    </row>
    <row r="78" ht="38.25" customHeight="1">
      <c r="A78" s="378" t="s">
        <v>713</v>
      </c>
    </row>
    <row r="79" ht="38.25" customHeight="1">
      <c r="A79" s="566" t="s">
        <v>799</v>
      </c>
    </row>
    <row r="80" ht="106.5" customHeight="1">
      <c r="A80" s="566" t="s">
        <v>798</v>
      </c>
    </row>
    <row r="81" ht="138.75" customHeight="1">
      <c r="A81" s="378" t="s">
        <v>797</v>
      </c>
    </row>
    <row r="82" ht="69.75" customHeight="1">
      <c r="A82" s="378" t="s">
        <v>796</v>
      </c>
    </row>
    <row r="83" ht="59.25" customHeight="1">
      <c r="A83" s="665" t="s">
        <v>795</v>
      </c>
    </row>
    <row r="84" ht="15.75">
      <c r="A84" s="147"/>
    </row>
    <row r="85" ht="31.5">
      <c r="A85" s="378" t="s">
        <v>558</v>
      </c>
    </row>
    <row r="86" ht="15.75">
      <c r="A86" s="147"/>
    </row>
    <row r="87" ht="15.75">
      <c r="A87" s="378" t="s">
        <v>559</v>
      </c>
    </row>
    <row r="88" ht="15.75">
      <c r="A88" s="147"/>
    </row>
    <row r="89" ht="53.25" customHeight="1">
      <c r="A89" s="566" t="s">
        <v>714</v>
      </c>
    </row>
    <row r="90" ht="85.5" customHeight="1">
      <c r="A90" s="566" t="s">
        <v>715</v>
      </c>
    </row>
    <row r="91" ht="100.5" customHeight="1">
      <c r="A91" s="566"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Fairview (Menlo) Cemetery</v>
      </c>
      <c r="C1" s="99"/>
      <c r="D1" s="99"/>
      <c r="E1" s="99"/>
      <c r="F1" s="99"/>
      <c r="G1" s="99"/>
      <c r="H1" s="99"/>
      <c r="I1" s="99"/>
      <c r="J1" s="99"/>
      <c r="K1" s="99"/>
      <c r="L1" s="277">
        <f>inputPrYr!D11</f>
        <v>2014</v>
      </c>
    </row>
    <row r="2" spans="1:12" ht="15.75">
      <c r="A2" s="278"/>
      <c r="B2" s="99" t="str">
        <f>inputPrYr!$D$4</f>
        <v>Thomas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21" t="s">
        <v>78</v>
      </c>
      <c r="C4" s="722"/>
      <c r="D4" s="722"/>
      <c r="E4" s="722"/>
      <c r="F4" s="722"/>
      <c r="G4" s="722"/>
      <c r="H4" s="722"/>
      <c r="I4" s="722"/>
      <c r="J4" s="722"/>
      <c r="K4" s="722"/>
      <c r="L4" s="722"/>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2013</v>
      </c>
      <c r="J7" s="284"/>
      <c r="K7" s="283">
        <f>L1</f>
        <v>2014</v>
      </c>
      <c r="L7" s="284"/>
    </row>
    <row r="8" spans="1:12" s="279" customFormat="1" ht="15.75">
      <c r="A8" s="278"/>
      <c r="B8" s="158" t="s">
        <v>757</v>
      </c>
      <c r="C8" s="158" t="s">
        <v>58</v>
      </c>
      <c r="D8" s="158" t="s">
        <v>36</v>
      </c>
      <c r="E8" s="158" t="s">
        <v>59</v>
      </c>
      <c r="F8" s="285" t="str">
        <f>CONCATENATE("Jan 1,",L1-1,"")</f>
        <v>Jan 1,2013</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595" t="s">
        <v>79</v>
      </c>
      <c r="C21" s="592"/>
      <c r="D21" s="592"/>
      <c r="E21" s="594"/>
      <c r="F21" s="301">
        <f>SUM(F12+F16+F20)</f>
        <v>0</v>
      </c>
      <c r="G21" s="592"/>
      <c r="H21" s="592"/>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21" t="s">
        <v>73</v>
      </c>
      <c r="C23" s="722"/>
      <c r="D23" s="722"/>
      <c r="E23" s="722"/>
      <c r="F23" s="722"/>
      <c r="G23" s="722"/>
      <c r="H23" s="722"/>
      <c r="I23" s="722"/>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1,2013</v>
      </c>
      <c r="H28" s="158">
        <f>L1-1</f>
        <v>2013</v>
      </c>
      <c r="I28" s="158">
        <f>L1</f>
        <v>2014</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89"/>
      <c r="B39" s="590"/>
      <c r="C39" s="591"/>
      <c r="D39" s="300"/>
      <c r="E39" s="309"/>
      <c r="F39" s="593"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6">
      <selection activeCell="E37" sqref="E37"/>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Fairview (Menlo) Cemetery</v>
      </c>
      <c r="C1" s="178"/>
      <c r="D1" s="99"/>
      <c r="E1" s="311"/>
      <c r="F1" s="596"/>
    </row>
    <row r="2" spans="2:6" ht="15.75">
      <c r="B2" s="99" t="str">
        <f>inputPrYr!D4</f>
        <v>Thomas County</v>
      </c>
      <c r="C2" s="178"/>
      <c r="D2" s="99"/>
      <c r="E2" s="182"/>
      <c r="F2" s="596"/>
    </row>
    <row r="3" spans="2:6" ht="15.75">
      <c r="B3" s="110"/>
      <c r="C3" s="178"/>
      <c r="D3" s="99"/>
      <c r="E3" s="277">
        <f>inputPrYr!D11</f>
        <v>2014</v>
      </c>
      <c r="F3" s="597"/>
    </row>
    <row r="4" spans="2:6" ht="15.75">
      <c r="B4" s="563" t="s">
        <v>74</v>
      </c>
      <c r="C4" s="562"/>
      <c r="D4" s="214"/>
      <c r="E4" s="214"/>
      <c r="F4" s="596"/>
    </row>
    <row r="5" spans="2:6" ht="15.75">
      <c r="B5" s="98" t="s">
        <v>26</v>
      </c>
      <c r="C5" s="426" t="s">
        <v>262</v>
      </c>
      <c r="D5" s="428" t="s">
        <v>264</v>
      </c>
      <c r="E5" s="313" t="s">
        <v>265</v>
      </c>
      <c r="F5" s="596"/>
    </row>
    <row r="6" spans="2:6" ht="15.75">
      <c r="B6" s="437" t="str">
        <f>inputPrYr!B24</f>
        <v>General</v>
      </c>
      <c r="C6" s="427" t="str">
        <f>CONCATENATE("Actual for ",E3-2,"")</f>
        <v>Actual for 2012</v>
      </c>
      <c r="D6" s="427" t="str">
        <f>CONCATENATE("Estimate for ",E3-1,"")</f>
        <v>Estimate for 2013</v>
      </c>
      <c r="E6" s="265" t="str">
        <f>CONCATENATE("Year for ",E3,"")</f>
        <v>Year for 2014</v>
      </c>
      <c r="F6" s="596"/>
    </row>
    <row r="7" spans="2:6" ht="15.75">
      <c r="B7" s="220" t="s">
        <v>118</v>
      </c>
      <c r="C7" s="421">
        <v>576</v>
      </c>
      <c r="D7" s="425">
        <f>C62</f>
        <v>3240</v>
      </c>
      <c r="E7" s="161">
        <f>D62</f>
        <v>0</v>
      </c>
      <c r="F7" s="596"/>
    </row>
    <row r="8" spans="2:6" ht="15.75">
      <c r="B8" s="237" t="s">
        <v>120</v>
      </c>
      <c r="C8" s="314"/>
      <c r="D8" s="314"/>
      <c r="E8" s="160"/>
      <c r="F8" s="596"/>
    </row>
    <row r="9" spans="2:6" ht="15.75">
      <c r="B9" s="220" t="s">
        <v>27</v>
      </c>
      <c r="C9" s="421">
        <v>4269</v>
      </c>
      <c r="D9" s="425">
        <f>IF(inputPrYr!H23&gt;0,inputPrYr!G24,inputPrYr!E24)</f>
        <v>5290</v>
      </c>
      <c r="E9" s="231" t="s">
        <v>21</v>
      </c>
      <c r="F9" s="596"/>
    </row>
    <row r="10" spans="2:6" ht="15.75">
      <c r="B10" s="220" t="s">
        <v>28</v>
      </c>
      <c r="C10" s="421">
        <v>24</v>
      </c>
      <c r="D10" s="421"/>
      <c r="E10" s="292"/>
      <c r="F10" s="596"/>
    </row>
    <row r="11" spans="2:6" ht="15.75">
      <c r="B11" s="220" t="s">
        <v>29</v>
      </c>
      <c r="C11" s="421">
        <v>419</v>
      </c>
      <c r="D11" s="421">
        <v>449</v>
      </c>
      <c r="E11" s="161">
        <f>mvalloc!D11</f>
        <v>365</v>
      </c>
      <c r="F11" s="596"/>
    </row>
    <row r="12" spans="2:6" ht="15.75">
      <c r="B12" s="220" t="s">
        <v>30</v>
      </c>
      <c r="C12" s="421">
        <v>4</v>
      </c>
      <c r="D12" s="421">
        <v>10</v>
      </c>
      <c r="E12" s="161">
        <f>mvalloc!E11</f>
        <v>6</v>
      </c>
      <c r="F12" s="596"/>
    </row>
    <row r="13" spans="2:6" ht="15.75">
      <c r="B13" s="314" t="s">
        <v>102</v>
      </c>
      <c r="C13" s="421">
        <v>82</v>
      </c>
      <c r="D13" s="421">
        <v>164</v>
      </c>
      <c r="E13" s="161">
        <f>mvalloc!F11</f>
        <v>174</v>
      </c>
      <c r="F13" s="596"/>
    </row>
    <row r="14" spans="2:6" ht="15.75">
      <c r="B14" s="314" t="s">
        <v>171</v>
      </c>
      <c r="C14" s="421"/>
      <c r="D14" s="421"/>
      <c r="E14" s="161">
        <f>inputOth!D84</f>
        <v>0</v>
      </c>
      <c r="F14" s="596"/>
    </row>
    <row r="15" spans="2:6" ht="15.75">
      <c r="B15" s="315" t="s">
        <v>817</v>
      </c>
      <c r="C15" s="421">
        <v>3061</v>
      </c>
      <c r="D15" s="421">
        <v>2500</v>
      </c>
      <c r="E15" s="292"/>
      <c r="F15" s="596"/>
    </row>
    <row r="16" spans="2:6" ht="15.75">
      <c r="B16" s="439" t="s">
        <v>821</v>
      </c>
      <c r="C16" s="421"/>
      <c r="D16" s="421">
        <v>25</v>
      </c>
      <c r="E16" s="292"/>
      <c r="F16" s="596"/>
    </row>
    <row r="17" spans="2:6" ht="15.75">
      <c r="B17" s="315" t="s">
        <v>828</v>
      </c>
      <c r="C17" s="421">
        <v>182</v>
      </c>
      <c r="D17" s="421">
        <v>157</v>
      </c>
      <c r="E17" s="292"/>
      <c r="F17" s="596"/>
    </row>
    <row r="18" spans="2:6" ht="15.75">
      <c r="B18" s="315"/>
      <c r="C18" s="421"/>
      <c r="D18" s="421"/>
      <c r="E18" s="292"/>
      <c r="F18" s="596"/>
    </row>
    <row r="19" spans="2:6" ht="15.75">
      <c r="B19" s="315"/>
      <c r="C19" s="421"/>
      <c r="D19" s="421"/>
      <c r="E19" s="292"/>
      <c r="F19" s="596"/>
    </row>
    <row r="20" spans="2:6" ht="15.75">
      <c r="B20" s="315"/>
      <c r="C20" s="421"/>
      <c r="D20" s="421"/>
      <c r="E20" s="292"/>
      <c r="F20" s="596"/>
    </row>
    <row r="21" spans="2:6" ht="15.75">
      <c r="B21" s="315"/>
      <c r="C21" s="421"/>
      <c r="D21" s="421"/>
      <c r="E21" s="292"/>
      <c r="F21" s="596"/>
    </row>
    <row r="22" spans="2:6" ht="15.75">
      <c r="B22" s="315"/>
      <c r="C22" s="421"/>
      <c r="D22" s="421"/>
      <c r="E22" s="292"/>
      <c r="F22" s="596"/>
    </row>
    <row r="23" spans="2:6" ht="15.75">
      <c r="B23" s="315"/>
      <c r="C23" s="421"/>
      <c r="D23" s="421"/>
      <c r="E23" s="292"/>
      <c r="F23" s="596"/>
    </row>
    <row r="24" spans="2:6" ht="15.75">
      <c r="B24" s="315"/>
      <c r="C24" s="421"/>
      <c r="D24" s="421"/>
      <c r="E24" s="292"/>
      <c r="F24" s="596"/>
    </row>
    <row r="25" spans="2:6" ht="15.75">
      <c r="B25" s="315"/>
      <c r="C25" s="421"/>
      <c r="D25" s="421"/>
      <c r="E25" s="292"/>
      <c r="F25" s="596"/>
    </row>
    <row r="26" spans="2:6" ht="15.75">
      <c r="B26" s="315"/>
      <c r="C26" s="421"/>
      <c r="D26" s="421"/>
      <c r="E26" s="292"/>
      <c r="F26" s="596"/>
    </row>
    <row r="27" spans="2:6" ht="15.75">
      <c r="B27" s="315"/>
      <c r="C27" s="421"/>
      <c r="D27" s="421"/>
      <c r="E27" s="292"/>
      <c r="F27" s="596"/>
    </row>
    <row r="28" spans="2:6" ht="15.75">
      <c r="B28" s="315"/>
      <c r="C28" s="421"/>
      <c r="D28" s="421"/>
      <c r="E28" s="292"/>
      <c r="F28" s="596"/>
    </row>
    <row r="29" spans="2:6" ht="15.75">
      <c r="B29" s="315" t="s">
        <v>675</v>
      </c>
      <c r="C29" s="421"/>
      <c r="D29" s="421"/>
      <c r="E29" s="292"/>
      <c r="F29" s="596"/>
    </row>
    <row r="30" spans="2:6" ht="15.75">
      <c r="B30" s="316" t="s">
        <v>31</v>
      </c>
      <c r="C30" s="421">
        <v>1</v>
      </c>
      <c r="D30" s="421"/>
      <c r="E30" s="292"/>
      <c r="F30" s="596"/>
    </row>
    <row r="31" spans="2:6" ht="15.75">
      <c r="B31" s="317" t="s">
        <v>227</v>
      </c>
      <c r="C31" s="421"/>
      <c r="D31" s="421"/>
      <c r="E31" s="121"/>
      <c r="F31" s="596"/>
    </row>
    <row r="32" spans="2:6" ht="15.75">
      <c r="B32" s="317" t="s">
        <v>580</v>
      </c>
      <c r="C32" s="423">
        <f>IF(C33*0.1&lt;C31,"Exceed 10% Rule","")</f>
      </c>
      <c r="D32" s="423">
        <f>IF(D33*0.1&lt;D31,"Exceed 10% Rule","")</f>
      </c>
      <c r="E32" s="438">
        <f>IF(E33*0.1+E68&lt;E31,"Exceed 10% Rule","")</f>
      </c>
      <c r="F32" s="596"/>
    </row>
    <row r="33" spans="2:6" ht="15.75">
      <c r="B33" s="320" t="s">
        <v>32</v>
      </c>
      <c r="C33" s="424">
        <f>SUM(C9:C31)</f>
        <v>8042</v>
      </c>
      <c r="D33" s="424">
        <f>SUM(D9:D31)</f>
        <v>8595</v>
      </c>
      <c r="E33" s="321">
        <f>SUM(E9:E31)</f>
        <v>545</v>
      </c>
      <c r="F33" s="596"/>
    </row>
    <row r="34" spans="2:6" ht="15.75">
      <c r="B34" s="320" t="s">
        <v>33</v>
      </c>
      <c r="C34" s="424">
        <f>C7+C33</f>
        <v>8618</v>
      </c>
      <c r="D34" s="424">
        <f>D7+D33</f>
        <v>11835</v>
      </c>
      <c r="E34" s="321">
        <f>E7+E33</f>
        <v>545</v>
      </c>
      <c r="F34" s="596"/>
    </row>
    <row r="35" spans="2:6" ht="15.75">
      <c r="B35" s="220" t="s">
        <v>34</v>
      </c>
      <c r="C35" s="223"/>
      <c r="D35" s="223"/>
      <c r="E35" s="133"/>
      <c r="F35" s="596"/>
    </row>
    <row r="36" spans="2:6" ht="15.75">
      <c r="B36" s="315" t="s">
        <v>818</v>
      </c>
      <c r="C36" s="421">
        <v>4417</v>
      </c>
      <c r="D36" s="421">
        <v>6625</v>
      </c>
      <c r="E36" s="121">
        <v>5092</v>
      </c>
      <c r="F36" s="596"/>
    </row>
    <row r="37" spans="2:6" ht="15.75">
      <c r="B37" s="315" t="s">
        <v>819</v>
      </c>
      <c r="C37" s="421">
        <v>769</v>
      </c>
      <c r="D37" s="421">
        <v>700</v>
      </c>
      <c r="E37" s="121">
        <v>850</v>
      </c>
      <c r="F37" s="596"/>
    </row>
    <row r="38" spans="2:6" ht="15.75">
      <c r="B38" s="315" t="s">
        <v>820</v>
      </c>
      <c r="C38" s="421">
        <v>192</v>
      </c>
      <c r="D38" s="421">
        <v>700</v>
      </c>
      <c r="E38" s="121">
        <v>250</v>
      </c>
      <c r="F38" s="596"/>
    </row>
    <row r="39" spans="2:6" ht="15.75">
      <c r="B39" s="315" t="s">
        <v>822</v>
      </c>
      <c r="C39" s="421"/>
      <c r="D39" s="421">
        <v>750</v>
      </c>
      <c r="E39" s="121"/>
      <c r="F39" s="596"/>
    </row>
    <row r="40" spans="2:6" ht="15.75">
      <c r="B40" s="315" t="s">
        <v>823</v>
      </c>
      <c r="C40" s="421"/>
      <c r="D40" s="421">
        <v>100</v>
      </c>
      <c r="E40" s="121">
        <v>100</v>
      </c>
      <c r="F40" s="596"/>
    </row>
    <row r="41" spans="2:6" ht="15.75">
      <c r="B41" s="315" t="s">
        <v>824</v>
      </c>
      <c r="C41" s="421"/>
      <c r="D41" s="421">
        <v>500</v>
      </c>
      <c r="E41" s="121">
        <v>400</v>
      </c>
      <c r="F41" s="596"/>
    </row>
    <row r="42" spans="2:6" ht="15.75">
      <c r="B42" s="315" t="s">
        <v>825</v>
      </c>
      <c r="C42" s="421"/>
      <c r="D42" s="421">
        <v>2460</v>
      </c>
      <c r="E42" s="121"/>
      <c r="F42" s="596"/>
    </row>
    <row r="43" spans="2:6" ht="15.75">
      <c r="B43" s="315"/>
      <c r="C43" s="421"/>
      <c r="D43" s="421"/>
      <c r="E43" s="121"/>
      <c r="F43" s="596"/>
    </row>
    <row r="44" spans="2:6" ht="15.75">
      <c r="B44" s="315"/>
      <c r="C44" s="421"/>
      <c r="D44" s="421"/>
      <c r="E44" s="121"/>
      <c r="F44" s="596"/>
    </row>
    <row r="45" spans="2:6" ht="15.75">
      <c r="B45" s="315"/>
      <c r="C45" s="421"/>
      <c r="D45" s="421"/>
      <c r="E45" s="121"/>
      <c r="F45" s="596"/>
    </row>
    <row r="46" spans="2:6" ht="15.75">
      <c r="B46" s="315"/>
      <c r="C46" s="421"/>
      <c r="D46" s="421"/>
      <c r="E46" s="121"/>
      <c r="F46" s="596"/>
    </row>
    <row r="47" spans="2:6" ht="15.75">
      <c r="B47" s="315"/>
      <c r="C47" s="421"/>
      <c r="D47" s="421"/>
      <c r="E47" s="121"/>
      <c r="F47" s="596"/>
    </row>
    <row r="48" spans="2:6" ht="15.75">
      <c r="B48" s="315"/>
      <c r="C48" s="421"/>
      <c r="D48" s="421"/>
      <c r="E48" s="121"/>
      <c r="F48" s="596"/>
    </row>
    <row r="49" spans="2:6" ht="15.75">
      <c r="B49" s="315"/>
      <c r="C49" s="421"/>
      <c r="D49" s="421"/>
      <c r="E49" s="121"/>
      <c r="F49" s="596"/>
    </row>
    <row r="50" spans="2:6" ht="15.75">
      <c r="B50" s="315"/>
      <c r="C50" s="421"/>
      <c r="D50" s="421"/>
      <c r="E50" s="121"/>
      <c r="F50" s="596"/>
    </row>
    <row r="51" spans="2:6" ht="15.75">
      <c r="B51" s="315"/>
      <c r="C51" s="421"/>
      <c r="D51" s="421"/>
      <c r="E51" s="121"/>
      <c r="F51" s="596"/>
    </row>
    <row r="52" spans="2:11" ht="15.75">
      <c r="B52" s="315"/>
      <c r="C52" s="421"/>
      <c r="D52" s="421"/>
      <c r="E52" s="121"/>
      <c r="F52" s="97"/>
      <c r="G52" s="732" t="str">
        <f>CONCATENATE("Desired Carryover Into ",E3+1,"")</f>
        <v>Desired Carryover Into 2015</v>
      </c>
      <c r="H52" s="733"/>
      <c r="I52" s="733"/>
      <c r="J52" s="734"/>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0">
        <f>IF(J54=0,"",ROUND((J54+E68-G67)/inputOth!E12*1000,3)-G72)</f>
      </c>
      <c r="K55" s="97"/>
    </row>
    <row r="56" spans="2:11" ht="15.75">
      <c r="B56" s="315"/>
      <c r="C56" s="421"/>
      <c r="D56" s="421"/>
      <c r="E56" s="121"/>
      <c r="F56" s="97"/>
      <c r="G56" s="609" t="str">
        <f>CONCATENATE("",E3," Tot Exp/Non-Appr Must Be:")</f>
        <v>2014 Tot Exp/Non-Appr Must Be:</v>
      </c>
      <c r="H56" s="599"/>
      <c r="I56" s="598"/>
      <c r="J56" s="610">
        <f>IF(J54&gt;0,IF(E65&lt;E34,IF(J54=G67,E65,((J54-G67)*(1-D67))+E34),E65+(J54-G67)),0)</f>
        <v>0</v>
      </c>
      <c r="K56" s="97"/>
    </row>
    <row r="57" spans="2:11" ht="15.75">
      <c r="B57" s="315"/>
      <c r="C57" s="421"/>
      <c r="D57" s="421"/>
      <c r="E57" s="121"/>
      <c r="F57" s="97"/>
      <c r="G57" s="611" t="s">
        <v>761</v>
      </c>
      <c r="H57" s="612"/>
      <c r="I57" s="612"/>
      <c r="J57" s="613">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32" t="str">
        <f>CONCATENATE("Projected Carryover Into ",E3+1,"")</f>
        <v>Projected Carryover Into 2015</v>
      </c>
      <c r="H59" s="733"/>
      <c r="I59" s="733"/>
      <c r="J59" s="734"/>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5378</v>
      </c>
      <c r="D61" s="424">
        <f>SUM(D36:D59)</f>
        <v>11835</v>
      </c>
      <c r="E61" s="321">
        <f>SUM(E36:E59)</f>
        <v>6692</v>
      </c>
      <c r="F61" s="97"/>
      <c r="G61" s="529">
        <f>D62</f>
        <v>0</v>
      </c>
      <c r="H61" s="530" t="str">
        <f>CONCATENATE("",E3-1," Ending Cash Balance (est.)")</f>
        <v>2013 Ending Cash Balance (est.)</v>
      </c>
      <c r="I61" s="616"/>
      <c r="J61" s="528"/>
      <c r="K61" s="97"/>
    </row>
    <row r="62" spans="2:11" ht="15.75">
      <c r="B62" s="220" t="s">
        <v>119</v>
      </c>
      <c r="C62" s="422">
        <f>C34-C61</f>
        <v>3240</v>
      </c>
      <c r="D62" s="422">
        <f>D34-D61</f>
        <v>0</v>
      </c>
      <c r="E62" s="231" t="s">
        <v>21</v>
      </c>
      <c r="F62" s="97"/>
      <c r="G62" s="529">
        <f>E33</f>
        <v>545</v>
      </c>
      <c r="H62" s="531" t="str">
        <f>CONCATENATE("",E3," Non-AV Receipts (est.)")</f>
        <v>2014 Non-AV Receipts (est.)</v>
      </c>
      <c r="I62" s="616"/>
      <c r="J62" s="528"/>
      <c r="K62" s="97"/>
    </row>
    <row r="63" spans="2:11" ht="15.75">
      <c r="B63" s="182" t="str">
        <f>CONCATENATE("",E3-2,"/",E3-1," Budget Authority Amount:")</f>
        <v>2012/2013 Budget Authority Amount:</v>
      </c>
      <c r="C63" s="194">
        <f>inputOth!B102</f>
        <v>12877</v>
      </c>
      <c r="D63" s="171">
        <f>inputPrYr!D24</f>
        <v>11835</v>
      </c>
      <c r="E63" s="231" t="s">
        <v>21</v>
      </c>
      <c r="F63" s="641"/>
      <c r="G63" s="532">
        <f>IF(E67&gt;0,E66,E68)</f>
        <v>6147</v>
      </c>
      <c r="H63" s="531" t="str">
        <f>CONCATENATE("",E3," Ad Valorem Tax (est.)")</f>
        <v>2014 Ad Valorem Tax (est.)</v>
      </c>
      <c r="I63" s="531"/>
      <c r="J63" s="528"/>
      <c r="K63" s="642">
        <f>IF(G63=E68,"","Note: Does not include Delinquent Taxes")</f>
      </c>
    </row>
    <row r="64" spans="2:11" ht="15.75">
      <c r="B64" s="182"/>
      <c r="C64" s="728" t="s">
        <v>676</v>
      </c>
      <c r="D64" s="729"/>
      <c r="E64" s="121"/>
      <c r="F64" s="643">
        <f>IF(E61/0.95-E61&lt;E64,"Exceeds 5%","")</f>
      </c>
      <c r="G64" s="529">
        <f>SUM(G61:G63)</f>
        <v>6692</v>
      </c>
      <c r="H64" s="531" t="str">
        <f>CONCATENATE("Total ",E3," Resources Available")</f>
        <v>Total 2014 Resources Available</v>
      </c>
      <c r="I64" s="616"/>
      <c r="J64" s="528"/>
      <c r="K64" s="97"/>
    </row>
    <row r="65" spans="2:11" ht="15.75">
      <c r="B65" s="522" t="str">
        <f>CONCATENATE(C79,"     ",D79)</f>
        <v>     </v>
      </c>
      <c r="C65" s="730" t="s">
        <v>677</v>
      </c>
      <c r="D65" s="731"/>
      <c r="E65" s="161">
        <f>E61+E64</f>
        <v>6692</v>
      </c>
      <c r="F65" s="97"/>
      <c r="G65" s="533"/>
      <c r="H65" s="531"/>
      <c r="I65" s="531"/>
      <c r="J65" s="528"/>
      <c r="K65" s="97"/>
    </row>
    <row r="66" spans="2:11" ht="15.75">
      <c r="B66" s="522" t="str">
        <f>CONCATENATE(C80,"     ",D80)</f>
        <v>     </v>
      </c>
      <c r="C66" s="524"/>
      <c r="D66" s="525" t="s">
        <v>678</v>
      </c>
      <c r="E66" s="164">
        <f>IF(E65-E34&gt;0,E65-E34,0)</f>
        <v>6147</v>
      </c>
      <c r="F66" s="97"/>
      <c r="G66" s="532">
        <f>ROUND(C61*0.05+C61,0)</f>
        <v>5647</v>
      </c>
      <c r="H66" s="531" t="str">
        <f>CONCATENATE("Less ",E3-2," Expenditures + 5%")</f>
        <v>Less 2012 Expenditures + 5%</v>
      </c>
      <c r="I66" s="616"/>
      <c r="J66" s="528"/>
      <c r="K66" s="97"/>
    </row>
    <row r="67" spans="2:11" ht="15.75">
      <c r="B67" s="252"/>
      <c r="C67" s="523" t="s">
        <v>679</v>
      </c>
      <c r="D67" s="638">
        <f>inputOth!$E$96</f>
        <v>0</v>
      </c>
      <c r="E67" s="161">
        <f>ROUND(IF(D67&gt;0,(E66*D67),0),0)</f>
        <v>0</v>
      </c>
      <c r="F67" s="97"/>
      <c r="G67" s="644">
        <f>G64-G66</f>
        <v>1045</v>
      </c>
      <c r="H67" s="645" t="str">
        <f>CONCATENATE("Projected ",E3+1," Carryover (est.)")</f>
        <v>Projected 2015 Carryover (est.)</v>
      </c>
      <c r="I67" s="620"/>
      <c r="J67" s="535"/>
      <c r="K67" s="97"/>
    </row>
    <row r="68" spans="2:11" ht="15.75">
      <c r="B68" s="99"/>
      <c r="C68" s="726" t="str">
        <f>CONCATENATE("Amount of  ",$E$3-1," Ad Valorem Tax")</f>
        <v>Amount of  2013 Ad Valorem Tax</v>
      </c>
      <c r="D68" s="727"/>
      <c r="E68" s="164">
        <f>E66+E67</f>
        <v>6147</v>
      </c>
      <c r="F68" s="97"/>
      <c r="G68" s="97"/>
      <c r="H68" s="97"/>
      <c r="I68" s="97"/>
      <c r="J68" s="97"/>
      <c r="K68" s="97"/>
    </row>
    <row r="69" spans="2:11" ht="15.75">
      <c r="B69" s="99"/>
      <c r="C69" s="99"/>
      <c r="D69" s="99"/>
      <c r="E69" s="99"/>
      <c r="F69" s="97"/>
      <c r="G69" s="723" t="s">
        <v>762</v>
      </c>
      <c r="H69" s="724"/>
      <c r="I69" s="724"/>
      <c r="J69" s="725"/>
      <c r="K69" s="97"/>
    </row>
    <row r="70" spans="2:11" ht="15.75">
      <c r="B70" s="99"/>
      <c r="C70" s="99"/>
      <c r="D70" s="99"/>
      <c r="E70" s="99"/>
      <c r="F70" s="97"/>
      <c r="G70" s="622"/>
      <c r="H70" s="530"/>
      <c r="I70" s="600"/>
      <c r="J70" s="623"/>
      <c r="K70" s="97"/>
    </row>
    <row r="71" spans="2:11" ht="15.75">
      <c r="B71" s="99"/>
      <c r="C71" s="99"/>
      <c r="D71" s="99"/>
      <c r="E71" s="99"/>
      <c r="F71" s="97"/>
      <c r="G71" s="624">
        <f>summ!H16</f>
        <v>1.62</v>
      </c>
      <c r="H71" s="530" t="str">
        <f>CONCATENATE("",E3," Fund Mill Rate")</f>
        <v>2014 Fund Mill Rate</v>
      </c>
      <c r="I71" s="600"/>
      <c r="J71" s="623"/>
      <c r="K71" s="97"/>
    </row>
    <row r="72" spans="2:11" ht="15.75">
      <c r="B72" s="99"/>
      <c r="C72" s="99"/>
      <c r="D72" s="99"/>
      <c r="E72" s="99"/>
      <c r="F72" s="646"/>
      <c r="G72" s="625">
        <f>summ!E16</f>
        <v>1.6</v>
      </c>
      <c r="H72" s="530" t="str">
        <f>CONCATENATE("",E3-1," Fund Mill Rate")</f>
        <v>2013 Fund Mill Rate</v>
      </c>
      <c r="I72" s="600"/>
      <c r="J72" s="623"/>
      <c r="K72" s="97"/>
    </row>
    <row r="73" spans="2:11" ht="15.75">
      <c r="B73" s="99"/>
      <c r="C73" s="178"/>
      <c r="D73" s="178"/>
      <c r="E73" s="178"/>
      <c r="F73" s="639"/>
      <c r="G73" s="626">
        <f>summ!H18</f>
        <v>1.62</v>
      </c>
      <c r="H73" s="530" t="str">
        <f>CONCATENATE("Total ",E3," Mill Rate")</f>
        <v>Total 2014 Mill Rate</v>
      </c>
      <c r="I73" s="600"/>
      <c r="J73" s="623"/>
      <c r="K73" s="97"/>
    </row>
    <row r="74" spans="2:11" ht="15.75">
      <c r="B74" s="182"/>
      <c r="C74" s="116" t="s">
        <v>239</v>
      </c>
      <c r="D74" s="99"/>
      <c r="E74" s="99"/>
      <c r="F74" s="639"/>
      <c r="G74" s="625">
        <f>summ!E18</f>
        <v>1.6</v>
      </c>
      <c r="H74" s="627" t="str">
        <f>CONCATENATE("Total ",E3-1," Mill Rate")</f>
        <v>Total 2013 Mill Rate</v>
      </c>
      <c r="I74" s="628"/>
      <c r="J74" s="629"/>
      <c r="K74" s="97"/>
    </row>
    <row r="76" spans="2:9" ht="15.75">
      <c r="B76" s="185"/>
      <c r="G76" s="668" t="s">
        <v>802</v>
      </c>
      <c r="H76" s="667"/>
      <c r="I76" s="666" t="str">
        <f>cert!F30</f>
        <v>No</v>
      </c>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C63" sqref="C63"/>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Fairview (Menlo) Cemetery</v>
      </c>
      <c r="C1" s="99"/>
      <c r="D1" s="99"/>
      <c r="E1" s="311">
        <f>inputPrYr!$D$11</f>
        <v>2014</v>
      </c>
      <c r="F1" s="596"/>
    </row>
    <row r="2" spans="2:6" ht="15.75">
      <c r="B2" s="99"/>
      <c r="C2" s="99"/>
      <c r="D2" s="99"/>
      <c r="E2" s="252"/>
      <c r="F2" s="596"/>
    </row>
    <row r="3" spans="2:6" ht="15.75">
      <c r="B3" s="110"/>
      <c r="C3" s="178"/>
      <c r="D3" s="178"/>
      <c r="E3" s="323"/>
      <c r="F3" s="597"/>
    </row>
    <row r="4" spans="2:6" ht="15.75">
      <c r="B4" s="564" t="s">
        <v>74</v>
      </c>
      <c r="C4" s="562"/>
      <c r="D4" s="324"/>
      <c r="E4" s="324"/>
      <c r="F4" s="596"/>
    </row>
    <row r="5" spans="2:6" ht="15.75">
      <c r="B5" s="129" t="s">
        <v>26</v>
      </c>
      <c r="C5" s="426" t="s">
        <v>262</v>
      </c>
      <c r="D5" s="428" t="s">
        <v>264</v>
      </c>
      <c r="E5" s="313" t="s">
        <v>265</v>
      </c>
      <c r="F5" s="596"/>
    </row>
    <row r="6" spans="2:6" ht="15.75">
      <c r="B6" s="440" t="s">
        <v>285</v>
      </c>
      <c r="C6" s="427" t="str">
        <f>CONCATENATE("Actual for ",E1-2,"")</f>
        <v>Actual for 2012</v>
      </c>
      <c r="D6" s="427" t="str">
        <f>CONCATENATE("Estimate for ",E1-1,"")</f>
        <v>Estimate for 2013</v>
      </c>
      <c r="E6" s="265" t="str">
        <f>CONCATENATE("Year for ",E1,"")</f>
        <v>Year for 2014</v>
      </c>
      <c r="F6" s="596"/>
    </row>
    <row r="7" spans="2:6" ht="15.75">
      <c r="B7" s="216" t="s">
        <v>118</v>
      </c>
      <c r="C7" s="429"/>
      <c r="D7" s="433">
        <f>C55</f>
        <v>0</v>
      </c>
      <c r="E7" s="325">
        <f>D55</f>
        <v>0</v>
      </c>
      <c r="F7" s="596"/>
    </row>
    <row r="8" spans="2:6" ht="15.75">
      <c r="B8" s="326" t="s">
        <v>120</v>
      </c>
      <c r="C8" s="432"/>
      <c r="D8" s="433"/>
      <c r="E8" s="325"/>
      <c r="F8" s="596"/>
    </row>
    <row r="9" spans="2:6" ht="15.75">
      <c r="B9" s="216" t="s">
        <v>27</v>
      </c>
      <c r="C9" s="429"/>
      <c r="D9" s="432">
        <f>IF(inputPrYr!H23&gt;0,inputPrYr!G25,inputPrYr!E25)</f>
        <v>0</v>
      </c>
      <c r="E9" s="327" t="s">
        <v>21</v>
      </c>
      <c r="F9" s="596"/>
    </row>
    <row r="10" spans="2:6" ht="15.75">
      <c r="B10" s="216" t="s">
        <v>28</v>
      </c>
      <c r="C10" s="429"/>
      <c r="D10" s="429"/>
      <c r="E10" s="328"/>
      <c r="F10" s="596"/>
    </row>
    <row r="11" spans="2:6" ht="15.75">
      <c r="B11" s="216" t="s">
        <v>29</v>
      </c>
      <c r="C11" s="429"/>
      <c r="D11" s="429"/>
      <c r="E11" s="329">
        <f>mvalloc!D12</f>
        <v>0</v>
      </c>
      <c r="F11" s="596"/>
    </row>
    <row r="12" spans="2:6" ht="15.75">
      <c r="B12" s="216" t="s">
        <v>30</v>
      </c>
      <c r="C12" s="429"/>
      <c r="D12" s="429"/>
      <c r="E12" s="329">
        <f>mvalloc!E12</f>
        <v>0</v>
      </c>
      <c r="F12" s="596"/>
    </row>
    <row r="13" spans="2:6" ht="15.75">
      <c r="B13" s="330" t="s">
        <v>102</v>
      </c>
      <c r="C13" s="429"/>
      <c r="D13" s="429"/>
      <c r="E13" s="329">
        <f>mvalloc!F12</f>
        <v>0</v>
      </c>
      <c r="F13" s="596"/>
    </row>
    <row r="14" spans="2:6" ht="15.75">
      <c r="B14" s="331"/>
      <c r="C14" s="429"/>
      <c r="D14" s="429"/>
      <c r="E14" s="328"/>
      <c r="F14" s="596"/>
    </row>
    <row r="15" spans="2:6" ht="15.75">
      <c r="B15" s="441"/>
      <c r="C15" s="429"/>
      <c r="D15" s="429"/>
      <c r="E15" s="442"/>
      <c r="F15" s="596"/>
    </row>
    <row r="16" spans="2:6" ht="15.75">
      <c r="B16" s="441"/>
      <c r="C16" s="429"/>
      <c r="D16" s="429"/>
      <c r="E16" s="442"/>
      <c r="F16" s="596"/>
    </row>
    <row r="17" spans="2:6" ht="15.75">
      <c r="B17" s="331"/>
      <c r="C17" s="429"/>
      <c r="D17" s="429"/>
      <c r="E17" s="328"/>
      <c r="F17" s="596"/>
    </row>
    <row r="18" spans="2:6" ht="15.75">
      <c r="B18" s="331"/>
      <c r="C18" s="429"/>
      <c r="D18" s="429"/>
      <c r="E18" s="332"/>
      <c r="F18" s="596"/>
    </row>
    <row r="19" spans="2:6" ht="15.75">
      <c r="B19" s="331"/>
      <c r="C19" s="429"/>
      <c r="D19" s="429"/>
      <c r="E19" s="328"/>
      <c r="F19" s="596"/>
    </row>
    <row r="20" spans="2:6" ht="15.75">
      <c r="B20" s="331"/>
      <c r="C20" s="429"/>
      <c r="D20" s="429"/>
      <c r="E20" s="328"/>
      <c r="F20" s="596"/>
    </row>
    <row r="21" spans="2:6" ht="15.75">
      <c r="B21" s="331"/>
      <c r="C21" s="429"/>
      <c r="D21" s="429"/>
      <c r="E21" s="328"/>
      <c r="F21" s="596"/>
    </row>
    <row r="22" spans="2:6" ht="15.75">
      <c r="B22" s="331"/>
      <c r="C22" s="429"/>
      <c r="D22" s="429"/>
      <c r="E22" s="328"/>
      <c r="F22" s="596"/>
    </row>
    <row r="23" spans="2:6" ht="15.75">
      <c r="B23" s="331"/>
      <c r="C23" s="429"/>
      <c r="D23" s="429"/>
      <c r="E23" s="328"/>
      <c r="F23" s="596"/>
    </row>
    <row r="24" spans="2:6" ht="15.75">
      <c r="B24" s="331"/>
      <c r="C24" s="429"/>
      <c r="D24" s="429"/>
      <c r="E24" s="328"/>
      <c r="F24" s="596"/>
    </row>
    <row r="25" spans="2:6" ht="15.75">
      <c r="B25" s="331"/>
      <c r="C25" s="429"/>
      <c r="D25" s="429"/>
      <c r="E25" s="328"/>
      <c r="F25" s="596"/>
    </row>
    <row r="26" spans="2:6" ht="15.75">
      <c r="B26" s="331" t="s">
        <v>163</v>
      </c>
      <c r="C26" s="429"/>
      <c r="D26" s="429"/>
      <c r="E26" s="328"/>
      <c r="F26" s="596"/>
    </row>
    <row r="27" spans="2:6" ht="15.75">
      <c r="B27" s="333" t="s">
        <v>31</v>
      </c>
      <c r="C27" s="429"/>
      <c r="D27" s="429"/>
      <c r="E27" s="328"/>
      <c r="F27" s="596"/>
    </row>
    <row r="28" spans="2:6" ht="15.75">
      <c r="B28" s="317" t="s">
        <v>227</v>
      </c>
      <c r="C28" s="429"/>
      <c r="D28" s="429"/>
      <c r="E28" s="328"/>
      <c r="F28" s="596"/>
    </row>
    <row r="29" spans="2:6" ht="15.75">
      <c r="B29" s="317" t="s">
        <v>580</v>
      </c>
      <c r="C29" s="423">
        <f>IF(C30*0.1&lt;C28,"Exceed 10% Rule","")</f>
      </c>
      <c r="D29" s="423">
        <f>IF(D30*0.1&lt;D28,"Exceed 10% Rule","")</f>
      </c>
      <c r="E29" s="438">
        <f>IF(E30*0.1&lt;E28,"Exceed 10% Rule","")</f>
      </c>
      <c r="F29" s="596"/>
    </row>
    <row r="30" spans="2:6" ht="15.75">
      <c r="B30" s="320" t="s">
        <v>32</v>
      </c>
      <c r="C30" s="430">
        <f>SUM(C9:C28)</f>
        <v>0</v>
      </c>
      <c r="D30" s="430">
        <f>SUM(D9:D28)</f>
        <v>0</v>
      </c>
      <c r="E30" s="334">
        <f>SUM(E9:E28)</f>
        <v>0</v>
      </c>
      <c r="F30" s="596"/>
    </row>
    <row r="31" spans="2:6" ht="15.75">
      <c r="B31" s="320" t="s">
        <v>33</v>
      </c>
      <c r="C31" s="430">
        <f>C7+C30</f>
        <v>0</v>
      </c>
      <c r="D31" s="430">
        <f>D7+D30</f>
        <v>0</v>
      </c>
      <c r="E31" s="335">
        <f>E7+E30</f>
        <v>0</v>
      </c>
      <c r="F31" s="596"/>
    </row>
    <row r="32" spans="2:6" ht="15.75">
      <c r="B32" s="326" t="s">
        <v>34</v>
      </c>
      <c r="C32" s="432"/>
      <c r="D32" s="432"/>
      <c r="E32" s="329"/>
      <c r="F32" s="596"/>
    </row>
    <row r="33" spans="2:6" ht="15.75">
      <c r="B33" s="336"/>
      <c r="C33" s="429"/>
      <c r="D33" s="429"/>
      <c r="E33" s="328"/>
      <c r="F33" s="596"/>
    </row>
    <row r="34" spans="2:6" ht="15.75">
      <c r="B34" s="336"/>
      <c r="C34" s="429"/>
      <c r="D34" s="429"/>
      <c r="E34" s="328"/>
      <c r="F34" s="596"/>
    </row>
    <row r="35" spans="2:6" ht="15.75">
      <c r="B35" s="336"/>
      <c r="C35" s="429"/>
      <c r="D35" s="429"/>
      <c r="E35" s="328"/>
      <c r="F35" s="596"/>
    </row>
    <row r="36" spans="2:6" ht="15.75">
      <c r="B36" s="336"/>
      <c r="C36" s="429"/>
      <c r="D36" s="429"/>
      <c r="E36" s="328"/>
      <c r="F36" s="596"/>
    </row>
    <row r="37" spans="2:6" ht="15.75">
      <c r="B37" s="336"/>
      <c r="C37" s="429"/>
      <c r="D37" s="429"/>
      <c r="E37" s="328"/>
      <c r="F37" s="596"/>
    </row>
    <row r="38" spans="2:6" ht="15.75">
      <c r="B38" s="336"/>
      <c r="C38" s="429"/>
      <c r="D38" s="429"/>
      <c r="E38" s="328"/>
      <c r="F38" s="596"/>
    </row>
    <row r="39" spans="2:6" ht="15.75">
      <c r="B39" s="336"/>
      <c r="C39" s="429"/>
      <c r="D39" s="429"/>
      <c r="E39" s="328"/>
      <c r="F39" s="596"/>
    </row>
    <row r="40" spans="2:6" ht="15.75">
      <c r="B40" s="336"/>
      <c r="C40" s="429"/>
      <c r="D40" s="429"/>
      <c r="E40" s="328"/>
      <c r="F40" s="596"/>
    </row>
    <row r="41" spans="2:6" ht="15.75">
      <c r="B41" s="336"/>
      <c r="C41" s="429"/>
      <c r="D41" s="429"/>
      <c r="E41" s="328"/>
      <c r="F41" s="596"/>
    </row>
    <row r="42" spans="2:6" ht="15.75">
      <c r="B42" s="336"/>
      <c r="C42" s="429"/>
      <c r="D42" s="429"/>
      <c r="E42" s="328"/>
      <c r="F42" s="596"/>
    </row>
    <row r="43" spans="2:6" ht="15.75">
      <c r="B43" s="336"/>
      <c r="C43" s="429"/>
      <c r="D43" s="429"/>
      <c r="E43" s="328"/>
      <c r="F43" s="596"/>
    </row>
    <row r="44" spans="2:6" ht="15.75">
      <c r="B44" s="336"/>
      <c r="C44" s="429"/>
      <c r="D44" s="429"/>
      <c r="E44" s="328"/>
      <c r="F44" s="596"/>
    </row>
    <row r="45" spans="2:6" ht="15.75">
      <c r="B45" s="336"/>
      <c r="C45" s="429"/>
      <c r="D45" s="429"/>
      <c r="E45" s="328"/>
      <c r="F45" s="596"/>
    </row>
    <row r="46" spans="2:11" ht="15.75">
      <c r="B46" s="336"/>
      <c r="C46" s="429"/>
      <c r="D46" s="429"/>
      <c r="E46" s="328"/>
      <c r="F46" s="614"/>
      <c r="G46" s="732" t="str">
        <f>CONCATENATE("Desired Carryover Into ",E1+1,"")</f>
        <v>Desired Carryover Into 2015</v>
      </c>
      <c r="H46" s="733"/>
      <c r="I46" s="733"/>
      <c r="J46" s="734"/>
      <c r="K46" s="614"/>
    </row>
    <row r="47" spans="2:11" ht="15.75">
      <c r="B47" s="336"/>
      <c r="C47" s="429"/>
      <c r="D47" s="429"/>
      <c r="E47" s="328"/>
      <c r="F47" s="614"/>
      <c r="G47" s="537"/>
      <c r="H47" s="527"/>
      <c r="I47" s="531"/>
      <c r="J47" s="538"/>
      <c r="K47" s="614"/>
    </row>
    <row r="48" spans="2:11" ht="15.75">
      <c r="B48" s="336"/>
      <c r="C48" s="429"/>
      <c r="D48" s="429"/>
      <c r="E48" s="328"/>
      <c r="F48" s="614"/>
      <c r="G48" s="539" t="s">
        <v>680</v>
      </c>
      <c r="H48" s="531"/>
      <c r="I48" s="531"/>
      <c r="J48" s="540">
        <v>0</v>
      </c>
      <c r="K48" s="614"/>
    </row>
    <row r="49" spans="2:11" ht="15.75">
      <c r="B49" s="336"/>
      <c r="C49" s="429"/>
      <c r="D49" s="429"/>
      <c r="E49" s="328"/>
      <c r="F49" s="614"/>
      <c r="G49" s="537" t="s">
        <v>681</v>
      </c>
      <c r="H49" s="527"/>
      <c r="I49" s="527"/>
      <c r="J49" s="608">
        <f>IF(J48=0,"",ROUND((J48+E62-G61)/inputOth!E12*1000,3)-G66)</f>
      </c>
      <c r="K49" s="614"/>
    </row>
    <row r="50" spans="2:11" ht="15.75">
      <c r="B50" s="336"/>
      <c r="C50" s="429"/>
      <c r="D50" s="429"/>
      <c r="E50" s="328"/>
      <c r="F50" s="614"/>
      <c r="G50" s="609" t="str">
        <f>CONCATENATE("",E1," Tot Exp/Non-Appr Must Be:")</f>
        <v>2014 Tot Exp/Non-Appr Must Be:</v>
      </c>
      <c r="H50" s="599"/>
      <c r="I50" s="598"/>
      <c r="J50" s="610">
        <f>IF(J48&gt;0,IF(E58&lt;E31,IF(J48=G61,E58,((J48-G61)*(1-D60))+E31),E58+(J48-G61)),0)</f>
        <v>0</v>
      </c>
      <c r="K50" s="614"/>
    </row>
    <row r="51" spans="2:11" ht="15.75">
      <c r="B51" s="223" t="s">
        <v>226</v>
      </c>
      <c r="C51" s="429"/>
      <c r="D51" s="429"/>
      <c r="E51" s="272">
        <f>Nhood!E8</f>
      </c>
      <c r="F51" s="614"/>
      <c r="G51" s="611" t="s">
        <v>761</v>
      </c>
      <c r="H51" s="612"/>
      <c r="I51" s="612"/>
      <c r="J51" s="613">
        <f>IF(J48&gt;0,J50-E59,0)</f>
        <v>0</v>
      </c>
      <c r="K51" s="614"/>
    </row>
    <row r="52" spans="2:11" ht="15.75">
      <c r="B52" s="223" t="s">
        <v>227</v>
      </c>
      <c r="C52" s="429"/>
      <c r="D52" s="429"/>
      <c r="E52" s="328"/>
      <c r="F52" s="614"/>
      <c r="G52" s="614"/>
      <c r="H52" s="614"/>
      <c r="I52" s="614"/>
      <c r="J52" s="614"/>
      <c r="K52" s="614"/>
    </row>
    <row r="53" spans="2:11" ht="15.75">
      <c r="B53" s="223" t="s">
        <v>581</v>
      </c>
      <c r="C53" s="423">
        <f>IF(C54*0.1&lt;C52,"Exceed 10% Rule","")</f>
      </c>
      <c r="D53" s="423">
        <f>IF(D54*0.1&lt;D52,"Exceed 10% Rule","")</f>
      </c>
      <c r="E53" s="438">
        <f>IF(E54*0.1&lt;E52,"Exceed 10% Rule","")</f>
      </c>
      <c r="F53" s="614"/>
      <c r="G53" s="732" t="str">
        <f>CONCATENATE("Projected Carryover Into ",E1+1,"")</f>
        <v>Projected Carryover Into 2015</v>
      </c>
      <c r="H53" s="735"/>
      <c r="I53" s="735"/>
      <c r="J53" s="736"/>
      <c r="K53" s="614"/>
    </row>
    <row r="54" spans="2:11" ht="15.75">
      <c r="B54" s="320" t="s">
        <v>35</v>
      </c>
      <c r="C54" s="430">
        <f>SUM(C33:C52)</f>
        <v>0</v>
      </c>
      <c r="D54" s="430">
        <f>SUM(D33:D52)</f>
        <v>0</v>
      </c>
      <c r="E54" s="334">
        <f>SUM(E33:E52)</f>
        <v>0</v>
      </c>
      <c r="F54" s="614"/>
      <c r="G54" s="537"/>
      <c r="H54" s="531"/>
      <c r="I54" s="531"/>
      <c r="J54" s="634"/>
      <c r="K54" s="614"/>
    </row>
    <row r="55" spans="2:11" ht="15.75">
      <c r="B55" s="216" t="s">
        <v>119</v>
      </c>
      <c r="C55" s="431">
        <f>C31-C54</f>
        <v>0</v>
      </c>
      <c r="D55" s="431">
        <f>D31-D54</f>
        <v>0</v>
      </c>
      <c r="E55" s="327" t="s">
        <v>21</v>
      </c>
      <c r="F55" s="614"/>
      <c r="G55" s="529">
        <f>D56</f>
        <v>0</v>
      </c>
      <c r="H55" s="530" t="str">
        <f>CONCATENATE("",E1-1," Ending Cash Balance (est.)")</f>
        <v>2013 Ending Cash Balance (est.)</v>
      </c>
      <c r="I55" s="616"/>
      <c r="J55" s="634"/>
      <c r="K55" s="614"/>
    </row>
    <row r="56" spans="2:11" ht="15.75">
      <c r="B56" s="182" t="str">
        <f>CONCATENATE("",E1-2,"/",E1-1," Budget Authority Amount:")</f>
        <v>2012/2013 Budget Authority Amount:</v>
      </c>
      <c r="C56" s="194">
        <f>inputOth!B103</f>
        <v>0</v>
      </c>
      <c r="D56" s="171">
        <f>inputPrYr!D25</f>
        <v>0</v>
      </c>
      <c r="E56" s="327" t="s">
        <v>21</v>
      </c>
      <c r="F56"/>
      <c r="G56" s="529">
        <f>E30</f>
        <v>0</v>
      </c>
      <c r="H56" s="531" t="str">
        <f>CONCATENATE("",E1," Non-AV Receipts (est.)")</f>
        <v>2014 Non-AV Receipts (est.)</v>
      </c>
      <c r="I56" s="616"/>
      <c r="J56" s="634"/>
      <c r="K56" s="614"/>
    </row>
    <row r="57" spans="2:11" ht="15.75">
      <c r="B57" s="182"/>
      <c r="C57" s="728" t="s">
        <v>676</v>
      </c>
      <c r="D57" s="729"/>
      <c r="E57" s="121"/>
      <c r="F57" s="617">
        <f>IF(E54/0.95-E54&lt;E57,"Exceeds 5%","")</f>
      </c>
      <c r="G57" s="532">
        <f>IF(E60&gt;0,E59,E61)</f>
        <v>0</v>
      </c>
      <c r="H57" s="531" t="str">
        <f>CONCATENATE("",E1," Ad Valorem Tax (est.)")</f>
        <v>2014 Ad Valorem Tax (est.)</v>
      </c>
      <c r="I57" s="616"/>
      <c r="J57" s="634"/>
      <c r="K57" s="619">
        <f>IF(G57=E61,"","Note: Does not include Delinquent Taxes")</f>
      </c>
    </row>
    <row r="58" spans="2:11" ht="15.75">
      <c r="B58" s="522" t="str">
        <f>CONCATENATE(C69,"     ",D69)</f>
        <v>     </v>
      </c>
      <c r="C58" s="730" t="s">
        <v>677</v>
      </c>
      <c r="D58" s="731"/>
      <c r="E58" s="161">
        <f>E54+E57</f>
        <v>0</v>
      </c>
      <c r="G58" s="529">
        <f>SUM(G55:G57)</f>
        <v>0</v>
      </c>
      <c r="H58" s="531" t="str">
        <f>CONCATENATE("Total ",E1," Resources Available")</f>
        <v>Total 2014 Resources Available</v>
      </c>
      <c r="I58" s="616"/>
      <c r="J58" s="634"/>
      <c r="K58" s="614"/>
    </row>
    <row r="59" spans="2:11" ht="15.75">
      <c r="B59" s="522" t="str">
        <f>CONCATENATE(C70,"     ",D70)</f>
        <v>     </v>
      </c>
      <c r="C59" s="524"/>
      <c r="D59" s="525" t="s">
        <v>678</v>
      </c>
      <c r="E59" s="164">
        <f>IF(E58-E31&gt;0,E58-E31,0)</f>
        <v>0</v>
      </c>
      <c r="F59"/>
      <c r="G59" s="533"/>
      <c r="H59" s="531"/>
      <c r="I59" s="531"/>
      <c r="J59" s="634"/>
      <c r="K59" s="614"/>
    </row>
    <row r="60" spans="2:11" ht="15.75">
      <c r="B60" s="252"/>
      <c r="C60" s="523" t="s">
        <v>679</v>
      </c>
      <c r="D60" s="638">
        <f>inputOth!$E$96</f>
        <v>0</v>
      </c>
      <c r="E60" s="161">
        <f>ROUND(IF(D60&gt;0,(E59*D60),0),0)</f>
        <v>0</v>
      </c>
      <c r="F60"/>
      <c r="G60" s="532">
        <f>C54</f>
        <v>0</v>
      </c>
      <c r="H60" s="531" t="str">
        <f>CONCATENATE("Less ",E1-2," Expenditures")</f>
        <v>Less 2012 Expenditures</v>
      </c>
      <c r="I60" s="531"/>
      <c r="J60" s="634"/>
      <c r="K60" s="614"/>
    </row>
    <row r="61" spans="2:11" ht="15.75">
      <c r="B61" s="99"/>
      <c r="C61" s="726" t="str">
        <f>CONCATENATE("Amount of  ",$E$1-1," Ad Valorem Tax")</f>
        <v>Amount of  2013 Ad Valorem Tax</v>
      </c>
      <c r="D61" s="727"/>
      <c r="E61" s="164">
        <f>E59+E60</f>
        <v>0</v>
      </c>
      <c r="F61"/>
      <c r="G61" s="545">
        <f>G58-G60</f>
        <v>0</v>
      </c>
      <c r="H61" s="534" t="str">
        <f>CONCATENATE("Projected ",E1+1," carryover (est.)")</f>
        <v>Projected 2015 carryover (est.)</v>
      </c>
      <c r="I61" s="620"/>
      <c r="J61" s="635"/>
      <c r="K61" s="614"/>
    </row>
    <row r="62" spans="2:11" ht="15.75">
      <c r="B62" s="252"/>
      <c r="C62" s="99"/>
      <c r="D62" s="99"/>
      <c r="E62" s="99"/>
      <c r="F62"/>
      <c r="G62" s="614"/>
      <c r="H62" s="614"/>
      <c r="I62" s="614"/>
      <c r="J62" s="614"/>
      <c r="K62" s="614"/>
    </row>
    <row r="63" spans="2:11" ht="15.75">
      <c r="B63" s="182" t="s">
        <v>37</v>
      </c>
      <c r="C63" s="205"/>
      <c r="D63" s="99"/>
      <c r="E63" s="99"/>
      <c r="F63"/>
      <c r="G63" s="723" t="s">
        <v>762</v>
      </c>
      <c r="H63" s="724"/>
      <c r="I63" s="724"/>
      <c r="J63" s="725"/>
      <c r="K63" s="614"/>
    </row>
    <row r="64" spans="6:11" ht="15.75">
      <c r="F64"/>
      <c r="G64" s="622"/>
      <c r="H64" s="530"/>
      <c r="I64" s="600"/>
      <c r="J64" s="623"/>
      <c r="K64" s="614"/>
    </row>
    <row r="65" spans="6:11" ht="15.75">
      <c r="F65"/>
      <c r="G65" s="624" t="str">
        <f>summ!H17</f>
        <v> </v>
      </c>
      <c r="H65" s="530" t="str">
        <f>CONCATENATE("",E1," Fund Mill Rate")</f>
        <v>2014 Fund Mill Rate</v>
      </c>
      <c r="I65" s="600"/>
      <c r="J65" s="623"/>
      <c r="K65" s="614"/>
    </row>
    <row r="66" spans="6:11" ht="15.75">
      <c r="F66"/>
      <c r="G66" s="625" t="str">
        <f>summ!E17</f>
        <v>  </v>
      </c>
      <c r="H66" s="530" t="str">
        <f>CONCATENATE("",E1-1," Fund Mill Rate")</f>
        <v>2013 Fund Mill Rate</v>
      </c>
      <c r="I66" s="600"/>
      <c r="J66" s="623"/>
      <c r="K66" s="614"/>
    </row>
    <row r="67" spans="6:11" ht="15.75">
      <c r="F67"/>
      <c r="G67" s="626">
        <f>summ!H18</f>
        <v>1.62</v>
      </c>
      <c r="H67" s="530" t="str">
        <f>CONCATENATE("Total ",E1," Mill Rate")</f>
        <v>Total 2014 Mill Rate</v>
      </c>
      <c r="I67" s="600"/>
      <c r="J67" s="623"/>
      <c r="K67" s="614"/>
    </row>
    <row r="68" spans="6:11" ht="15.75">
      <c r="F68"/>
      <c r="G68" s="625">
        <f>summ!E18</f>
        <v>1.6</v>
      </c>
      <c r="H68" s="627" t="str">
        <f>CONCATENATE("Total ",E1-1," Mill Rate")</f>
        <v>Total 2013 Mill Rate</v>
      </c>
      <c r="I68" s="628"/>
      <c r="J68" s="629"/>
      <c r="K68" s="614"/>
    </row>
    <row r="69" spans="3:10" ht="15.75" customHeight="1" hidden="1">
      <c r="C69" s="97">
        <f>IF(C54&gt;C56,"See Tab A","")</f>
      </c>
      <c r="D69" s="97">
        <f>IF(D54&gt;D56,"See Tab C","")</f>
      </c>
      <c r="F69" s="596"/>
      <c r="G69" s="541" t="str">
        <f>CONCATENATE("",F3," Total Expenditures Must Be:")</f>
        <v> Total Expenditures Must Be:</v>
      </c>
      <c r="H69" s="542"/>
      <c r="I69" s="534"/>
      <c r="J69" s="543">
        <f>IF((J67&gt;0),(E61+J67-G61),0)</f>
        <v>0</v>
      </c>
    </row>
    <row r="70" spans="3:6" ht="15.75" customHeight="1" hidden="1">
      <c r="C70" s="97">
        <f>IF(C55&lt;0,"See Tab B","")</f>
      </c>
      <c r="D70" s="97">
        <f>IF(D55&lt;0,"See Tab D","")</f>
      </c>
      <c r="F70" s="596"/>
    </row>
    <row r="71" ht="15.75">
      <c r="F71" s="596"/>
    </row>
    <row r="72" spans="6:9" ht="15.75">
      <c r="F72" s="596"/>
      <c r="G72" s="671" t="s">
        <v>802</v>
      </c>
      <c r="H72" s="670"/>
      <c r="I72" s="669" t="str">
        <f>cert!F30</f>
        <v>No</v>
      </c>
    </row>
    <row r="73" ht="15.75">
      <c r="F73" s="596"/>
    </row>
    <row r="74" ht="15.75">
      <c r="F74" s="596"/>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64">
      <selection activeCell="C82" sqref="C82"/>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Fairview (Menlo) Cemetery</v>
      </c>
      <c r="C1" s="99"/>
      <c r="D1" s="99"/>
      <c r="E1" s="277"/>
      <c r="F1" s="596"/>
    </row>
    <row r="2" spans="2:6" ht="15.75">
      <c r="B2" s="99" t="str">
        <f>inputPrYr!D4</f>
        <v>Thomas County</v>
      </c>
      <c r="C2" s="99"/>
      <c r="D2" s="99"/>
      <c r="E2" s="182"/>
      <c r="F2" s="596"/>
    </row>
    <row r="3" spans="2:6" ht="15.75">
      <c r="B3" s="110"/>
      <c r="C3" s="178"/>
      <c r="D3" s="178"/>
      <c r="E3" s="312">
        <f>inputPrYr!D11</f>
        <v>2014</v>
      </c>
      <c r="F3" s="597"/>
    </row>
    <row r="4" spans="2:6" ht="15.75">
      <c r="B4" s="564" t="s">
        <v>74</v>
      </c>
      <c r="C4" s="562"/>
      <c r="D4" s="181"/>
      <c r="E4" s="181"/>
      <c r="F4" s="596"/>
    </row>
    <row r="5" spans="2:6" ht="15.75">
      <c r="B5" s="98" t="s">
        <v>26</v>
      </c>
      <c r="C5" s="426" t="s">
        <v>262</v>
      </c>
      <c r="D5" s="428" t="s">
        <v>264</v>
      </c>
      <c r="E5" s="313" t="s">
        <v>265</v>
      </c>
      <c r="F5" s="596"/>
    </row>
    <row r="6" spans="2:6" ht="15.75">
      <c r="B6" s="437">
        <f>inputPrYr!B27</f>
        <v>0</v>
      </c>
      <c r="C6" s="427" t="str">
        <f>CONCATENATE("Actual for ",E3-2,"")</f>
        <v>Actual for 2012</v>
      </c>
      <c r="D6" s="427" t="str">
        <f>CONCATENATE("Estimate for ",E3-1,"")</f>
        <v>Estimate for 2013</v>
      </c>
      <c r="E6" s="265" t="str">
        <f>CONCATENATE("Year for ",E3,"")</f>
        <v>Year for 2014</v>
      </c>
      <c r="F6" s="596"/>
    </row>
    <row r="7" spans="2:6" ht="15.75">
      <c r="B7" s="220" t="s">
        <v>118</v>
      </c>
      <c r="C7" s="421"/>
      <c r="D7" s="425">
        <f>C34</f>
        <v>0</v>
      </c>
      <c r="E7" s="161">
        <f>D34</f>
        <v>0</v>
      </c>
      <c r="F7" s="596"/>
    </row>
    <row r="8" spans="2:6" ht="15.75">
      <c r="B8" s="237" t="s">
        <v>120</v>
      </c>
      <c r="C8" s="314"/>
      <c r="D8" s="314"/>
      <c r="E8" s="160"/>
      <c r="F8" s="596"/>
    </row>
    <row r="9" spans="2:6" ht="15.75">
      <c r="B9" s="220" t="s">
        <v>27</v>
      </c>
      <c r="C9" s="421"/>
      <c r="D9" s="314">
        <f>IF(inputPrYr!H23&gt;0,inputPrYr!G27,inputPrYr!E27)</f>
        <v>0</v>
      </c>
      <c r="E9" s="231" t="s">
        <v>21</v>
      </c>
      <c r="F9" s="596"/>
    </row>
    <row r="10" spans="2:6" ht="15.75">
      <c r="B10" s="220" t="s">
        <v>28</v>
      </c>
      <c r="C10" s="421"/>
      <c r="D10" s="421"/>
      <c r="E10" s="292"/>
      <c r="F10" s="596"/>
    </row>
    <row r="11" spans="2:6" ht="15.75">
      <c r="B11" s="220" t="s">
        <v>29</v>
      </c>
      <c r="C11" s="421"/>
      <c r="D11" s="421"/>
      <c r="E11" s="161">
        <f>mvalloc!D13</f>
        <v>0</v>
      </c>
      <c r="F11" s="596"/>
    </row>
    <row r="12" spans="2:6" ht="15.75">
      <c r="B12" s="220" t="s">
        <v>30</v>
      </c>
      <c r="C12" s="421"/>
      <c r="D12" s="421"/>
      <c r="E12" s="161">
        <f>mvalloc!E13</f>
        <v>0</v>
      </c>
      <c r="F12" s="596"/>
    </row>
    <row r="13" spans="2:6" ht="15.75">
      <c r="B13" s="314" t="s">
        <v>102</v>
      </c>
      <c r="C13" s="421"/>
      <c r="D13" s="421"/>
      <c r="E13" s="161">
        <f>mvalloc!F13</f>
        <v>0</v>
      </c>
      <c r="F13" s="596"/>
    </row>
    <row r="14" spans="2:6" ht="15.75">
      <c r="B14" s="315"/>
      <c r="C14" s="421"/>
      <c r="D14" s="421"/>
      <c r="E14" s="292"/>
      <c r="F14" s="596"/>
    </row>
    <row r="15" spans="2:6" ht="15.75">
      <c r="B15" s="315"/>
      <c r="C15" s="421"/>
      <c r="D15" s="421"/>
      <c r="E15" s="292"/>
      <c r="F15" s="596"/>
    </row>
    <row r="16" spans="2:6" ht="15.75">
      <c r="B16" s="315"/>
      <c r="C16" s="421"/>
      <c r="D16" s="421"/>
      <c r="E16" s="292"/>
      <c r="F16" s="596"/>
    </row>
    <row r="17" spans="2:6" ht="15.75">
      <c r="B17" s="316" t="s">
        <v>31</v>
      </c>
      <c r="C17" s="421"/>
      <c r="D17" s="421"/>
      <c r="E17" s="292"/>
      <c r="F17" s="596"/>
    </row>
    <row r="18" spans="2:6" ht="15.75">
      <c r="B18" s="317" t="s">
        <v>227</v>
      </c>
      <c r="C18" s="315"/>
      <c r="D18" s="315"/>
      <c r="E18" s="292"/>
      <c r="F18" s="596"/>
    </row>
    <row r="19" spans="2:6" ht="15.75">
      <c r="B19" s="317" t="s">
        <v>580</v>
      </c>
      <c r="C19" s="423">
        <f>IF(C20*0.1&lt;C18,"Exceed 10% Rule","")</f>
      </c>
      <c r="D19" s="423">
        <f>IF(D20*0.1&lt;D18,"Exceed 10% Rule","")</f>
      </c>
      <c r="E19" s="438">
        <f>IF(E20*0.1&lt;E18,"Exceed 10% Rule","")</f>
      </c>
      <c r="F19" s="596"/>
    </row>
    <row r="20" spans="2:6" ht="15.75">
      <c r="B20" s="320" t="s">
        <v>32</v>
      </c>
      <c r="C20" s="424">
        <f>SUM(C9:C18)</f>
        <v>0</v>
      </c>
      <c r="D20" s="424">
        <f>SUM(D9:D18)</f>
        <v>0</v>
      </c>
      <c r="E20" s="321">
        <f>SUM(E9:E18)</f>
        <v>0</v>
      </c>
      <c r="F20" s="596"/>
    </row>
    <row r="21" spans="2:6" ht="15.75">
      <c r="B21" s="320" t="s">
        <v>33</v>
      </c>
      <c r="C21" s="424">
        <f>C7+C20</f>
        <v>0</v>
      </c>
      <c r="D21" s="424">
        <f>D7+D20</f>
        <v>0</v>
      </c>
      <c r="E21" s="321">
        <f>E7+E20</f>
        <v>0</v>
      </c>
      <c r="F21" s="596"/>
    </row>
    <row r="22" spans="2:6" ht="15.75">
      <c r="B22" s="220" t="s">
        <v>34</v>
      </c>
      <c r="C22" s="223"/>
      <c r="D22" s="223"/>
      <c r="E22" s="133"/>
      <c r="F22" s="596"/>
    </row>
    <row r="23" spans="2:6" ht="15.75">
      <c r="B23" s="315"/>
      <c r="C23" s="421"/>
      <c r="D23" s="421"/>
      <c r="E23" s="121"/>
      <c r="F23" s="596"/>
    </row>
    <row r="24" spans="2:6" ht="15.75">
      <c r="B24" s="315"/>
      <c r="C24" s="421"/>
      <c r="D24" s="421"/>
      <c r="E24" s="121"/>
      <c r="F24" s="596"/>
    </row>
    <row r="25" spans="2:11" ht="15.75">
      <c r="B25" s="315"/>
      <c r="C25" s="421"/>
      <c r="D25" s="421"/>
      <c r="E25" s="121"/>
      <c r="F25" s="97"/>
      <c r="G25" s="732" t="str">
        <f>CONCATENATE("Desired Carryover Into ",E3+1,"")</f>
        <v>Desired Carryover Into 2015</v>
      </c>
      <c r="H25" s="733"/>
      <c r="I25" s="733"/>
      <c r="J25" s="734"/>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08">
        <f>IF(J27=0,"",ROUND((J27+E40-G40)/inputOth!E12*1000,3)-G45)</f>
      </c>
      <c r="K28" s="97"/>
    </row>
    <row r="29" spans="2:11" ht="15.75">
      <c r="B29" s="315"/>
      <c r="C29" s="421"/>
      <c r="D29" s="421"/>
      <c r="E29" s="121"/>
      <c r="F29" s="97"/>
      <c r="G29" s="609" t="str">
        <f>CONCATENATE("",E3," Tot Exp/Non-Appr Must Be:")</f>
        <v>2014 Tot Exp/Non-Appr Must Be:</v>
      </c>
      <c r="H29" s="599"/>
      <c r="I29" s="598"/>
      <c r="J29" s="610">
        <f>IF(J27&gt;0,IF(E37&lt;E22,IF(J27=G40,E37,((J27-G40)*(1-D39))+E22),E37+(J27-G40)),0)</f>
        <v>0</v>
      </c>
      <c r="K29" s="97"/>
    </row>
    <row r="30" spans="2:11" ht="15.75">
      <c r="B30" s="223" t="s">
        <v>226</v>
      </c>
      <c r="C30" s="421"/>
      <c r="D30" s="421"/>
      <c r="E30" s="163">
        <f>Nhood!E9</f>
      </c>
      <c r="F30" s="97"/>
      <c r="G30" s="611" t="s">
        <v>761</v>
      </c>
      <c r="H30" s="612"/>
      <c r="I30" s="612"/>
      <c r="J30" s="613">
        <f>IF(J27&gt;0,J29-E37,0)</f>
        <v>0</v>
      </c>
      <c r="K30" s="97"/>
    </row>
    <row r="31" spans="2:11" ht="15.75">
      <c r="B31" s="223" t="s">
        <v>227</v>
      </c>
      <c r="C31" s="315"/>
      <c r="D31" s="315"/>
      <c r="E31" s="292"/>
      <c r="F31" s="97"/>
      <c r="G31" s="97"/>
      <c r="H31" s="97"/>
      <c r="I31" s="97"/>
      <c r="J31" s="614"/>
      <c r="K31" s="97"/>
    </row>
    <row r="32" spans="2:11" ht="15.75">
      <c r="B32" s="223" t="s">
        <v>581</v>
      </c>
      <c r="C32" s="423">
        <f>IF(C33*0.1&lt;C31,"Exceed 10% Rule","")</f>
      </c>
      <c r="D32" s="423">
        <f>IF(D33*0.1&lt;D31,"Exceed 10% Rule","")</f>
      </c>
      <c r="E32" s="438">
        <f>IF(E33*0.1&lt;E31,"Exceed 10% Rule","")</f>
      </c>
      <c r="F32" s="97"/>
      <c r="G32" s="732" t="str">
        <f>CONCATENATE("Projected Carryover Into ",E3+1,"")</f>
        <v>Projected Carryover Into 2015</v>
      </c>
      <c r="H32" s="735"/>
      <c r="I32" s="735"/>
      <c r="J32" s="736"/>
      <c r="K32" s="97"/>
    </row>
    <row r="33" spans="2:11" ht="15.75">
      <c r="B33" s="320" t="s">
        <v>35</v>
      </c>
      <c r="C33" s="424">
        <f>SUM(C23:C31)</f>
        <v>0</v>
      </c>
      <c r="D33" s="424">
        <f>SUM(D23:D31)</f>
        <v>0</v>
      </c>
      <c r="E33" s="321">
        <f>SUM(E23:E31)</f>
        <v>0</v>
      </c>
      <c r="F33" s="97"/>
      <c r="G33" s="537"/>
      <c r="H33" s="531"/>
      <c r="I33" s="531"/>
      <c r="J33" s="615"/>
      <c r="K33" s="97"/>
    </row>
    <row r="34" spans="2:11" ht="15.75">
      <c r="B34" s="220" t="s">
        <v>119</v>
      </c>
      <c r="C34" s="422">
        <f>C21-C33</f>
        <v>0</v>
      </c>
      <c r="D34" s="422">
        <f>D21-D33</f>
        <v>0</v>
      </c>
      <c r="E34" s="231" t="s">
        <v>21</v>
      </c>
      <c r="F34" s="97"/>
      <c r="G34" s="529">
        <f>D34</f>
        <v>0</v>
      </c>
      <c r="H34" s="530" t="str">
        <f>CONCATENATE("",E3-1," Ending Cash Balance (est.)")</f>
        <v>2013 Ending Cash Balance (est.)</v>
      </c>
      <c r="I34" s="616"/>
      <c r="J34" s="615"/>
      <c r="K34" s="97"/>
    </row>
    <row r="35" spans="2:11" ht="15.75">
      <c r="B35" s="182" t="str">
        <f>CONCATENATE("",E3-2,"/",E3-1," Budget Authority Amount:")</f>
        <v>2012/2013 Budget Authority Amount:</v>
      </c>
      <c r="C35" s="194">
        <f>inputOth!B104</f>
        <v>0</v>
      </c>
      <c r="D35" s="171">
        <f>inputPrYr!D27</f>
        <v>0</v>
      </c>
      <c r="E35" s="231" t="s">
        <v>21</v>
      </c>
      <c r="F35" s="97"/>
      <c r="G35" s="529">
        <f>E21</f>
        <v>0</v>
      </c>
      <c r="H35" s="531" t="str">
        <f>CONCATENATE("",E3," Non-AV Receipts (est.)")</f>
        <v>2014 Non-AV Receipts (est.)</v>
      </c>
      <c r="I35" s="616"/>
      <c r="J35" s="615"/>
      <c r="K35" s="97"/>
    </row>
    <row r="36" spans="2:11" ht="15.75">
      <c r="B36" s="182"/>
      <c r="C36" s="728" t="s">
        <v>676</v>
      </c>
      <c r="D36" s="729"/>
      <c r="E36" s="292"/>
      <c r="F36" s="617">
        <f>IF(E33/0.95-E33&lt;E36,"Exceeds 5%","")</f>
      </c>
      <c r="G36" s="532">
        <f>IF(E39&gt;0,E38,E40)</f>
        <v>0</v>
      </c>
      <c r="H36" s="531" t="str">
        <f>CONCATENATE("",E3," Ad Valorem Tax (est.)")</f>
        <v>2014 Ad Valorem Tax (est.)</v>
      </c>
      <c r="I36" s="616"/>
      <c r="J36" s="618"/>
      <c r="K36" s="619">
        <f>IF(G36=E40,"","Note: Does not include Delinquent Taxes")</f>
      </c>
    </row>
    <row r="37" spans="2:11" ht="15.75">
      <c r="B37" s="522" t="str">
        <f>CONCATENATE(C88,"     ",D88)</f>
        <v>     </v>
      </c>
      <c r="C37" s="730" t="s">
        <v>677</v>
      </c>
      <c r="D37" s="731"/>
      <c r="E37" s="161">
        <f>E33+E36</f>
        <v>0</v>
      </c>
      <c r="G37" s="529">
        <f>SUM(G34:G36)</f>
        <v>0</v>
      </c>
      <c r="H37" s="531" t="str">
        <f>CONCATENATE("Total ",E3," Resources Available")</f>
        <v>Total 2014 Resources Available</v>
      </c>
      <c r="I37" s="616"/>
      <c r="J37" s="615"/>
      <c r="K37" s="97"/>
    </row>
    <row r="38" spans="2:11" ht="15.75">
      <c r="B38" s="522" t="str">
        <f>CONCATENATE(C89,"     ",D89)</f>
        <v>     </v>
      </c>
      <c r="C38" s="524"/>
      <c r="D38" s="525" t="s">
        <v>678</v>
      </c>
      <c r="E38" s="164">
        <f>IF(E37-E21&gt;0,E37-E21,0)</f>
        <v>0</v>
      </c>
      <c r="F38" s="97"/>
      <c r="G38" s="533"/>
      <c r="H38" s="531"/>
      <c r="I38" s="531"/>
      <c r="J38" s="615"/>
      <c r="K38" s="97"/>
    </row>
    <row r="39" spans="2:11" ht="15.75">
      <c r="B39" s="252"/>
      <c r="C39" s="523" t="s">
        <v>679</v>
      </c>
      <c r="D39" s="638">
        <f>inputOth!$E$96</f>
        <v>0</v>
      </c>
      <c r="E39" s="161">
        <f>ROUND(IF(D39&gt;0,(E38*D39),0),0)</f>
        <v>0</v>
      </c>
      <c r="F39" s="97"/>
      <c r="G39" s="532">
        <f>ROUND(C33*0.05+C33,0)</f>
        <v>0</v>
      </c>
      <c r="H39" s="531" t="str">
        <f>CONCATENATE("Less ",E3-2," Expenditures + 5%")</f>
        <v>Less 2012 Expenditures + 5%</v>
      </c>
      <c r="I39" s="616"/>
      <c r="J39" s="615"/>
      <c r="K39" s="97"/>
    </row>
    <row r="40" spans="2:11" ht="15.75">
      <c r="B40" s="99"/>
      <c r="C40" s="726" t="str">
        <f>CONCATENATE("Amount of  ",$E$3-1," Ad Valorem Tax")</f>
        <v>Amount of  2013 Ad Valorem Tax</v>
      </c>
      <c r="D40" s="727"/>
      <c r="E40" s="164">
        <f>E38+E39</f>
        <v>0</v>
      </c>
      <c r="F40" s="97"/>
      <c r="G40" s="545">
        <f>G37-G39</f>
        <v>0</v>
      </c>
      <c r="H40" s="534" t="str">
        <f>CONCATENATE("Projected ",E3+1," carryover (est.)")</f>
        <v>Projected 2015 carryover (est.)</v>
      </c>
      <c r="I40" s="620"/>
      <c r="J40" s="621"/>
      <c r="K40" s="97"/>
    </row>
    <row r="41" spans="2:11" ht="15.75">
      <c r="B41" s="99"/>
      <c r="C41" s="99"/>
      <c r="D41" s="99"/>
      <c r="E41" s="99"/>
      <c r="F41" s="97"/>
      <c r="G41" s="614"/>
      <c r="H41" s="614"/>
      <c r="I41" s="614"/>
      <c r="J41" s="614"/>
      <c r="K41" s="97"/>
    </row>
    <row r="42" spans="2:11" ht="15.75">
      <c r="B42" s="98" t="s">
        <v>26</v>
      </c>
      <c r="C42" s="181"/>
      <c r="D42" s="181"/>
      <c r="E42" s="181"/>
      <c r="F42" s="97"/>
      <c r="G42" s="723" t="s">
        <v>762</v>
      </c>
      <c r="H42" s="724"/>
      <c r="I42" s="724"/>
      <c r="J42" s="725"/>
      <c r="K42" s="97"/>
    </row>
    <row r="43" spans="2:11" ht="15.75">
      <c r="B43" s="99"/>
      <c r="C43" s="426" t="s">
        <v>263</v>
      </c>
      <c r="D43" s="428" t="s">
        <v>264</v>
      </c>
      <c r="E43" s="313" t="s">
        <v>265</v>
      </c>
      <c r="F43" s="97"/>
      <c r="G43" s="622"/>
      <c r="H43" s="530"/>
      <c r="I43" s="600"/>
      <c r="J43" s="623"/>
      <c r="K43" s="97"/>
    </row>
    <row r="44" spans="2:11" ht="15.75">
      <c r="B44" s="437">
        <f>inputPrYr!B28</f>
        <v>0</v>
      </c>
      <c r="C44" s="427" t="str">
        <f>C6</f>
        <v>Actual for 2012</v>
      </c>
      <c r="D44" s="427" t="str">
        <f>D6</f>
        <v>Estimate for 2013</v>
      </c>
      <c r="E44" s="265" t="str">
        <f>E6</f>
        <v>Year for 2014</v>
      </c>
      <c r="F44" s="97"/>
      <c r="G44" s="624" t="e">
        <f>summ!#REF!</f>
        <v>#REF!</v>
      </c>
      <c r="H44" s="530" t="str">
        <f>CONCATENATE("",E3," Fund Mill Rate")</f>
        <v>2014 Fund Mill Rate</v>
      </c>
      <c r="I44" s="600"/>
      <c r="J44" s="623"/>
      <c r="K44" s="97"/>
    </row>
    <row r="45" spans="2:11" ht="15.75">
      <c r="B45" s="220" t="s">
        <v>118</v>
      </c>
      <c r="C45" s="421"/>
      <c r="D45" s="425">
        <f>C74</f>
        <v>0</v>
      </c>
      <c r="E45" s="161">
        <f>D74</f>
        <v>0</v>
      </c>
      <c r="F45" s="97"/>
      <c r="G45" s="625" t="e">
        <f>summ!#REF!</f>
        <v>#REF!</v>
      </c>
      <c r="H45" s="530" t="str">
        <f>CONCATENATE("",E3-1," Fund Mill Rate")</f>
        <v>2013 Fund Mill Rate</v>
      </c>
      <c r="I45" s="600"/>
      <c r="J45" s="623"/>
      <c r="K45" s="97"/>
    </row>
    <row r="46" spans="2:11" ht="15.75">
      <c r="B46" s="237" t="s">
        <v>120</v>
      </c>
      <c r="C46" s="314"/>
      <c r="D46" s="314"/>
      <c r="E46" s="160"/>
      <c r="F46" s="97"/>
      <c r="G46" s="626">
        <f>summ!H18</f>
        <v>1.62</v>
      </c>
      <c r="H46" s="530" t="str">
        <f>CONCATENATE("Total ",E3," Mill Rate")</f>
        <v>Total 2014 Mill Rate</v>
      </c>
      <c r="I46" s="600"/>
      <c r="J46" s="623"/>
      <c r="K46" s="97"/>
    </row>
    <row r="47" spans="2:11" ht="15.75">
      <c r="B47" s="220" t="s">
        <v>27</v>
      </c>
      <c r="C47" s="421"/>
      <c r="D47" s="314">
        <f>IF(inputPrYr!H23&gt;0,inputPrYr!G28,inputPrYr!G28)</f>
        <v>0</v>
      </c>
      <c r="E47" s="231" t="s">
        <v>21</v>
      </c>
      <c r="F47" s="97"/>
      <c r="G47" s="625">
        <f>summ!E18</f>
        <v>1.6</v>
      </c>
      <c r="H47" s="627" t="str">
        <f>CONCATENATE("Total ",E3-1," Mill Rate")</f>
        <v>Total 2013 Mill Rate</v>
      </c>
      <c r="I47" s="628"/>
      <c r="J47" s="629"/>
      <c r="K47" s="97"/>
    </row>
    <row r="48" spans="2:6" ht="15.75">
      <c r="B48" s="220" t="s">
        <v>28</v>
      </c>
      <c r="C48" s="421"/>
      <c r="D48" s="421"/>
      <c r="E48" s="292"/>
      <c r="F48" s="596"/>
    </row>
    <row r="49" spans="2:9" ht="15.75">
      <c r="B49" s="220" t="s">
        <v>29</v>
      </c>
      <c r="C49" s="421"/>
      <c r="D49" s="421"/>
      <c r="E49" s="161">
        <f>mvalloc!D14</f>
        <v>0</v>
      </c>
      <c r="F49" s="596"/>
      <c r="G49" s="674" t="s">
        <v>802</v>
      </c>
      <c r="H49" s="673"/>
      <c r="I49" s="672" t="str">
        <f>cert!F30</f>
        <v>No</v>
      </c>
    </row>
    <row r="50" spans="2:6" ht="15.75">
      <c r="B50" s="220" t="s">
        <v>30</v>
      </c>
      <c r="C50" s="421"/>
      <c r="D50" s="421"/>
      <c r="E50" s="161">
        <f>mvalloc!E14</f>
        <v>0</v>
      </c>
      <c r="F50" s="596"/>
    </row>
    <row r="51" spans="2:6" ht="15.75">
      <c r="B51" s="314" t="s">
        <v>102</v>
      </c>
      <c r="C51" s="421"/>
      <c r="D51" s="421"/>
      <c r="E51" s="161">
        <f>mvalloc!F14</f>
        <v>0</v>
      </c>
      <c r="F51" s="596"/>
    </row>
    <row r="52" spans="2:6" ht="15.75">
      <c r="B52" s="315"/>
      <c r="C52" s="421"/>
      <c r="D52" s="421"/>
      <c r="E52" s="292"/>
      <c r="F52" s="596"/>
    </row>
    <row r="53" spans="2:6" ht="15.75">
      <c r="B53" s="315"/>
      <c r="C53" s="421"/>
      <c r="D53" s="421"/>
      <c r="E53" s="292"/>
      <c r="F53" s="596"/>
    </row>
    <row r="54" spans="2:6" ht="15.75">
      <c r="B54" s="315"/>
      <c r="C54" s="421"/>
      <c r="D54" s="421"/>
      <c r="E54" s="292"/>
      <c r="F54" s="596"/>
    </row>
    <row r="55" spans="2:6" ht="15.75">
      <c r="B55" s="315"/>
      <c r="C55" s="421"/>
      <c r="D55" s="421"/>
      <c r="E55" s="292"/>
      <c r="F55" s="596"/>
    </row>
    <row r="56" spans="2:6" ht="15.75">
      <c r="B56" s="315"/>
      <c r="C56" s="421"/>
      <c r="D56" s="421"/>
      <c r="E56" s="292"/>
      <c r="F56" s="596"/>
    </row>
    <row r="57" spans="2:10" ht="15.75">
      <c r="B57" s="316" t="s">
        <v>31</v>
      </c>
      <c r="C57" s="421"/>
      <c r="D57" s="421"/>
      <c r="E57" s="292"/>
      <c r="F57" s="596"/>
      <c r="G57" s="605"/>
      <c r="H57" s="607"/>
      <c r="I57" s="607"/>
      <c r="J57" s="606"/>
    </row>
    <row r="58" spans="2:10" ht="15.75">
      <c r="B58" s="317" t="s">
        <v>227</v>
      </c>
      <c r="C58" s="315"/>
      <c r="D58" s="315"/>
      <c r="E58" s="292"/>
      <c r="F58" s="596"/>
      <c r="G58" s="536"/>
      <c r="H58" s="536"/>
      <c r="I58" s="536"/>
      <c r="J58" s="536"/>
    </row>
    <row r="59" spans="2:10" ht="15.75">
      <c r="B59" s="317" t="s">
        <v>580</v>
      </c>
      <c r="C59" s="423">
        <f>IF(C60*0.1&lt;C58,"Exceed 10% Rule","")</f>
      </c>
      <c r="D59" s="423">
        <f>IF(D60*0.1&lt;D58,"Exceed 10% Rule","")</f>
      </c>
      <c r="E59" s="438">
        <f>IF(E60*0.1+E80&lt;E58,"Exceed 10% Rule","")</f>
      </c>
      <c r="F59" s="596"/>
      <c r="G59" s="601"/>
      <c r="H59" s="602"/>
      <c r="I59" s="603"/>
      <c r="J59" s="536"/>
    </row>
    <row r="60" spans="2:10" ht="15.75">
      <c r="B60" s="320" t="s">
        <v>32</v>
      </c>
      <c r="C60" s="424">
        <f>SUM(C47:C58)</f>
        <v>0</v>
      </c>
      <c r="D60" s="424">
        <f>SUM(D47:D58)</f>
        <v>0</v>
      </c>
      <c r="E60" s="321">
        <f>SUM(E47:E58)</f>
        <v>0</v>
      </c>
      <c r="F60" s="596"/>
      <c r="G60" s="601"/>
      <c r="H60" s="603"/>
      <c r="I60" s="603"/>
      <c r="J60" s="536"/>
    </row>
    <row r="61" spans="2:10" ht="15.75">
      <c r="B61" s="320" t="s">
        <v>33</v>
      </c>
      <c r="C61" s="424">
        <f>C45+C60</f>
        <v>0</v>
      </c>
      <c r="D61" s="424">
        <f>D45+D60</f>
        <v>0</v>
      </c>
      <c r="E61" s="321">
        <f>E45+E60</f>
        <v>0</v>
      </c>
      <c r="F61" s="596"/>
      <c r="G61" s="601"/>
      <c r="H61" s="603"/>
      <c r="I61" s="603"/>
      <c r="J61" s="536"/>
    </row>
    <row r="62" spans="2:10" ht="15.75">
      <c r="B62" s="220" t="s">
        <v>34</v>
      </c>
      <c r="C62" s="223"/>
      <c r="D62" s="223"/>
      <c r="E62" s="133"/>
      <c r="F62" s="596"/>
      <c r="G62" s="601"/>
      <c r="H62" s="603"/>
      <c r="I62" s="603"/>
      <c r="J62" s="536"/>
    </row>
    <row r="63" spans="2:10" ht="15.75">
      <c r="B63" s="315"/>
      <c r="C63" s="421"/>
      <c r="D63" s="421"/>
      <c r="E63" s="292"/>
      <c r="F63" s="596"/>
      <c r="G63" s="604"/>
      <c r="H63" s="603"/>
      <c r="I63" s="603"/>
      <c r="J63" s="536"/>
    </row>
    <row r="64" spans="2:10" ht="15.75">
      <c r="B64" s="315"/>
      <c r="C64" s="421"/>
      <c r="D64" s="421"/>
      <c r="E64" s="292"/>
      <c r="F64" s="596"/>
      <c r="G64" s="601"/>
      <c r="H64" s="603"/>
      <c r="I64" s="603"/>
      <c r="J64" s="536"/>
    </row>
    <row r="65" spans="2:11" ht="15.75">
      <c r="B65" s="315"/>
      <c r="C65" s="421"/>
      <c r="D65" s="421"/>
      <c r="E65" s="292"/>
      <c r="F65" s="97"/>
      <c r="G65" s="732" t="str">
        <f>CONCATENATE("Desired Carryover Into ",E3+1,"")</f>
        <v>Desired Carryover Into 2015</v>
      </c>
      <c r="H65" s="733"/>
      <c r="I65" s="733"/>
      <c r="J65" s="734"/>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08">
        <f>IF(J67=0,"",ROUND((J67+E77-G80)/inputOth!E12*1000,3)-G85)</f>
      </c>
      <c r="K68" s="97"/>
    </row>
    <row r="69" spans="2:11" ht="15.75">
      <c r="B69" s="315"/>
      <c r="C69" s="421"/>
      <c r="D69" s="421"/>
      <c r="E69" s="292"/>
      <c r="F69" s="97"/>
      <c r="G69" s="609" t="str">
        <f>CONCATENATE("",E3," Tot Exp/Non-Appr Must Be:")</f>
        <v>2014 Tot Exp/Non-Appr Must Be:</v>
      </c>
      <c r="H69" s="599"/>
      <c r="I69" s="598"/>
      <c r="J69" s="610">
        <f>IF(J67&gt;0,IF(E77&lt;E61,IF(J67=G80,E77,((J67-G80)*(1-D79))+E60),E77+(J67-G80)),0)</f>
        <v>0</v>
      </c>
      <c r="K69" s="97"/>
    </row>
    <row r="70" spans="2:11" ht="15.75">
      <c r="B70" s="223" t="s">
        <v>226</v>
      </c>
      <c r="C70" s="315"/>
      <c r="D70" s="315"/>
      <c r="E70" s="163">
        <f>Nhood!E10</f>
      </c>
      <c r="F70" s="97"/>
      <c r="G70" s="611" t="s">
        <v>761</v>
      </c>
      <c r="H70" s="612"/>
      <c r="I70" s="612"/>
      <c r="J70" s="613">
        <f>IF(J67&gt;0,J69-E77,0)</f>
        <v>0</v>
      </c>
      <c r="K70" s="97"/>
    </row>
    <row r="71" spans="2:11" ht="15.75">
      <c r="B71" s="223" t="s">
        <v>227</v>
      </c>
      <c r="C71" s="315"/>
      <c r="D71" s="315"/>
      <c r="E71" s="292"/>
      <c r="F71" s="97"/>
      <c r="G71" s="97"/>
      <c r="H71" s="97"/>
      <c r="I71" s="97"/>
      <c r="J71" s="614"/>
      <c r="K71" s="97"/>
    </row>
    <row r="72" spans="2:11" ht="15.75">
      <c r="B72" s="223" t="s">
        <v>581</v>
      </c>
      <c r="C72" s="423">
        <f>IF(C73*0.1&lt;C71,"Exceed 10% Rule","")</f>
      </c>
      <c r="D72" s="423">
        <f>IF(D73*0.1&lt;D71,"Exceed 10% Rule","")</f>
      </c>
      <c r="E72" s="438">
        <f>IF(E73*0.1&lt;E71,"Exceed 10% Rule","")</f>
      </c>
      <c r="F72" s="97"/>
      <c r="G72" s="732" t="str">
        <f>CONCATENATE("Projected Carryover Into ",E3+1,"")</f>
        <v>Projected Carryover Into 2015</v>
      </c>
      <c r="H72" s="737"/>
      <c r="I72" s="737"/>
      <c r="J72" s="736"/>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2013 Ending Cash Balance (est.)</v>
      </c>
      <c r="I74" s="616"/>
      <c r="J74" s="528"/>
      <c r="K74" s="97"/>
    </row>
    <row r="75" spans="2:11" ht="15.75">
      <c r="B75" s="182" t="str">
        <f>CONCATENATE("",E3-2,"/",E3-1," Budget Authority Amount:")</f>
        <v>2012/2013 Budget Authority Amount:</v>
      </c>
      <c r="C75" s="194">
        <f>inputOth!B105</f>
        <v>0</v>
      </c>
      <c r="D75" s="171">
        <f>inputPrYr!D28</f>
        <v>0</v>
      </c>
      <c r="E75" s="231" t="s">
        <v>21</v>
      </c>
      <c r="F75" s="97"/>
      <c r="G75" s="529">
        <f>E60</f>
        <v>0</v>
      </c>
      <c r="H75" s="531" t="str">
        <f>CONCATENATE("",E3," Non-AV Receipts (est.)")</f>
        <v>2014 Non-AV Receipts (est.)</v>
      </c>
      <c r="I75" s="616"/>
      <c r="J75" s="528"/>
      <c r="K75" s="97"/>
    </row>
    <row r="76" spans="2:11" ht="15.75">
      <c r="B76" s="182"/>
      <c r="C76" s="728" t="s">
        <v>676</v>
      </c>
      <c r="D76" s="729"/>
      <c r="E76" s="292"/>
      <c r="F76" s="617">
        <f>IF(E73/0.95-E73&lt;E76,"Exceeds 5%","")</f>
      </c>
      <c r="G76" s="532">
        <f>IF(E79&gt;0,E78,E80)</f>
        <v>0</v>
      </c>
      <c r="H76" s="531" t="str">
        <f>CONCATENATE("",E3," Ad Valorem Tax (est.)")</f>
        <v>2014 Ad Valorem Tax (est.)</v>
      </c>
      <c r="I76" s="616"/>
      <c r="J76" s="528"/>
      <c r="K76" s="619">
        <f>IF(G76=E78,"","Note: Does not include Delinquent Taxes")</f>
      </c>
    </row>
    <row r="77" spans="2:11" ht="15.75">
      <c r="B77" s="522" t="str">
        <f>CONCATENATE(C90,"     ",D90)</f>
        <v>     </v>
      </c>
      <c r="C77" s="730" t="s">
        <v>677</v>
      </c>
      <c r="D77" s="731"/>
      <c r="E77" s="161">
        <f>E73+E76</f>
        <v>0</v>
      </c>
      <c r="G77" s="630">
        <f>SUM(G74:G76)</f>
        <v>0</v>
      </c>
      <c r="H77" s="531" t="str">
        <f>CONCATENATE("Total ",E3," Resources Available")</f>
        <v>Total 2014 Resources Available</v>
      </c>
      <c r="I77" s="528"/>
      <c r="J77" s="528"/>
      <c r="K77" s="97"/>
    </row>
    <row r="78" spans="2:11" ht="15.75">
      <c r="B78" s="522" t="str">
        <f>CONCATENATE(C91,"     ",D91)</f>
        <v>     </v>
      </c>
      <c r="C78" s="524"/>
      <c r="D78" s="525" t="s">
        <v>678</v>
      </c>
      <c r="E78" s="164">
        <f>IF(E77-E61&gt;0,E77-E61,0)</f>
        <v>0</v>
      </c>
      <c r="F78" s="97"/>
      <c r="G78" s="631"/>
      <c r="H78" s="544"/>
      <c r="I78" s="527"/>
      <c r="J78" s="528"/>
      <c r="K78" s="97"/>
    </row>
    <row r="79" spans="2:11" ht="15.75">
      <c r="B79" s="252"/>
      <c r="C79" s="523" t="s">
        <v>679</v>
      </c>
      <c r="D79" s="638">
        <f>inputOth!$E$96</f>
        <v>0</v>
      </c>
      <c r="E79" s="161">
        <f>ROUND(IF(D79&gt;0,(E78*D79),0),0)</f>
        <v>0</v>
      </c>
      <c r="F79" s="97"/>
      <c r="G79" s="632">
        <f>ROUND(C73*0.05+C73,0)</f>
        <v>0</v>
      </c>
      <c r="H79" s="544" t="str">
        <f>CONCATENATE("Less ",E3-2," Expenditures + 5%")</f>
        <v>Less 2012 Expenditures + 5%</v>
      </c>
      <c r="I79" s="528"/>
      <c r="J79" s="528"/>
      <c r="K79" s="97"/>
    </row>
    <row r="80" spans="2:11" ht="15.75">
      <c r="B80" s="99"/>
      <c r="C80" s="726" t="str">
        <f>CONCATENATE("Amount of  ",$E$3-1," Ad Valorem Tax")</f>
        <v>Amount of  2013 Ad Valorem Tax</v>
      </c>
      <c r="D80" s="727"/>
      <c r="E80" s="164">
        <f>E78+E79</f>
        <v>0</v>
      </c>
      <c r="F80" s="97"/>
      <c r="G80" s="633">
        <f>G77-G79</f>
        <v>0</v>
      </c>
      <c r="H80" s="546" t="str">
        <f>CONCATENATE("Projected ",E3+1," carryover (est.)")</f>
        <v>Projected 2015 carryover (est.)</v>
      </c>
      <c r="I80" s="535"/>
      <c r="J80" s="621"/>
      <c r="K80" s="97"/>
    </row>
    <row r="81" spans="2:11" ht="15.75">
      <c r="B81" s="99"/>
      <c r="C81" s="172"/>
      <c r="D81" s="172"/>
      <c r="E81" s="172"/>
      <c r="F81" s="97"/>
      <c r="G81" s="614"/>
      <c r="H81" s="614"/>
      <c r="I81" s="614"/>
      <c r="J81" s="97"/>
      <c r="K81" s="97"/>
    </row>
    <row r="82" spans="2:11" ht="15.75">
      <c r="B82" s="182" t="s">
        <v>37</v>
      </c>
      <c r="C82" s="205"/>
      <c r="D82" s="99"/>
      <c r="E82" s="99"/>
      <c r="F82" s="97"/>
      <c r="G82" s="723" t="s">
        <v>762</v>
      </c>
      <c r="H82" s="724"/>
      <c r="I82" s="724"/>
      <c r="J82" s="725"/>
      <c r="K82" s="97"/>
    </row>
    <row r="83" spans="6:11" ht="15.75">
      <c r="F83" s="97"/>
      <c r="G83" s="622"/>
      <c r="H83" s="530"/>
      <c r="I83" s="600"/>
      <c r="J83" s="623"/>
      <c r="K83" s="97"/>
    </row>
    <row r="84" spans="6:11" ht="15.75">
      <c r="F84" s="97"/>
      <c r="G84" s="624" t="e">
        <f>summ!#REF!</f>
        <v>#REF!</v>
      </c>
      <c r="H84" s="530" t="str">
        <f>CONCATENATE("",E3," Fund Mill Rate")</f>
        <v>2014 Fund Mill Rate</v>
      </c>
      <c r="I84" s="600"/>
      <c r="J84" s="623"/>
      <c r="K84" s="97"/>
    </row>
    <row r="85" spans="6:11" ht="15.75">
      <c r="F85" s="97"/>
      <c r="G85" s="625" t="e">
        <f>summ!#REF!</f>
        <v>#REF!</v>
      </c>
      <c r="H85" s="530" t="str">
        <f>CONCATENATE("",E3-1," Fund Mill Rate")</f>
        <v>2013 Fund Mill Rate</v>
      </c>
      <c r="I85" s="600"/>
      <c r="J85" s="623"/>
      <c r="K85" s="97"/>
    </row>
    <row r="86" spans="6:11" ht="15.75">
      <c r="F86" s="97"/>
      <c r="G86" s="626">
        <f>summ!H18</f>
        <v>1.62</v>
      </c>
      <c r="H86" s="530" t="str">
        <f>CONCATENATE("Total ",E3," Mill Rate")</f>
        <v>Total 2014 Mill Rate</v>
      </c>
      <c r="I86" s="600"/>
      <c r="J86" s="623"/>
      <c r="K86" s="97"/>
    </row>
    <row r="87" spans="6:11" ht="15.75">
      <c r="F87" s="97"/>
      <c r="G87" s="625">
        <f>summ!E18</f>
        <v>1.6</v>
      </c>
      <c r="H87" s="627" t="str">
        <f>CONCATENATE("Total ",E2-1," Mill Rate")</f>
        <v>Total -1 Mill Rate</v>
      </c>
      <c r="I87" s="628"/>
      <c r="J87" s="629"/>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row r="93" spans="7:9" ht="15.75">
      <c r="G93" s="677" t="s">
        <v>802</v>
      </c>
      <c r="H93" s="676"/>
      <c r="I93" s="675"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58">
      <selection activeCell="C71" sqref="C71"/>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Fairview (Menlo) Cemetery</v>
      </c>
      <c r="C1" s="178"/>
      <c r="D1" s="99"/>
      <c r="E1" s="277"/>
    </row>
    <row r="2" spans="2:5" ht="15.75">
      <c r="B2" s="99" t="str">
        <f>inputPrYr!D4</f>
        <v>Thomas County</v>
      </c>
      <c r="C2" s="178"/>
      <c r="D2" s="99"/>
      <c r="E2" s="182"/>
    </row>
    <row r="3" spans="2:6" ht="15.75">
      <c r="B3" s="110"/>
      <c r="C3" s="178"/>
      <c r="D3" s="178"/>
      <c r="E3" s="312"/>
      <c r="F3" s="147">
        <f>inputPrYr!D11</f>
        <v>2014</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2012</v>
      </c>
      <c r="D6" s="265" t="str">
        <f>CONCATENATE("Estimate for ",F3-1,"")</f>
        <v>Estimate for 2013</v>
      </c>
      <c r="E6" s="265" t="str">
        <f>CONCATENATE("Year for ",F3,"")</f>
        <v>Year for 2014</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2012/2013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2012</v>
      </c>
      <c r="D40" s="265" t="str">
        <f>D6</f>
        <v>Estimate for 2013</v>
      </c>
      <c r="E40" s="265" t="str">
        <f>E6</f>
        <v>Year for 2014</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2012/2013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Fairview (Menlo) Cemetery</v>
      </c>
      <c r="B1" s="338"/>
      <c r="C1" s="179"/>
      <c r="D1" s="179"/>
      <c r="E1" s="179"/>
      <c r="F1" s="339" t="s">
        <v>267</v>
      </c>
      <c r="G1" s="179"/>
      <c r="H1" s="179"/>
      <c r="I1" s="179"/>
      <c r="J1" s="179"/>
      <c r="K1" s="179">
        <f>inputPrYr!$D$11</f>
        <v>2014</v>
      </c>
    </row>
    <row r="2" spans="1:11" ht="15.75">
      <c r="A2" s="179"/>
      <c r="B2" s="179"/>
      <c r="C2" s="179"/>
      <c r="D2" s="179"/>
      <c r="E2" s="179"/>
      <c r="F2" s="340" t="str">
        <f>CONCATENATE("(Only the actual budget year for ",K1-2," is to be shown)")</f>
        <v>(Only the actual budget year for 2012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8">
        <f>inputPrYr!B35</f>
        <v>0</v>
      </c>
      <c r="B5" s="739"/>
      <c r="C5" s="738">
        <f>inputPrYr!B36</f>
        <v>0</v>
      </c>
      <c r="D5" s="739"/>
      <c r="E5" s="738">
        <f>inputPrYr!B37</f>
        <v>0</v>
      </c>
      <c r="F5" s="739"/>
      <c r="G5" s="738">
        <f>inputPrYr!B38</f>
        <v>0</v>
      </c>
      <c r="H5" s="739"/>
      <c r="I5" s="738">
        <f>inputPrYr!B39</f>
        <v>0</v>
      </c>
      <c r="J5" s="739"/>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F12" sqref="F12"/>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6" t="s">
        <v>76</v>
      </c>
      <c r="B1" s="715"/>
      <c r="C1" s="715"/>
      <c r="D1" s="715"/>
      <c r="E1" s="715"/>
      <c r="F1" s="715"/>
      <c r="G1" s="715"/>
      <c r="H1" s="715"/>
    </row>
    <row r="2" spans="1:8" ht="15.75">
      <c r="A2" s="99"/>
      <c r="B2" s="99"/>
      <c r="C2" s="99"/>
      <c r="D2" s="99"/>
      <c r="E2" s="99"/>
      <c r="F2" s="99"/>
      <c r="G2" s="99"/>
      <c r="H2" s="99"/>
    </row>
    <row r="3" spans="1:9" ht="15.75">
      <c r="A3" s="714" t="s">
        <v>103</v>
      </c>
      <c r="B3" s="714"/>
      <c r="C3" s="714"/>
      <c r="D3" s="714"/>
      <c r="E3" s="714"/>
      <c r="F3" s="714"/>
      <c r="G3" s="714"/>
      <c r="H3" s="714"/>
      <c r="I3" s="139">
        <f>inputPrYr!D11</f>
        <v>2014</v>
      </c>
    </row>
    <row r="4" spans="1:8" ht="15.75">
      <c r="A4" s="682" t="str">
        <f>inputPrYr!D3</f>
        <v>Fairview (Menlo) Cemetery</v>
      </c>
      <c r="B4" s="682"/>
      <c r="C4" s="682"/>
      <c r="D4" s="682"/>
      <c r="E4" s="682"/>
      <c r="F4" s="682"/>
      <c r="G4" s="682"/>
      <c r="H4" s="682"/>
    </row>
    <row r="5" spans="1:8" ht="15.75">
      <c r="A5" s="742" t="str">
        <f>inputPrYr!D4</f>
        <v>Thomas County</v>
      </c>
      <c r="B5" s="742"/>
      <c r="C5" s="742"/>
      <c r="D5" s="742"/>
      <c r="E5" s="742"/>
      <c r="F5" s="742"/>
      <c r="G5" s="742"/>
      <c r="H5" s="742"/>
    </row>
    <row r="6" spans="1:8" ht="15.75">
      <c r="A6" s="744" t="str">
        <f>CONCATENATE("will meet on ",inputBudSum!B7," at ",inputBudSum!B9," at ",inputBudSum!B11," for the purpose of hearing and")</f>
        <v>will meet on August 10, 2013 at 7:00 p.m. at Leoma Steiger residence at 3526 County Rd O, Menlo, KS  67753 for the purpose of hearing and</v>
      </c>
      <c r="B6" s="744"/>
      <c r="C6" s="744"/>
      <c r="D6" s="744"/>
      <c r="E6" s="744"/>
      <c r="F6" s="744"/>
      <c r="G6" s="744"/>
      <c r="H6" s="744"/>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Leoma Steiger residence at 3526 County Rd O, Menlo, KS  67753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2014 Expenditures and Amount of 2013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2014 budget.  Estimated Tax Rate is subject to change depending on the final assessed valuation.</v>
      </c>
      <c r="B11" s="109"/>
      <c r="C11" s="109"/>
      <c r="D11" s="109"/>
      <c r="E11" s="109"/>
      <c r="F11" s="109"/>
      <c r="G11" s="109"/>
      <c r="H11" s="109"/>
      <c r="J11" s="746" t="str">
        <f>CONCATENATE("Estimated Value Of One Mill For ",I3,"")</f>
        <v>Estimated Value Of One Mill For 2014</v>
      </c>
      <c r="K11" s="747"/>
      <c r="L11" s="747"/>
      <c r="M11" s="74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2012</v>
      </c>
      <c r="C13" s="152"/>
      <c r="D13" s="153" t="str">
        <f>CONCATENATE("Current Year Estimate for ",I3-1,"")</f>
        <v>Current Year Estimate for 2013</v>
      </c>
      <c r="E13" s="152"/>
      <c r="F13" s="151" t="str">
        <f>CONCATENATE("Proposed Budget Year for ",I3,"")</f>
        <v>Proposed Budget Year for 2014</v>
      </c>
      <c r="G13" s="154"/>
      <c r="H13" s="152"/>
      <c r="J13" s="550" t="s">
        <v>682</v>
      </c>
      <c r="K13" s="551"/>
      <c r="L13" s="551"/>
      <c r="M13" s="552">
        <f>ROUND(F22/1000,0)</f>
        <v>3795</v>
      </c>
    </row>
    <row r="14" spans="1:13" ht="15.75">
      <c r="A14" s="157"/>
      <c r="B14" s="155"/>
      <c r="C14" s="156" t="s">
        <v>44</v>
      </c>
      <c r="D14" s="155"/>
      <c r="E14" s="156" t="s">
        <v>44</v>
      </c>
      <c r="F14" s="157" t="s">
        <v>221</v>
      </c>
      <c r="G14" s="740" t="str">
        <f>CONCATENATE("Amount of ",I3-1," Ad Valorem Tax")</f>
        <v>Amount of 2013 Ad Valorem Tax</v>
      </c>
      <c r="H14" s="156" t="s">
        <v>685</v>
      </c>
      <c r="J14" s="97"/>
      <c r="K14" s="97"/>
      <c r="L14" s="97"/>
      <c r="M14" s="97"/>
    </row>
    <row r="15" spans="1:13" ht="15.75">
      <c r="A15" s="264" t="s">
        <v>45</v>
      </c>
      <c r="B15" s="158" t="s">
        <v>46</v>
      </c>
      <c r="C15" s="159" t="s">
        <v>174</v>
      </c>
      <c r="D15" s="158" t="s">
        <v>46</v>
      </c>
      <c r="E15" s="159" t="s">
        <v>174</v>
      </c>
      <c r="F15" s="158" t="s">
        <v>579</v>
      </c>
      <c r="G15" s="741"/>
      <c r="H15" s="159" t="s">
        <v>174</v>
      </c>
      <c r="J15" s="746" t="str">
        <f>CONCATENATE("Want The Mill Rate The Same As For ",I3-1,"?")</f>
        <v>Want The Mill Rate The Same As For 2013?</v>
      </c>
      <c r="K15" s="749"/>
      <c r="L15" s="749"/>
      <c r="M15" s="750"/>
    </row>
    <row r="16" spans="1:13" ht="15.75">
      <c r="A16" s="133" t="str">
        <f>inputPrYr!B24</f>
        <v>General</v>
      </c>
      <c r="B16" s="161">
        <f>IF(gen!$C$61&lt;&gt;0,gen!$C$61,"  ")</f>
        <v>5378</v>
      </c>
      <c r="C16" s="658">
        <f>IF(inputPrYr!D43&gt;0,inputPrYr!D43,"  ")</f>
        <v>2.382</v>
      </c>
      <c r="D16" s="161">
        <f>IF(gen!$D$61&lt;&gt;0,gen!$D$61,"  ")</f>
        <v>11835</v>
      </c>
      <c r="E16" s="658">
        <f>IF(inputOth!D46&gt;0,inputOth!D46,"  ")</f>
        <v>1.6</v>
      </c>
      <c r="F16" s="161">
        <f>IF(gen!$E$61&lt;&gt;0,gen!$E$61,"  ")</f>
        <v>6692</v>
      </c>
      <c r="G16" s="161">
        <f>IF(gen!$E$68&lt;&gt;0,gen!$E$68,"  ")</f>
        <v>6147</v>
      </c>
      <c r="H16" s="658">
        <f>IF(gen!E68&gt;0,ROUND(G16/$F$22*1000,3)," ")</f>
        <v>1.62</v>
      </c>
      <c r="J16" s="553"/>
      <c r="K16" s="548"/>
      <c r="L16" s="548"/>
      <c r="M16" s="554"/>
    </row>
    <row r="17" spans="1:13" ht="15.75">
      <c r="A17" s="133" t="s">
        <v>285</v>
      </c>
      <c r="B17" s="161" t="str">
        <f>IF('debt service'!$C$54&lt;&gt;0,'debt service'!$C$54,"  ")</f>
        <v>  </v>
      </c>
      <c r="C17" s="658" t="str">
        <f>IF(inputPrYr!D44&gt;0,inputPrYr!D44,"  ")</f>
        <v>  </v>
      </c>
      <c r="D17" s="161" t="str">
        <f>IF('debt service'!$D$54&lt;&gt;0,'debt service'!$D$54,"  ")</f>
        <v>  </v>
      </c>
      <c r="E17" s="658" t="str">
        <f>IF(inputOth!D47&gt;0,inputOth!D47,"  ")</f>
        <v>  </v>
      </c>
      <c r="F17" s="161" t="str">
        <f>IF('debt service'!$E$54&lt;&gt;0,'debt service'!$E$54,"  ")</f>
        <v>  </v>
      </c>
      <c r="G17" s="161" t="str">
        <f>IF('debt service'!$E$61&lt;&gt;0,'debt service'!$E$61,"  ")</f>
        <v>  </v>
      </c>
      <c r="H17" s="658" t="str">
        <f>IF('debt service'!E61&gt;0,ROUND(G17/$F$22*1000,3)," ")</f>
        <v> </v>
      </c>
      <c r="J17" s="553" t="str">
        <f>CONCATENATE("",I3-1," Mill Rate Was:")</f>
        <v>2013 Mill Rate Was:</v>
      </c>
      <c r="K17" s="548"/>
      <c r="L17" s="548"/>
      <c r="M17" s="555">
        <f>E18</f>
        <v>1.6</v>
      </c>
    </row>
    <row r="18" spans="1:13" ht="15.75">
      <c r="A18" s="119" t="s">
        <v>127</v>
      </c>
      <c r="B18" s="561">
        <f aca="true" t="shared" si="0" ref="B18:H18">SUM(B16:B17)</f>
        <v>5378</v>
      </c>
      <c r="C18" s="661">
        <f t="shared" si="0"/>
        <v>2.382</v>
      </c>
      <c r="D18" s="561">
        <f t="shared" si="0"/>
        <v>11835</v>
      </c>
      <c r="E18" s="661">
        <f t="shared" si="0"/>
        <v>1.6</v>
      </c>
      <c r="F18" s="561">
        <f t="shared" si="0"/>
        <v>6692</v>
      </c>
      <c r="G18" s="561">
        <f t="shared" si="0"/>
        <v>6147</v>
      </c>
      <c r="H18" s="661">
        <f t="shared" si="0"/>
        <v>1.62</v>
      </c>
      <c r="J18" s="553"/>
      <c r="K18" s="548"/>
      <c r="L18" s="548"/>
      <c r="M18" s="554"/>
    </row>
    <row r="19" spans="1:13" ht="15.75">
      <c r="A19" s="119" t="s">
        <v>179</v>
      </c>
      <c r="B19" s="161">
        <f>transfers!C26</f>
        <v>0</v>
      </c>
      <c r="C19" s="165"/>
      <c r="D19" s="161">
        <f>transfers!D26</f>
        <v>0</v>
      </c>
      <c r="E19" s="165"/>
      <c r="F19" s="127">
        <f>transfers!E26</f>
        <v>0</v>
      </c>
      <c r="G19" s="166"/>
      <c r="H19" s="167"/>
      <c r="J19" s="553" t="str">
        <f>CONCATENATE("",I3," Ad Valorem Tax Revenue:")</f>
        <v>2014 Ad Valorem Tax Revenue:</v>
      </c>
      <c r="K19" s="548"/>
      <c r="L19" s="548"/>
      <c r="M19" s="549">
        <f>G18</f>
        <v>6147</v>
      </c>
    </row>
    <row r="20" spans="1:13" ht="16.5" thickBot="1">
      <c r="A20" s="119" t="s">
        <v>180</v>
      </c>
      <c r="B20" s="131">
        <f>SUM(B18-B19)</f>
        <v>5378</v>
      </c>
      <c r="C20" s="169"/>
      <c r="D20" s="131">
        <f>SUM(D18-D19)</f>
        <v>11835</v>
      </c>
      <c r="E20" s="169"/>
      <c r="F20" s="662">
        <f>SUM(F18-F19)</f>
        <v>6692</v>
      </c>
      <c r="G20" s="166"/>
      <c r="H20" s="167"/>
      <c r="J20" s="553" t="str">
        <f>CONCATENATE("",I3-1," Ad Valorem Tax Revenue:")</f>
        <v>2013 Ad Valorem Tax Revenue:</v>
      </c>
      <c r="K20" s="548"/>
      <c r="L20" s="548"/>
      <c r="M20" s="556">
        <f>ROUND(F22*M17/1000,0)</f>
        <v>6071</v>
      </c>
    </row>
    <row r="21" spans="1:13" ht="16.5" thickTop="1">
      <c r="A21" s="119" t="s">
        <v>47</v>
      </c>
      <c r="B21" s="222">
        <f>inputPrYr!E50</f>
        <v>7289</v>
      </c>
      <c r="C21" s="157"/>
      <c r="D21" s="222">
        <f>inputPrYr!E29</f>
        <v>5290</v>
      </c>
      <c r="E21" s="157"/>
      <c r="F21" s="327" t="s">
        <v>21</v>
      </c>
      <c r="G21" s="99"/>
      <c r="H21" s="99"/>
      <c r="J21" s="557" t="s">
        <v>683</v>
      </c>
      <c r="K21" s="558"/>
      <c r="L21" s="558"/>
      <c r="M21" s="552">
        <f>M19-M20</f>
        <v>76</v>
      </c>
    </row>
    <row r="22" spans="1:13" ht="16.5" thickBot="1">
      <c r="A22" s="119" t="s">
        <v>213</v>
      </c>
      <c r="B22" s="232">
        <f>inputPrYr!E51</f>
        <v>3059672</v>
      </c>
      <c r="C22" s="157"/>
      <c r="D22" s="232">
        <f>inputOth!E60</f>
        <v>3305545</v>
      </c>
      <c r="E22" s="157"/>
      <c r="F22" s="232">
        <f>inputOth!E12</f>
        <v>3794530</v>
      </c>
      <c r="G22" s="99"/>
      <c r="H22" s="99"/>
      <c r="J22" s="559"/>
      <c r="K22" s="559"/>
      <c r="L22" s="559"/>
      <c r="M22" s="5"/>
    </row>
    <row r="23" spans="1:13" ht="16.5" thickTop="1">
      <c r="A23" s="102"/>
      <c r="B23" s="166"/>
      <c r="C23" s="106"/>
      <c r="D23" s="166"/>
      <c r="E23" s="106"/>
      <c r="F23" s="166"/>
      <c r="G23" s="99"/>
      <c r="H23" s="99"/>
      <c r="J23" s="746" t="s">
        <v>684</v>
      </c>
      <c r="K23" s="749"/>
      <c r="L23" s="749"/>
      <c r="M23" s="750"/>
    </row>
    <row r="24" spans="1:13" ht="15.75">
      <c r="A24" s="98" t="s">
        <v>48</v>
      </c>
      <c r="B24" s="99"/>
      <c r="C24" s="99"/>
      <c r="D24" s="99"/>
      <c r="E24" s="99"/>
      <c r="F24" s="99"/>
      <c r="G24" s="99"/>
      <c r="H24" s="99"/>
      <c r="J24" s="553"/>
      <c r="K24" s="548"/>
      <c r="L24" s="548"/>
      <c r="M24" s="554"/>
    </row>
    <row r="25" spans="1:13" ht="15.75">
      <c r="A25" s="98" t="s">
        <v>181</v>
      </c>
      <c r="B25" s="148">
        <f>I3-2</f>
        <v>2012</v>
      </c>
      <c r="C25" s="99"/>
      <c r="D25" s="148">
        <f>I3-1</f>
        <v>2013</v>
      </c>
      <c r="E25" s="99"/>
      <c r="F25" s="148">
        <f>I3</f>
        <v>2014</v>
      </c>
      <c r="G25" s="99"/>
      <c r="H25" s="99"/>
      <c r="J25" s="553" t="str">
        <f>CONCATENATE("Current ",I3," Estimated Mill Rate:")</f>
        <v>Current 2014 Estimated Mill Rate:</v>
      </c>
      <c r="K25" s="548"/>
      <c r="L25" s="548"/>
      <c r="M25" s="555">
        <f>H18</f>
        <v>1.62</v>
      </c>
    </row>
    <row r="26" spans="1:13" ht="15.75">
      <c r="A26" s="98" t="s">
        <v>49</v>
      </c>
      <c r="B26" s="171">
        <f>inputPrYr!D54</f>
        <v>0</v>
      </c>
      <c r="C26" s="172"/>
      <c r="D26" s="171">
        <f>inputPrYr!E54</f>
        <v>0</v>
      </c>
      <c r="E26" s="99"/>
      <c r="F26" s="171">
        <f>debt!F12</f>
        <v>0</v>
      </c>
      <c r="G26" s="99"/>
      <c r="H26" s="139"/>
      <c r="J26" s="553" t="str">
        <f>CONCATENATE("Desired ",I3," Mill Rate:")</f>
        <v>Desired 2014 Mill Rate:</v>
      </c>
      <c r="K26" s="548"/>
      <c r="L26" s="548"/>
      <c r="M26" s="560">
        <v>0</v>
      </c>
    </row>
    <row r="27" spans="1:13" ht="15.75">
      <c r="A27" s="99" t="s">
        <v>50</v>
      </c>
      <c r="B27" s="171">
        <f>inputPrYr!D55</f>
        <v>0</v>
      </c>
      <c r="C27" s="99"/>
      <c r="D27" s="171">
        <f>inputPrYr!E55</f>
        <v>0</v>
      </c>
      <c r="E27" s="99"/>
      <c r="F27" s="171">
        <f>debt!F16</f>
        <v>0</v>
      </c>
      <c r="G27" s="99"/>
      <c r="H27" s="139"/>
      <c r="J27" s="553" t="str">
        <f>CONCATENATE("",I3," Ad Valorem Tax:")</f>
        <v>2014 Ad Valorem Tax:</v>
      </c>
      <c r="K27" s="548"/>
      <c r="L27" s="548"/>
      <c r="M27" s="556">
        <f>ROUND(F22*M26/1000,0)</f>
        <v>0</v>
      </c>
    </row>
    <row r="28" spans="1:13" ht="15.75">
      <c r="A28" s="98" t="s">
        <v>206</v>
      </c>
      <c r="B28" s="171">
        <f>inputPrYr!D56</f>
        <v>0</v>
      </c>
      <c r="C28" s="172"/>
      <c r="D28" s="171">
        <f>inputPrYr!E56</f>
        <v>0</v>
      </c>
      <c r="E28" s="99"/>
      <c r="F28" s="171">
        <f>debt!F20</f>
        <v>0</v>
      </c>
      <c r="G28" s="99"/>
      <c r="H28" s="139"/>
      <c r="J28" s="557" t="str">
        <f>CONCATENATE("",I3," Tax Levy Fund Exp. Changed By:")</f>
        <v>2014 Tax Levy Fund Exp. Changed By:</v>
      </c>
      <c r="K28" s="558"/>
      <c r="L28" s="558"/>
      <c r="M28" s="552">
        <f>IF(M26=0,0,(M27-G18))</f>
        <v>0</v>
      </c>
    </row>
    <row r="29" spans="1:8" ht="15.75">
      <c r="A29" s="98" t="s">
        <v>128</v>
      </c>
      <c r="B29" s="171">
        <f>inputPrYr!D57</f>
        <v>0</v>
      </c>
      <c r="C29" s="99"/>
      <c r="D29" s="171">
        <f>inputPrYr!E57</f>
        <v>0</v>
      </c>
      <c r="E29" s="99"/>
      <c r="F29" s="171">
        <f>debt!G39</f>
        <v>0</v>
      </c>
      <c r="G29" s="99"/>
      <c r="H29" s="139"/>
    </row>
    <row r="30" spans="1:8" ht="15.75">
      <c r="A30" s="139"/>
      <c r="B30" s="173"/>
      <c r="C30" s="172"/>
      <c r="D30" s="173"/>
      <c r="E30" s="99"/>
      <c r="F30" s="174"/>
      <c r="G30" s="139"/>
      <c r="H30" s="139"/>
    </row>
    <row r="31" spans="1:8" ht="16.5" thickBot="1">
      <c r="A31" s="175" t="s">
        <v>51</v>
      </c>
      <c r="B31" s="176">
        <f>SUM(B26:B30)</f>
        <v>0</v>
      </c>
      <c r="C31" s="99"/>
      <c r="D31" s="176">
        <f>SUM(D26:D30)</f>
        <v>0</v>
      </c>
      <c r="E31" s="99"/>
      <c r="F31" s="176">
        <f>SUM(F26:F30)</f>
        <v>0</v>
      </c>
      <c r="G31" s="177"/>
      <c r="H31" s="139"/>
    </row>
    <row r="32" spans="1:8" ht="16.5" thickTop="1">
      <c r="A32" s="139"/>
      <c r="B32" s="99"/>
      <c r="C32" s="99"/>
      <c r="D32" s="99"/>
      <c r="E32" s="99"/>
      <c r="F32" s="99"/>
      <c r="G32" s="99"/>
      <c r="H32" s="139"/>
    </row>
    <row r="33" spans="1:8" ht="15.75">
      <c r="A33" s="175" t="s">
        <v>52</v>
      </c>
      <c r="B33" s="99"/>
      <c r="C33" s="99"/>
      <c r="D33" s="99"/>
      <c r="E33" s="178"/>
      <c r="F33" s="178"/>
      <c r="G33" s="99"/>
      <c r="H33" s="139"/>
    </row>
    <row r="34" spans="1:8" ht="15.75">
      <c r="A34" s="139"/>
      <c r="B34" s="99"/>
      <c r="C34" s="99"/>
      <c r="D34" s="99"/>
      <c r="E34" s="99"/>
      <c r="F34" s="99"/>
      <c r="G34" s="99"/>
      <c r="H34" s="139"/>
    </row>
    <row r="35" spans="1:8" ht="15.75">
      <c r="A35" s="179"/>
      <c r="B35" s="99"/>
      <c r="C35" s="99"/>
      <c r="D35" s="99"/>
      <c r="E35" s="99"/>
      <c r="F35" s="99"/>
      <c r="G35" s="99"/>
      <c r="H35" s="179"/>
    </row>
    <row r="36" spans="1:8" ht="15.75">
      <c r="A36" s="745" t="str">
        <f>inputBudSum!B3</f>
        <v>Leoma Steiger</v>
      </c>
      <c r="B36" s="705"/>
      <c r="C36" s="150"/>
      <c r="D36" s="99"/>
      <c r="E36" s="99"/>
      <c r="F36" s="99"/>
      <c r="G36" s="99"/>
      <c r="H36" s="139"/>
    </row>
    <row r="37" spans="1:8" ht="15.75">
      <c r="A37" s="743" t="str">
        <f>inputBudSum!B5</f>
        <v>Secretary/Treasurer</v>
      </c>
      <c r="B37" s="735"/>
      <c r="C37" s="99"/>
      <c r="D37" s="182" t="s">
        <v>37</v>
      </c>
      <c r="E37" s="183">
        <v>7</v>
      </c>
      <c r="F37" s="99"/>
      <c r="G37" s="99"/>
      <c r="H37" s="139"/>
    </row>
    <row r="39" spans="1:8" ht="15.75">
      <c r="A39" s="97"/>
      <c r="B39" s="97"/>
      <c r="C39" s="97"/>
      <c r="D39" s="97"/>
      <c r="E39" s="97"/>
      <c r="F39" s="97"/>
      <c r="G39" s="97"/>
      <c r="H39" s="97"/>
    </row>
    <row r="41" spans="1:8" ht="15.75">
      <c r="A41" s="97"/>
      <c r="B41" s="97"/>
      <c r="C41" s="97"/>
      <c r="D41" s="97"/>
      <c r="E41" s="97"/>
      <c r="F41" s="97"/>
      <c r="G41" s="97"/>
      <c r="H41" s="97"/>
    </row>
    <row r="42" spans="1:8" ht="15.75">
      <c r="A42" s="97"/>
      <c r="B42" s="97"/>
      <c r="C42" s="97"/>
      <c r="D42" s="97"/>
      <c r="E42" s="97"/>
      <c r="F42" s="97"/>
      <c r="G42" s="97"/>
      <c r="H42" s="97"/>
    </row>
    <row r="43" spans="1:8" ht="15.75">
      <c r="A43" s="97"/>
      <c r="B43" s="97"/>
      <c r="C43" s="97"/>
      <c r="D43" s="97"/>
      <c r="E43" s="97"/>
      <c r="F43" s="97"/>
      <c r="G43" s="97"/>
      <c r="H43" s="97"/>
    </row>
    <row r="44" spans="1:8" ht="15.75">
      <c r="A44" s="97"/>
      <c r="B44" s="97"/>
      <c r="C44" s="97"/>
      <c r="D44" s="97"/>
      <c r="E44" s="97"/>
      <c r="F44" s="97"/>
      <c r="G44" s="97"/>
      <c r="H44" s="97"/>
    </row>
    <row r="45" spans="1:8" ht="15.75">
      <c r="A45" s="97"/>
      <c r="B45" s="97"/>
      <c r="C45" s="97"/>
      <c r="D45" s="97"/>
      <c r="E45" s="97"/>
      <c r="F45" s="97"/>
      <c r="G45" s="97"/>
      <c r="H45"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sheetData>
  <sheetProtection/>
  <mergeCells count="11">
    <mergeCell ref="J11:M11"/>
    <mergeCell ref="J15:M15"/>
    <mergeCell ref="J23:M23"/>
    <mergeCell ref="A1:H1"/>
    <mergeCell ref="G14:G15"/>
    <mergeCell ref="A3:H3"/>
    <mergeCell ref="A4:H4"/>
    <mergeCell ref="A5:H5"/>
    <mergeCell ref="A37:B37"/>
    <mergeCell ref="A6:H6"/>
    <mergeCell ref="A36:B36"/>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659122" r:id="rId1"/>
  </oleObjects>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3" sqref="D3"/>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82" t="s">
        <v>2</v>
      </c>
      <c r="B1" s="681"/>
      <c r="C1" s="681"/>
      <c r="D1" s="681"/>
      <c r="E1" s="681"/>
    </row>
    <row r="2" spans="1:5" ht="15.75">
      <c r="A2" s="98"/>
      <c r="B2" s="99"/>
      <c r="C2" s="99"/>
      <c r="D2" s="99"/>
      <c r="E2" s="99"/>
    </row>
    <row r="3" spans="1:5" ht="15.75">
      <c r="A3" s="100" t="s">
        <v>124</v>
      </c>
      <c r="B3" s="99"/>
      <c r="C3" s="99"/>
      <c r="D3" s="101" t="s">
        <v>806</v>
      </c>
      <c r="E3" s="102"/>
    </row>
    <row r="4" spans="1:5" ht="15.75">
      <c r="A4" s="100" t="s">
        <v>234</v>
      </c>
      <c r="B4" s="99"/>
      <c r="C4" s="99"/>
      <c r="D4" s="103" t="s">
        <v>807</v>
      </c>
      <c r="E4" s="102"/>
    </row>
    <row r="5" spans="1:5" ht="15.75">
      <c r="A5" s="100" t="s">
        <v>155</v>
      </c>
      <c r="B5" s="99"/>
      <c r="C5" s="99"/>
      <c r="D5" s="104"/>
      <c r="E5" s="102"/>
    </row>
    <row r="6" spans="1:5" ht="15.75">
      <c r="A6" s="105" t="s">
        <v>235</v>
      </c>
      <c r="B6" s="106"/>
      <c r="C6" s="106"/>
      <c r="D6" s="101" t="s">
        <v>808</v>
      </c>
      <c r="E6" s="102"/>
    </row>
    <row r="7" spans="1:5" ht="15.75">
      <c r="A7" s="100" t="s">
        <v>236</v>
      </c>
      <c r="B7" s="99"/>
      <c r="C7" s="99"/>
      <c r="D7" s="103"/>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2014</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5" t="s">
        <v>752</v>
      </c>
      <c r="H15" s="686"/>
    </row>
    <row r="16" spans="1:8" ht="15.75">
      <c r="A16" s="110"/>
      <c r="B16" s="99"/>
      <c r="C16" s="99"/>
      <c r="D16" s="99"/>
      <c r="E16" s="99"/>
      <c r="F16" s="99"/>
      <c r="G16" s="687"/>
      <c r="H16" s="686"/>
    </row>
    <row r="17" spans="1:8" ht="15.75">
      <c r="A17" s="680" t="s">
        <v>156</v>
      </c>
      <c r="B17" s="681"/>
      <c r="C17" s="681"/>
      <c r="D17" s="681"/>
      <c r="E17" s="681"/>
      <c r="F17" s="99"/>
      <c r="G17" s="687"/>
      <c r="H17" s="686"/>
    </row>
    <row r="18" spans="1:8" ht="15.75">
      <c r="A18" s="111"/>
      <c r="B18" s="111"/>
      <c r="C18" s="111"/>
      <c r="D18" s="111"/>
      <c r="E18" s="111"/>
      <c r="F18" s="99"/>
      <c r="G18" s="687"/>
      <c r="H18" s="686"/>
    </row>
    <row r="19" spans="1:8" ht="15.75">
      <c r="A19" s="112" t="s">
        <v>154</v>
      </c>
      <c r="B19" s="113"/>
      <c r="C19" s="99"/>
      <c r="D19" s="99"/>
      <c r="E19" s="99"/>
      <c r="F19" s="99"/>
      <c r="G19" s="687"/>
      <c r="H19" s="686"/>
    </row>
    <row r="20" spans="1:8" ht="15.75">
      <c r="A20" s="114" t="str">
        <f>CONCATENATE("the ",D11-1," Budget, Certificate Page:")</f>
        <v>the 2013 Budget, Certificate Page:</v>
      </c>
      <c r="B20" s="115"/>
      <c r="C20" s="99"/>
      <c r="D20" s="99"/>
      <c r="E20" s="99"/>
      <c r="F20" s="99"/>
      <c r="G20" s="687"/>
      <c r="H20" s="686"/>
    </row>
    <row r="21" spans="1:8" ht="15.75">
      <c r="A21" s="114" t="s">
        <v>294</v>
      </c>
      <c r="B21" s="115"/>
      <c r="C21" s="99"/>
      <c r="D21" s="99"/>
      <c r="E21" s="99"/>
      <c r="F21" s="99"/>
      <c r="G21" s="106"/>
      <c r="H21" s="586"/>
    </row>
    <row r="22" spans="1:8" ht="15.75" customHeight="1">
      <c r="A22" s="99"/>
      <c r="B22" s="99"/>
      <c r="C22" s="116"/>
      <c r="D22" s="117">
        <f>D11-1</f>
        <v>2013</v>
      </c>
      <c r="E22" s="683" t="str">
        <f>CONCATENATE("Amount of ",D11-2,"     Ad Valorem Tax")</f>
        <v>Amount of 2012     Ad Valorem Tax</v>
      </c>
      <c r="G22" s="209" t="s">
        <v>753</v>
      </c>
      <c r="H22" s="213" t="s">
        <v>36</v>
      </c>
    </row>
    <row r="23" spans="1:8" ht="15.75">
      <c r="A23" s="98" t="s">
        <v>3</v>
      </c>
      <c r="B23" s="99"/>
      <c r="C23" s="116" t="s">
        <v>4</v>
      </c>
      <c r="D23" s="118" t="s">
        <v>295</v>
      </c>
      <c r="E23" s="684"/>
      <c r="G23" s="158" t="str">
        <f>CONCATENATE("",D11-2," Ad Valorem Tax")</f>
        <v>2012 Ad Valorem Tax</v>
      </c>
      <c r="H23" s="587">
        <v>0</v>
      </c>
    </row>
    <row r="24" spans="1:7" ht="15.75">
      <c r="A24" s="99"/>
      <c r="B24" s="119" t="s">
        <v>5</v>
      </c>
      <c r="C24" s="120" t="s">
        <v>809</v>
      </c>
      <c r="D24" s="121">
        <v>11835</v>
      </c>
      <c r="E24" s="121">
        <v>5290</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2013 Budgeted Year</v>
      </c>
      <c r="B29" s="126"/>
      <c r="C29" s="126"/>
      <c r="D29" s="127"/>
      <c r="E29" s="128">
        <f>SUM(E24:E28)</f>
        <v>5290</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2013 Budgeted Year</v>
      </c>
      <c r="B33" s="126"/>
      <c r="C33" s="130"/>
      <c r="D33" s="131">
        <f>SUM(D24:D25,D27:D28,D31:D32)</f>
        <v>11835</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8" t="str">
        <f>CONCATENATE("",D11-3," Tax Rate         (",D11-2," Column)")</f>
        <v>2011 Tax Rate         (2012 Column)</v>
      </c>
      <c r="E41" s="123"/>
    </row>
    <row r="42" spans="1:5" ht="15.75">
      <c r="A42" s="114" t="str">
        <f>CONCATENATE("the ",D11-1," Budget, Budget Summary Page")</f>
        <v>the 2013 Budget, Budget Summary Page</v>
      </c>
      <c r="B42" s="115"/>
      <c r="C42" s="99"/>
      <c r="D42" s="679"/>
      <c r="E42" s="123"/>
    </row>
    <row r="43" spans="1:5" ht="15.75">
      <c r="A43" s="99"/>
      <c r="B43" s="133" t="str">
        <f>B24</f>
        <v>General</v>
      </c>
      <c r="C43" s="99"/>
      <c r="D43" s="134">
        <v>2.382</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2.382</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(2012 budget column):</v>
      </c>
      <c r="B50" s="113"/>
      <c r="C50" s="99"/>
      <c r="D50" s="99"/>
      <c r="E50" s="138">
        <v>7289</v>
      </c>
    </row>
    <row r="51" spans="1:5" ht="15.75">
      <c r="A51" s="137" t="str">
        <f>CONCATENATE("Assessed Valuation (",D11-2," budget column):")</f>
        <v>Assessed Valuation (2012 budget column):</v>
      </c>
      <c r="B51" s="113"/>
      <c r="C51" s="99"/>
      <c r="D51" s="99"/>
      <c r="E51" s="138">
        <v>3059672</v>
      </c>
    </row>
    <row r="52" spans="1:5" ht="15.75">
      <c r="A52" s="99"/>
      <c r="B52" s="99"/>
      <c r="C52" s="99"/>
      <c r="D52" s="99"/>
      <c r="E52" s="123"/>
    </row>
    <row r="53" spans="1:5" ht="15.75">
      <c r="A53" s="113" t="s">
        <v>212</v>
      </c>
      <c r="B53" s="113"/>
      <c r="C53" s="139"/>
      <c r="D53" s="140">
        <f>D11-3</f>
        <v>2011</v>
      </c>
      <c r="E53" s="140">
        <f>D11-2</f>
        <v>2012</v>
      </c>
    </row>
    <row r="54" spans="1:5" ht="15.75">
      <c r="A54" s="141" t="s">
        <v>199</v>
      </c>
      <c r="B54" s="141"/>
      <c r="C54" s="142"/>
      <c r="D54" s="143"/>
      <c r="E54" s="143"/>
    </row>
    <row r="55" spans="1:5" ht="15.75">
      <c r="A55" s="144" t="s">
        <v>200</v>
      </c>
      <c r="B55" s="144"/>
      <c r="C55" s="145"/>
      <c r="D55" s="143"/>
      <c r="E55" s="143"/>
    </row>
    <row r="56" spans="1:5" ht="15.75">
      <c r="A56" s="144" t="s">
        <v>208</v>
      </c>
      <c r="B56" s="144"/>
      <c r="C56" s="145"/>
      <c r="D56" s="143"/>
      <c r="E56" s="143"/>
    </row>
    <row r="57" spans="1:5" ht="15.75">
      <c r="A57" s="144" t="s">
        <v>201</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Fairview (Menlo) Cemetery</v>
      </c>
      <c r="B1" s="139"/>
      <c r="C1" s="139"/>
      <c r="D1" s="139"/>
      <c r="E1" s="139"/>
      <c r="F1" s="139">
        <f>inputPrYr!D11</f>
        <v>2014</v>
      </c>
    </row>
    <row r="2" spans="1:6" ht="15.75">
      <c r="A2" s="184"/>
      <c r="B2" s="139"/>
      <c r="C2" s="139"/>
      <c r="D2" s="139"/>
      <c r="E2" s="139"/>
      <c r="F2" s="139"/>
    </row>
    <row r="3" spans="1:6" ht="15.75">
      <c r="A3" s="139"/>
      <c r="B3" s="139"/>
      <c r="C3" s="139"/>
      <c r="D3" s="139"/>
      <c r="E3" s="139"/>
      <c r="F3" s="139"/>
    </row>
    <row r="4" spans="1:6" ht="15.75">
      <c r="A4" s="99"/>
      <c r="B4" s="707" t="str">
        <f>CONCATENATE("",F1," Neighborhood Revitalization Rebate")</f>
        <v>2014 Neighborhood Revitalization Rebate</v>
      </c>
      <c r="C4" s="753"/>
      <c r="D4" s="753"/>
      <c r="E4" s="715"/>
      <c r="F4" s="139"/>
    </row>
    <row r="5" spans="1:6" ht="15.75">
      <c r="A5" s="99"/>
      <c r="B5" s="99"/>
      <c r="C5" s="99"/>
      <c r="D5" s="99"/>
      <c r="E5" s="99"/>
      <c r="F5" s="139"/>
    </row>
    <row r="6" spans="1:6" ht="51.75" customHeight="1">
      <c r="A6" s="99"/>
      <c r="B6" s="188" t="str">
        <f>CONCATENATE("Budgeted Funds                        for ",F1,"")</f>
        <v>Budgeted Funds                        for 2014</v>
      </c>
      <c r="C6" s="188" t="str">
        <f>CONCATENATE("",F1-1," Ad Valorem before Rebate**")</f>
        <v>2013 Ad Valorem before Rebate**</v>
      </c>
      <c r="D6" s="189" t="str">
        <f>CONCATENATE("",F1-1," Mil Rate before Rebate")</f>
        <v>2013 Mil Rate before Rebate</v>
      </c>
      <c r="E6" s="190" t="str">
        <f>CONCATENATE("Estimate ",F1," NR Rebate")</f>
        <v>Estimate 2014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4" t="str">
        <f>CONCATENATE("",F1-1," July 1 Valuation:")</f>
        <v>2013 July 1 Valuation:</v>
      </c>
      <c r="B16" s="752"/>
      <c r="C16" s="754"/>
      <c r="D16" s="197">
        <f>inputOth!E12</f>
        <v>3794530</v>
      </c>
      <c r="E16" s="99"/>
      <c r="F16" s="139"/>
    </row>
    <row r="17" spans="1:6" ht="15.75">
      <c r="A17" s="99"/>
      <c r="B17" s="99"/>
      <c r="C17" s="99"/>
      <c r="D17" s="99"/>
      <c r="E17" s="99"/>
      <c r="F17" s="139"/>
    </row>
    <row r="18" spans="1:6" ht="15.75">
      <c r="A18" s="99"/>
      <c r="B18" s="754" t="s">
        <v>331</v>
      </c>
      <c r="C18" s="754"/>
      <c r="D18" s="198">
        <f>IF(D16&gt;0,(D16*0.001),"")</f>
        <v>3794.53</v>
      </c>
      <c r="E18" s="99"/>
      <c r="F18" s="139"/>
    </row>
    <row r="19" spans="1:6" ht="15.75">
      <c r="A19" s="99"/>
      <c r="B19" s="182"/>
      <c r="C19" s="182"/>
      <c r="D19" s="199"/>
      <c r="E19" s="99"/>
      <c r="F19" s="139"/>
    </row>
    <row r="20" spans="1:6" ht="15.75">
      <c r="A20" s="751" t="s">
        <v>312</v>
      </c>
      <c r="B20" s="715"/>
      <c r="C20" s="715"/>
      <c r="D20" s="201">
        <f>inputOth!D42</f>
        <v>0</v>
      </c>
      <c r="E20" s="202"/>
      <c r="F20" s="202"/>
    </row>
    <row r="21" spans="1:6" ht="15">
      <c r="A21" s="202"/>
      <c r="B21" s="202"/>
      <c r="C21" s="202"/>
      <c r="D21" s="203"/>
      <c r="E21" s="202"/>
      <c r="F21" s="202"/>
    </row>
    <row r="22" spans="1:6" ht="15.75">
      <c r="A22" s="202"/>
      <c r="B22" s="751" t="s">
        <v>313</v>
      </c>
      <c r="C22" s="752"/>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2014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9" t="s">
        <v>133</v>
      </c>
      <c r="C1" s="759"/>
      <c r="D1" s="759"/>
      <c r="E1" s="759"/>
      <c r="F1" s="759"/>
      <c r="G1" s="759"/>
      <c r="H1" s="759"/>
    </row>
    <row r="2" spans="2:8" ht="15.75">
      <c r="B2" s="43"/>
      <c r="C2"/>
      <c r="D2"/>
      <c r="E2"/>
      <c r="F2"/>
      <c r="G2"/>
      <c r="H2"/>
    </row>
    <row r="3" spans="2:8" ht="15.75">
      <c r="B3" s="760" t="s">
        <v>130</v>
      </c>
      <c r="C3" s="760"/>
      <c r="D3" s="760"/>
      <c r="E3" s="760"/>
      <c r="F3" s="760"/>
      <c r="G3" s="760"/>
      <c r="H3" s="760"/>
    </row>
    <row r="4" spans="2:8" ht="15.75">
      <c r="B4" s="44"/>
      <c r="C4"/>
      <c r="D4"/>
      <c r="E4"/>
      <c r="F4"/>
      <c r="G4"/>
      <c r="H4"/>
    </row>
    <row r="5" spans="2:8" ht="15.75">
      <c r="B5" s="761" t="str">
        <f>CONCATENATE("A resolution expressing the property taxation policy of the Board of ",(inputPrYr!D3)," District with respect to financing the ",inputPrYr!D11," annual budget for ",(inputPrYr!D3)," , ",(inputPrYr!D4)," , Kansas.")</f>
        <v>A resolution expressing the property taxation policy of the Board of Fairview (Menlo) Cemetery District with respect to financing the 2014 annual budget for Fairview (Menlo) Cemetery , Thomas County , Kansas.</v>
      </c>
      <c r="C5" s="758"/>
      <c r="D5" s="758"/>
      <c r="E5" s="758"/>
      <c r="F5" s="758"/>
      <c r="G5" s="758"/>
      <c r="H5" s="758"/>
    </row>
    <row r="6" spans="2:10" ht="15.75">
      <c r="B6" s="758"/>
      <c r="C6" s="758"/>
      <c r="D6" s="758"/>
      <c r="E6" s="758"/>
      <c r="F6" s="758"/>
      <c r="G6" s="758"/>
      <c r="H6" s="758"/>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2014 Fairview (Menlo) Cemetery district budget exceed the amount levied to finance the</v>
      </c>
      <c r="C9"/>
      <c r="D9"/>
      <c r="E9"/>
      <c r="F9"/>
      <c r="G9"/>
      <c r="H9"/>
    </row>
    <row r="10" spans="2:8" ht="15.75">
      <c r="B10" s="49" t="str">
        <f>CONCATENATE("",inputPrYr!D11-1," ",inputPrYr!D3," except with regard to revenue produced and attributable to the")</f>
        <v>2013 Fairview (Menlo) Cemetery except with regard to revenue produced and attributable to the</v>
      </c>
      <c r="C10"/>
      <c r="D10"/>
      <c r="E10"/>
      <c r="F10"/>
      <c r="G10"/>
      <c r="H10"/>
    </row>
    <row r="11" spans="2:8" ht="15.75">
      <c r="B11" s="762" t="s">
        <v>183</v>
      </c>
      <c r="C11" s="763"/>
      <c r="D11" s="763"/>
      <c r="E11" s="763"/>
      <c r="F11" s="763"/>
      <c r="G11" s="763"/>
      <c r="H11" s="763"/>
    </row>
    <row r="12" spans="2:8" ht="15.75">
      <c r="B12" s="763"/>
      <c r="C12" s="763"/>
      <c r="D12" s="763"/>
      <c r="E12" s="763"/>
      <c r="F12" s="763"/>
      <c r="G12" s="763"/>
      <c r="H12" s="763"/>
    </row>
    <row r="13" spans="2:8" ht="15.75">
      <c r="B13" s="763"/>
      <c r="C13" s="763"/>
      <c r="D13" s="763"/>
      <c r="E13" s="763"/>
      <c r="F13" s="763"/>
      <c r="G13" s="763"/>
      <c r="H13" s="763"/>
    </row>
    <row r="14" spans="2:8" ht="15.75">
      <c r="B14" s="763"/>
      <c r="C14" s="763"/>
      <c r="D14" s="763"/>
      <c r="E14" s="763"/>
      <c r="F14" s="763"/>
      <c r="G14" s="763"/>
      <c r="H14" s="763"/>
    </row>
    <row r="15" spans="2:8" ht="15.75">
      <c r="B15" s="36"/>
      <c r="C15" s="36"/>
      <c r="D15" s="36"/>
      <c r="E15" s="36"/>
      <c r="F15" s="36"/>
      <c r="G15" s="36"/>
      <c r="H15" s="36"/>
    </row>
    <row r="16" spans="2:8" ht="15.75">
      <c r="B16" s="757" t="s">
        <v>151</v>
      </c>
      <c r="C16" s="764"/>
      <c r="D16" s="764"/>
      <c r="E16" s="764"/>
      <c r="F16" s="764"/>
      <c r="G16" s="764"/>
      <c r="H16" s="764"/>
    </row>
    <row r="17" spans="2:8" ht="15.75">
      <c r="B17" s="764"/>
      <c r="C17" s="764"/>
      <c r="D17" s="764"/>
      <c r="E17" s="764"/>
      <c r="F17" s="764"/>
      <c r="G17" s="764"/>
      <c r="H17" s="764"/>
    </row>
    <row r="18" spans="2:8" ht="15.75">
      <c r="B18" s="49"/>
      <c r="C18"/>
      <c r="D18"/>
      <c r="E18"/>
      <c r="F18"/>
      <c r="G18"/>
      <c r="H18"/>
    </row>
    <row r="19" spans="2:8" ht="15.75">
      <c r="B19" s="49" t="str">
        <f>CONCATENATE("Whereas, ",(inputPrYr!D3)," provides essential services to district residents; and")</f>
        <v>Whereas, Fairview (Menlo) Cemetery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62"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Fairview (Menlo) Cemetery that is our desire to notify the public of the possibility of increased property taxes to finance the 2014 Fairview (Menlo) Cemetery  budget as defined above.</v>
      </c>
      <c r="C23" s="765"/>
      <c r="D23" s="765"/>
      <c r="E23" s="765"/>
      <c r="F23" s="765"/>
      <c r="G23" s="765"/>
      <c r="H23" s="765"/>
    </row>
    <row r="24" spans="2:8" ht="15.75">
      <c r="B24" s="765"/>
      <c r="C24" s="765"/>
      <c r="D24" s="765"/>
      <c r="E24" s="765"/>
      <c r="F24" s="765"/>
      <c r="G24" s="765"/>
      <c r="H24" s="765"/>
    </row>
    <row r="25" spans="2:8" ht="15.75">
      <c r="B25" s="765"/>
      <c r="C25" s="765"/>
      <c r="D25" s="765"/>
      <c r="E25" s="765"/>
      <c r="F25" s="765"/>
      <c r="G25" s="765"/>
      <c r="H25" s="765"/>
    </row>
    <row r="26" spans="2:8" ht="15.75">
      <c r="B26" s="49"/>
      <c r="C26"/>
      <c r="D26"/>
      <c r="E26"/>
      <c r="F26"/>
      <c r="G26"/>
      <c r="H26"/>
    </row>
    <row r="27" spans="2:8" ht="15.75">
      <c r="B27" s="757" t="str">
        <f>CONCATENATE("Adopted this _________ day of ___________, ",inputPrYr!D11-1," by the ",(inputPrYr!D3)," District Board, ",(inputPrYr!D4),", State of Kansas.")</f>
        <v>Adopted this _________ day of ___________, 2013 by the Fairview (Menlo) Cemetery District Board, Thomas County, State of Kansas.</v>
      </c>
      <c r="C27" s="758"/>
      <c r="D27" s="758"/>
      <c r="E27" s="758"/>
      <c r="F27" s="758"/>
      <c r="G27" s="758"/>
      <c r="H27" s="758"/>
    </row>
    <row r="28" spans="2:8" ht="15.75">
      <c r="B28" s="758"/>
      <c r="C28" s="758"/>
      <c r="D28" s="758"/>
      <c r="E28" s="758"/>
      <c r="F28" s="758"/>
      <c r="G28" s="758"/>
      <c r="H28" s="758"/>
    </row>
    <row r="29" spans="2:8" ht="15.75">
      <c r="B29" s="45"/>
      <c r="C29"/>
      <c r="D29"/>
      <c r="E29"/>
      <c r="F29"/>
      <c r="G29"/>
      <c r="H29"/>
    </row>
    <row r="30" spans="2:8" ht="15.75">
      <c r="B30" s="45"/>
      <c r="C30"/>
      <c r="D30"/>
      <c r="E30"/>
      <c r="F30"/>
      <c r="G30"/>
      <c r="H30"/>
    </row>
    <row r="31" spans="2:8" ht="15.75">
      <c r="B31" s="46" t="str">
        <f>CONCATENATE(" ",(inputPrYr!D3)," District Board")</f>
        <v> Fairview (Menlo) Cemetery District Board</v>
      </c>
      <c r="C31"/>
      <c r="D31"/>
      <c r="E31"/>
      <c r="F31"/>
      <c r="G31"/>
      <c r="H31"/>
    </row>
    <row r="32" spans="2:8" ht="15.75">
      <c r="B32" s="45"/>
      <c r="C32"/>
      <c r="D32"/>
      <c r="E32"/>
      <c r="F32"/>
      <c r="G32"/>
      <c r="H32"/>
    </row>
    <row r="33" spans="2:8" ht="15.75">
      <c r="B33"/>
      <c r="C33"/>
      <c r="D33"/>
      <c r="E33" s="756" t="s">
        <v>131</v>
      </c>
      <c r="F33" s="756"/>
      <c r="G33" s="756"/>
      <c r="H33" s="756"/>
    </row>
    <row r="34" spans="2:8" ht="15.75">
      <c r="B34"/>
      <c r="C34"/>
      <c r="D34"/>
      <c r="E34" s="756" t="s">
        <v>134</v>
      </c>
      <c r="F34" s="756"/>
      <c r="G34" s="756"/>
      <c r="H34" s="756"/>
    </row>
    <row r="35" spans="2:8" ht="15.75">
      <c r="B35" s="45"/>
      <c r="C35"/>
      <c r="D35"/>
      <c r="E35" s="756"/>
      <c r="F35" s="756"/>
      <c r="G35" s="756"/>
      <c r="H35" s="756"/>
    </row>
    <row r="36" spans="2:8" ht="15.75">
      <c r="B36"/>
      <c r="C36"/>
      <c r="D36"/>
      <c r="E36" s="756" t="s">
        <v>131</v>
      </c>
      <c r="F36" s="756"/>
      <c r="G36" s="756"/>
      <c r="H36" s="756"/>
    </row>
    <row r="37" spans="2:8" ht="15.75">
      <c r="B37"/>
      <c r="C37"/>
      <c r="D37"/>
      <c r="E37" s="756" t="s">
        <v>135</v>
      </c>
      <c r="F37" s="756"/>
      <c r="G37" s="756"/>
      <c r="H37" s="756"/>
    </row>
    <row r="38" spans="2:8" ht="15.75">
      <c r="B38" s="45"/>
      <c r="C38"/>
      <c r="D38"/>
      <c r="E38" s="756"/>
      <c r="F38" s="756"/>
      <c r="G38" s="756"/>
      <c r="H38" s="756"/>
    </row>
    <row r="39" spans="2:8" ht="15.75">
      <c r="B39"/>
      <c r="C39"/>
      <c r="D39"/>
      <c r="E39" s="756" t="s">
        <v>131</v>
      </c>
      <c r="F39" s="756"/>
      <c r="G39" s="756"/>
      <c r="H39" s="756"/>
    </row>
    <row r="40" spans="2:8" ht="15.75">
      <c r="B40"/>
      <c r="C40"/>
      <c r="D40"/>
      <c r="E40" s="756" t="s">
        <v>136</v>
      </c>
      <c r="F40" s="756"/>
      <c r="G40" s="756"/>
      <c r="H40" s="756"/>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55"/>
      <c r="F46" s="755"/>
      <c r="G46" s="755"/>
      <c r="H46" s="755"/>
    </row>
    <row r="47" spans="2:8" ht="15.75">
      <c r="B47" s="40"/>
      <c r="E47" s="755"/>
      <c r="F47" s="755"/>
      <c r="G47" s="755"/>
      <c r="H47" s="755"/>
    </row>
    <row r="48" spans="5:8" ht="15.75">
      <c r="E48" s="755"/>
      <c r="F48" s="755"/>
      <c r="G48" s="755"/>
      <c r="H48" s="755"/>
    </row>
    <row r="49" spans="5:8" ht="15.75">
      <c r="E49" s="755"/>
      <c r="F49" s="755"/>
      <c r="G49" s="755"/>
      <c r="H49" s="755"/>
    </row>
    <row r="50" spans="2:8" ht="15.75">
      <c r="B50" s="40"/>
      <c r="E50" s="755"/>
      <c r="F50" s="755"/>
      <c r="G50" s="755"/>
      <c r="H50" s="755"/>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2012 'total expenditures' exceed your 2012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2014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2012 budget was amended, did you</v>
      </c>
    </row>
    <row r="26" ht="15">
      <c r="A26" s="399" t="s">
        <v>359</v>
      </c>
    </row>
    <row r="27" ht="15">
      <c r="A27" s="399"/>
    </row>
    <row r="28" ht="15">
      <c r="A28" s="399" t="str">
        <f>CONCATENATE("Next, look to see if any of your ",inputPrYr!D11-2," expenditures can be")</f>
        <v>Next, look to see if any of your 2012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2012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2012 financial records have been closed?</v>
      </c>
    </row>
    <row r="63" ht="15">
      <c r="A63" s="399" t="s">
        <v>385</v>
      </c>
    </row>
    <row r="64" ht="15">
      <c r="A64" s="399" t="str">
        <f>CONCATENATE("(i.e. an audit for ",inputPrYr!D11-2," has been completed, or the ",inputPrYr!D11)</f>
        <v>(i.e. an audit for 2012 has been completed, or the 2014</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2012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2012 are not closed</v>
      </c>
      <c r="B33" s="399"/>
      <c r="C33" s="399"/>
      <c r="D33" s="399"/>
      <c r="E33" s="399"/>
      <c r="F33" s="399"/>
      <c r="G33" s="399"/>
      <c r="H33" s="399"/>
    </row>
    <row r="34" spans="1:8" ht="15">
      <c r="A34" s="399" t="str">
        <f>CONCATENATE("(i.e. an audit has not been completed, or the ",inputPrYr!D11," adopted ")</f>
        <v>(i.e. an audit has not been completed, or the 2014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2013 'total expenditures' exceed your 2013</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2013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2013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2013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2013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2013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2013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2014 'total expenditures' exceed your 2014</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75" t="s">
        <v>590</v>
      </c>
      <c r="C6" s="783"/>
      <c r="D6" s="783"/>
      <c r="E6" s="783"/>
      <c r="F6" s="783"/>
      <c r="G6" s="783"/>
      <c r="H6" s="783"/>
      <c r="I6" s="783"/>
      <c r="J6" s="783"/>
      <c r="K6" s="783"/>
      <c r="L6" s="450"/>
    </row>
    <row r="7" spans="1:12" ht="40.5" customHeight="1">
      <c r="A7" s="447"/>
      <c r="B7" s="795" t="s">
        <v>591</v>
      </c>
      <c r="C7" s="796"/>
      <c r="D7" s="796"/>
      <c r="E7" s="796"/>
      <c r="F7" s="796"/>
      <c r="G7" s="796"/>
      <c r="H7" s="796"/>
      <c r="I7" s="796"/>
      <c r="J7" s="796"/>
      <c r="K7" s="796"/>
      <c r="L7" s="447"/>
    </row>
    <row r="8" spans="1:12" ht="14.25">
      <c r="A8" s="447"/>
      <c r="B8" s="792" t="s">
        <v>592</v>
      </c>
      <c r="C8" s="792"/>
      <c r="D8" s="792"/>
      <c r="E8" s="792"/>
      <c r="F8" s="792"/>
      <c r="G8" s="792"/>
      <c r="H8" s="792"/>
      <c r="I8" s="792"/>
      <c r="J8" s="792"/>
      <c r="K8" s="792"/>
      <c r="L8" s="447"/>
    </row>
    <row r="9" spans="1:12" ht="14.25">
      <c r="A9" s="447"/>
      <c r="L9" s="447"/>
    </row>
    <row r="10" spans="1:12" ht="14.25">
      <c r="A10" s="447"/>
      <c r="B10" s="792" t="s">
        <v>593</v>
      </c>
      <c r="C10" s="792"/>
      <c r="D10" s="792"/>
      <c r="E10" s="792"/>
      <c r="F10" s="792"/>
      <c r="G10" s="792"/>
      <c r="H10" s="792"/>
      <c r="I10" s="792"/>
      <c r="J10" s="792"/>
      <c r="K10" s="792"/>
      <c r="L10" s="447"/>
    </row>
    <row r="11" spans="1:12" ht="14.25">
      <c r="A11" s="447"/>
      <c r="B11" s="583"/>
      <c r="C11" s="583"/>
      <c r="D11" s="583"/>
      <c r="E11" s="583"/>
      <c r="F11" s="583"/>
      <c r="G11" s="583"/>
      <c r="H11" s="583"/>
      <c r="I11" s="583"/>
      <c r="J11" s="583"/>
      <c r="K11" s="583"/>
      <c r="L11" s="447"/>
    </row>
    <row r="12" spans="1:12" ht="32.25" customHeight="1">
      <c r="A12" s="447"/>
      <c r="B12" s="776" t="s">
        <v>594</v>
      </c>
      <c r="C12" s="776"/>
      <c r="D12" s="776"/>
      <c r="E12" s="776"/>
      <c r="F12" s="776"/>
      <c r="G12" s="776"/>
      <c r="H12" s="776"/>
      <c r="I12" s="776"/>
      <c r="J12" s="776"/>
      <c r="K12" s="776"/>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8">
        <v>312000000</v>
      </c>
      <c r="G23" s="778"/>
      <c r="L23" s="447"/>
    </row>
    <row r="24" spans="1:12" ht="14.25">
      <c r="A24" s="447"/>
      <c r="L24" s="447"/>
    </row>
    <row r="25" spans="1:12" ht="14.25">
      <c r="A25" s="447"/>
      <c r="C25" s="793">
        <f>F23</f>
        <v>312000000</v>
      </c>
      <c r="D25" s="793"/>
      <c r="E25" s="449" t="s">
        <v>600</v>
      </c>
      <c r="F25" s="452">
        <v>1000</v>
      </c>
      <c r="G25" s="452" t="s">
        <v>599</v>
      </c>
      <c r="H25" s="584">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79">
        <v>1000</v>
      </c>
      <c r="G28" s="579"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80" t="s">
        <v>591</v>
      </c>
      <c r="C30" s="780"/>
      <c r="D30" s="780"/>
      <c r="E30" s="780"/>
      <c r="F30" s="780"/>
      <c r="G30" s="780"/>
      <c r="H30" s="780"/>
      <c r="I30" s="780"/>
      <c r="J30" s="780"/>
      <c r="K30" s="780"/>
      <c r="L30" s="447"/>
    </row>
    <row r="31" spans="1:12" ht="14.25">
      <c r="A31" s="447"/>
      <c r="B31" s="792" t="s">
        <v>603</v>
      </c>
      <c r="C31" s="792"/>
      <c r="D31" s="792"/>
      <c r="E31" s="792"/>
      <c r="F31" s="792"/>
      <c r="G31" s="792"/>
      <c r="H31" s="792"/>
      <c r="I31" s="792"/>
      <c r="J31" s="792"/>
      <c r="K31" s="792"/>
      <c r="L31" s="447"/>
    </row>
    <row r="32" spans="1:12" ht="14.25">
      <c r="A32" s="447"/>
      <c r="L32" s="447"/>
    </row>
    <row r="33" spans="1:12" ht="14.25">
      <c r="A33" s="447"/>
      <c r="B33" s="792" t="s">
        <v>604</v>
      </c>
      <c r="C33" s="792"/>
      <c r="D33" s="792"/>
      <c r="E33" s="792"/>
      <c r="F33" s="792"/>
      <c r="G33" s="792"/>
      <c r="H33" s="792"/>
      <c r="I33" s="792"/>
      <c r="J33" s="792"/>
      <c r="K33" s="792"/>
      <c r="L33" s="447"/>
    </row>
    <row r="34" spans="1:12" ht="14.25">
      <c r="A34" s="447"/>
      <c r="L34" s="447"/>
    </row>
    <row r="35" spans="1:12" ht="89.25" customHeight="1">
      <c r="A35" s="447"/>
      <c r="B35" s="776" t="s">
        <v>605</v>
      </c>
      <c r="C35" s="786"/>
      <c r="D35" s="786"/>
      <c r="E35" s="786"/>
      <c r="F35" s="786"/>
      <c r="G35" s="786"/>
      <c r="H35" s="786"/>
      <c r="I35" s="786"/>
      <c r="J35" s="786"/>
      <c r="K35" s="786"/>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94">
        <v>312000000</v>
      </c>
      <c r="D41" s="794"/>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87">
        <v>312000000</v>
      </c>
      <c r="C48" s="778"/>
      <c r="D48" s="457" t="s">
        <v>610</v>
      </c>
      <c r="E48" s="457" t="s">
        <v>600</v>
      </c>
      <c r="F48" s="579">
        <v>1000</v>
      </c>
      <c r="G48" s="579"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88" t="s">
        <v>613</v>
      </c>
      <c r="H50" s="789"/>
      <c r="I50" s="579" t="s">
        <v>599</v>
      </c>
      <c r="J50" s="467">
        <f>B50/F50</f>
        <v>0.16025641025641027</v>
      </c>
      <c r="K50" s="459"/>
      <c r="L50" s="447"/>
    </row>
    <row r="51" spans="1:15" ht="15" thickBot="1">
      <c r="A51" s="447"/>
      <c r="B51" s="460"/>
      <c r="C51" s="461"/>
      <c r="D51" s="461"/>
      <c r="E51" s="461"/>
      <c r="F51" s="461"/>
      <c r="G51" s="461"/>
      <c r="H51" s="461"/>
      <c r="I51" s="790" t="s">
        <v>614</v>
      </c>
      <c r="J51" s="790"/>
      <c r="K51" s="791"/>
      <c r="L51" s="447"/>
      <c r="O51" s="468"/>
    </row>
    <row r="52" spans="1:12" ht="40.5" customHeight="1">
      <c r="A52" s="447"/>
      <c r="B52" s="780" t="s">
        <v>591</v>
      </c>
      <c r="C52" s="780"/>
      <c r="D52" s="780"/>
      <c r="E52" s="780"/>
      <c r="F52" s="780"/>
      <c r="G52" s="780"/>
      <c r="H52" s="780"/>
      <c r="I52" s="780"/>
      <c r="J52" s="780"/>
      <c r="K52" s="780"/>
      <c r="L52" s="447"/>
    </row>
    <row r="53" spans="1:12" ht="14.25">
      <c r="A53" s="447"/>
      <c r="B53" s="792" t="s">
        <v>615</v>
      </c>
      <c r="C53" s="792"/>
      <c r="D53" s="792"/>
      <c r="E53" s="792"/>
      <c r="F53" s="792"/>
      <c r="G53" s="792"/>
      <c r="H53" s="792"/>
      <c r="I53" s="792"/>
      <c r="J53" s="792"/>
      <c r="K53" s="792"/>
      <c r="L53" s="447"/>
    </row>
    <row r="54" spans="1:12" ht="14.25">
      <c r="A54" s="447"/>
      <c r="B54" s="583"/>
      <c r="C54" s="583"/>
      <c r="D54" s="583"/>
      <c r="E54" s="583"/>
      <c r="F54" s="583"/>
      <c r="G54" s="583"/>
      <c r="H54" s="583"/>
      <c r="I54" s="583"/>
      <c r="J54" s="583"/>
      <c r="K54" s="583"/>
      <c r="L54" s="447"/>
    </row>
    <row r="55" spans="1:12" ht="14.25">
      <c r="A55" s="447"/>
      <c r="B55" s="775" t="s">
        <v>616</v>
      </c>
      <c r="C55" s="775"/>
      <c r="D55" s="775"/>
      <c r="E55" s="775"/>
      <c r="F55" s="775"/>
      <c r="G55" s="775"/>
      <c r="H55" s="775"/>
      <c r="I55" s="775"/>
      <c r="J55" s="775"/>
      <c r="K55" s="775"/>
      <c r="L55" s="447"/>
    </row>
    <row r="56" spans="1:12" ht="15" customHeight="1">
      <c r="A56" s="447"/>
      <c r="L56" s="447"/>
    </row>
    <row r="57" spans="1:24" ht="74.25" customHeight="1">
      <c r="A57" s="447"/>
      <c r="B57" s="776" t="s">
        <v>617</v>
      </c>
      <c r="C57" s="786"/>
      <c r="D57" s="786"/>
      <c r="E57" s="786"/>
      <c r="F57" s="786"/>
      <c r="G57" s="786"/>
      <c r="H57" s="786"/>
      <c r="I57" s="786"/>
      <c r="J57" s="786"/>
      <c r="K57" s="786"/>
      <c r="L57" s="447"/>
      <c r="M57" s="469"/>
      <c r="N57" s="470"/>
      <c r="O57" s="470"/>
      <c r="P57" s="470"/>
      <c r="Q57" s="470"/>
      <c r="R57" s="470"/>
      <c r="S57" s="470"/>
      <c r="T57" s="470"/>
      <c r="U57" s="470"/>
      <c r="V57" s="470"/>
      <c r="W57" s="470"/>
      <c r="X57" s="470"/>
    </row>
    <row r="58" spans="1:24" ht="15" customHeight="1">
      <c r="A58" s="447"/>
      <c r="B58" s="776"/>
      <c r="C58" s="786"/>
      <c r="D58" s="786"/>
      <c r="E58" s="786"/>
      <c r="F58" s="786"/>
      <c r="G58" s="786"/>
      <c r="H58" s="786"/>
      <c r="I58" s="786"/>
      <c r="J58" s="786"/>
      <c r="K58" s="786"/>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8">
        <v>312000000</v>
      </c>
      <c r="D74" s="778"/>
      <c r="E74" s="579" t="s">
        <v>600</v>
      </c>
      <c r="F74" s="579">
        <v>1000</v>
      </c>
      <c r="G74" s="579" t="s">
        <v>599</v>
      </c>
      <c r="H74" s="576">
        <f>C74/F74</f>
        <v>312000</v>
      </c>
      <c r="I74" s="457" t="s">
        <v>623</v>
      </c>
      <c r="J74" s="457"/>
      <c r="K74" s="459"/>
      <c r="L74" s="473"/>
    </row>
    <row r="75" spans="1:12" ht="14.25">
      <c r="A75" s="447"/>
      <c r="B75" s="465"/>
      <c r="C75" s="457"/>
      <c r="D75" s="457"/>
      <c r="E75" s="579"/>
      <c r="F75" s="457"/>
      <c r="G75" s="457"/>
      <c r="H75" s="457"/>
      <c r="I75" s="457"/>
      <c r="J75" s="457"/>
      <c r="K75" s="459"/>
      <c r="L75" s="473"/>
    </row>
    <row r="76" spans="1:12" ht="14.25">
      <c r="A76" s="447"/>
      <c r="B76" s="465"/>
      <c r="C76" s="457" t="s">
        <v>624</v>
      </c>
      <c r="D76" s="457"/>
      <c r="E76" s="579"/>
      <c r="F76" s="457" t="s">
        <v>623</v>
      </c>
      <c r="G76" s="457"/>
      <c r="H76" s="457"/>
      <c r="I76" s="457"/>
      <c r="J76" s="457"/>
      <c r="K76" s="459"/>
      <c r="L76" s="473"/>
    </row>
    <row r="77" spans="1:12" ht="14.25">
      <c r="A77" s="447"/>
      <c r="B77" s="465" t="s">
        <v>625</v>
      </c>
      <c r="C77" s="778">
        <v>50000</v>
      </c>
      <c r="D77" s="778"/>
      <c r="E77" s="579" t="s">
        <v>600</v>
      </c>
      <c r="F77" s="576">
        <f>H74</f>
        <v>312000</v>
      </c>
      <c r="G77" s="579" t="s">
        <v>599</v>
      </c>
      <c r="H77" s="467">
        <f>C77/F77</f>
        <v>0.16025641025641027</v>
      </c>
      <c r="I77" s="457" t="s">
        <v>626</v>
      </c>
      <c r="J77" s="457"/>
      <c r="K77" s="459"/>
      <c r="L77" s="473"/>
    </row>
    <row r="78" spans="1:12" ht="14.25">
      <c r="A78" s="447"/>
      <c r="B78" s="465"/>
      <c r="C78" s="457"/>
      <c r="D78" s="457"/>
      <c r="E78" s="579"/>
      <c r="F78" s="457"/>
      <c r="G78" s="457"/>
      <c r="H78" s="457"/>
      <c r="I78" s="457"/>
      <c r="J78" s="457"/>
      <c r="K78" s="459"/>
      <c r="L78" s="473"/>
    </row>
    <row r="79" spans="1:12" ht="14.25">
      <c r="A79" s="447"/>
      <c r="B79" s="474"/>
      <c r="C79" s="475" t="s">
        <v>627</v>
      </c>
      <c r="D79" s="475"/>
      <c r="E79" s="575"/>
      <c r="F79" s="475"/>
      <c r="G79" s="475"/>
      <c r="H79" s="475"/>
      <c r="I79" s="475"/>
      <c r="J79" s="475"/>
      <c r="K79" s="476"/>
      <c r="L79" s="473"/>
    </row>
    <row r="80" spans="1:12" ht="14.25">
      <c r="A80" s="447"/>
      <c r="B80" s="465" t="s">
        <v>628</v>
      </c>
      <c r="C80" s="778">
        <v>100000</v>
      </c>
      <c r="D80" s="778"/>
      <c r="E80" s="579" t="s">
        <v>21</v>
      </c>
      <c r="F80" s="579">
        <v>0.115</v>
      </c>
      <c r="G80" s="579" t="s">
        <v>599</v>
      </c>
      <c r="H80" s="576">
        <f>C80*F80</f>
        <v>11500</v>
      </c>
      <c r="I80" s="457" t="s">
        <v>629</v>
      </c>
      <c r="J80" s="457"/>
      <c r="K80" s="459"/>
      <c r="L80" s="473"/>
    </row>
    <row r="81" spans="1:12" ht="14.25">
      <c r="A81" s="447"/>
      <c r="B81" s="465"/>
      <c r="C81" s="457"/>
      <c r="D81" s="457"/>
      <c r="E81" s="579"/>
      <c r="F81" s="457"/>
      <c r="G81" s="457"/>
      <c r="H81" s="457"/>
      <c r="I81" s="457"/>
      <c r="J81" s="457"/>
      <c r="K81" s="459"/>
      <c r="L81" s="473"/>
    </row>
    <row r="82" spans="1:12" ht="14.25">
      <c r="A82" s="447"/>
      <c r="B82" s="474"/>
      <c r="C82" s="475" t="s">
        <v>630</v>
      </c>
      <c r="D82" s="475"/>
      <c r="E82" s="575"/>
      <c r="F82" s="475" t="s">
        <v>626</v>
      </c>
      <c r="G82" s="475"/>
      <c r="H82" s="475"/>
      <c r="I82" s="475"/>
      <c r="J82" s="475" t="s">
        <v>631</v>
      </c>
      <c r="K82" s="476"/>
      <c r="L82" s="473"/>
    </row>
    <row r="83" spans="1:12" ht="14.25">
      <c r="A83" s="447"/>
      <c r="B83" s="465" t="s">
        <v>632</v>
      </c>
      <c r="C83" s="779">
        <f>H80</f>
        <v>11500</v>
      </c>
      <c r="D83" s="779"/>
      <c r="E83" s="579" t="s">
        <v>21</v>
      </c>
      <c r="F83" s="467">
        <f>H77</f>
        <v>0.16025641025641027</v>
      </c>
      <c r="G83" s="579" t="s">
        <v>600</v>
      </c>
      <c r="H83" s="579">
        <v>1000</v>
      </c>
      <c r="I83" s="579" t="s">
        <v>599</v>
      </c>
      <c r="J83" s="577">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80" t="s">
        <v>591</v>
      </c>
      <c r="C85" s="780"/>
      <c r="D85" s="780"/>
      <c r="E85" s="780"/>
      <c r="F85" s="780"/>
      <c r="G85" s="780"/>
      <c r="H85" s="780"/>
      <c r="I85" s="780"/>
      <c r="J85" s="780"/>
      <c r="K85" s="780"/>
      <c r="L85" s="447"/>
    </row>
    <row r="86" spans="1:12" ht="14.25">
      <c r="A86" s="447"/>
      <c r="B86" s="775" t="s">
        <v>633</v>
      </c>
      <c r="C86" s="775"/>
      <c r="D86" s="775"/>
      <c r="E86" s="775"/>
      <c r="F86" s="775"/>
      <c r="G86" s="775"/>
      <c r="H86" s="775"/>
      <c r="I86" s="775"/>
      <c r="J86" s="775"/>
      <c r="K86" s="775"/>
      <c r="L86" s="447"/>
    </row>
    <row r="87" spans="1:12" ht="14.25">
      <c r="A87" s="447"/>
      <c r="B87" s="481"/>
      <c r="C87" s="481"/>
      <c r="D87" s="481"/>
      <c r="E87" s="481"/>
      <c r="F87" s="481"/>
      <c r="G87" s="481"/>
      <c r="H87" s="481"/>
      <c r="I87" s="481"/>
      <c r="J87" s="481"/>
      <c r="K87" s="481"/>
      <c r="L87" s="447"/>
    </row>
    <row r="88" spans="1:12" ht="14.25">
      <c r="A88" s="447"/>
      <c r="B88" s="775" t="s">
        <v>634</v>
      </c>
      <c r="C88" s="775"/>
      <c r="D88" s="775"/>
      <c r="E88" s="775"/>
      <c r="F88" s="775"/>
      <c r="G88" s="775"/>
      <c r="H88" s="775"/>
      <c r="I88" s="775"/>
      <c r="J88" s="775"/>
      <c r="K88" s="775"/>
      <c r="L88" s="447"/>
    </row>
    <row r="89" spans="1:12" ht="14.25">
      <c r="A89" s="447"/>
      <c r="B89" s="578"/>
      <c r="C89" s="578"/>
      <c r="D89" s="578"/>
      <c r="E89" s="578"/>
      <c r="F89" s="578"/>
      <c r="G89" s="578"/>
      <c r="H89" s="578"/>
      <c r="I89" s="578"/>
      <c r="J89" s="578"/>
      <c r="K89" s="578"/>
      <c r="L89" s="447"/>
    </row>
    <row r="90" spans="1:12" ht="45" customHeight="1">
      <c r="A90" s="447"/>
      <c r="B90" s="776" t="s">
        <v>635</v>
      </c>
      <c r="C90" s="776"/>
      <c r="D90" s="776"/>
      <c r="E90" s="776"/>
      <c r="F90" s="776"/>
      <c r="G90" s="776"/>
      <c r="H90" s="776"/>
      <c r="I90" s="776"/>
      <c r="J90" s="776"/>
      <c r="K90" s="776"/>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1" t="s">
        <v>601</v>
      </c>
      <c r="D93" s="581"/>
      <c r="E93" s="581"/>
      <c r="F93" s="581"/>
      <c r="G93" s="581"/>
      <c r="H93" s="581"/>
      <c r="I93" s="581"/>
      <c r="J93" s="581"/>
      <c r="K93" s="486"/>
      <c r="L93" s="447"/>
    </row>
    <row r="94" spans="1:12" ht="15" customHeight="1">
      <c r="A94" s="447"/>
      <c r="B94" s="485" t="s">
        <v>622</v>
      </c>
      <c r="C94" s="778">
        <v>312000000</v>
      </c>
      <c r="D94" s="778"/>
      <c r="E94" s="579" t="s">
        <v>600</v>
      </c>
      <c r="F94" s="579">
        <v>1000</v>
      </c>
      <c r="G94" s="579" t="s">
        <v>599</v>
      </c>
      <c r="H94" s="576">
        <f>C94/F94</f>
        <v>312000</v>
      </c>
      <c r="I94" s="581" t="s">
        <v>623</v>
      </c>
      <c r="J94" s="581"/>
      <c r="K94" s="486"/>
      <c r="L94" s="447"/>
    </row>
    <row r="95" spans="1:12" ht="15" customHeight="1">
      <c r="A95" s="447"/>
      <c r="B95" s="485"/>
      <c r="C95" s="581"/>
      <c r="D95" s="581"/>
      <c r="E95" s="579"/>
      <c r="F95" s="581"/>
      <c r="G95" s="581"/>
      <c r="H95" s="581"/>
      <c r="I95" s="581"/>
      <c r="J95" s="581"/>
      <c r="K95" s="486"/>
      <c r="L95" s="447"/>
    </row>
    <row r="96" spans="1:12" ht="15" customHeight="1">
      <c r="A96" s="447"/>
      <c r="B96" s="485"/>
      <c r="C96" s="581" t="s">
        <v>624</v>
      </c>
      <c r="D96" s="581"/>
      <c r="E96" s="579"/>
      <c r="F96" s="581" t="s">
        <v>623</v>
      </c>
      <c r="G96" s="581"/>
      <c r="H96" s="581"/>
      <c r="I96" s="581"/>
      <c r="J96" s="581"/>
      <c r="K96" s="486"/>
      <c r="L96" s="447"/>
    </row>
    <row r="97" spans="1:12" ht="15" customHeight="1">
      <c r="A97" s="447"/>
      <c r="B97" s="485" t="s">
        <v>625</v>
      </c>
      <c r="C97" s="778">
        <v>50000</v>
      </c>
      <c r="D97" s="778"/>
      <c r="E97" s="579" t="s">
        <v>600</v>
      </c>
      <c r="F97" s="576">
        <f>H94</f>
        <v>312000</v>
      </c>
      <c r="G97" s="579" t="s">
        <v>599</v>
      </c>
      <c r="H97" s="467">
        <f>C97/F97</f>
        <v>0.16025641025641027</v>
      </c>
      <c r="I97" s="581" t="s">
        <v>626</v>
      </c>
      <c r="J97" s="581"/>
      <c r="K97" s="486"/>
      <c r="L97" s="447"/>
    </row>
    <row r="98" spans="1:12" ht="15" customHeight="1">
      <c r="A98" s="447"/>
      <c r="B98" s="485"/>
      <c r="C98" s="581"/>
      <c r="D98" s="581"/>
      <c r="E98" s="579"/>
      <c r="F98" s="581"/>
      <c r="G98" s="581"/>
      <c r="H98" s="581"/>
      <c r="I98" s="581"/>
      <c r="J98" s="581"/>
      <c r="K98" s="486"/>
      <c r="L98" s="447"/>
    </row>
    <row r="99" spans="1:12" ht="15" customHeight="1">
      <c r="A99" s="447"/>
      <c r="B99" s="487"/>
      <c r="C99" s="488" t="s">
        <v>636</v>
      </c>
      <c r="D99" s="488"/>
      <c r="E99" s="575"/>
      <c r="F99" s="488"/>
      <c r="G99" s="488"/>
      <c r="H99" s="488"/>
      <c r="I99" s="488"/>
      <c r="J99" s="488"/>
      <c r="K99" s="489"/>
      <c r="L99" s="447"/>
    </row>
    <row r="100" spans="1:12" ht="15" customHeight="1">
      <c r="A100" s="447"/>
      <c r="B100" s="485" t="s">
        <v>628</v>
      </c>
      <c r="C100" s="778">
        <v>2500000</v>
      </c>
      <c r="D100" s="778"/>
      <c r="E100" s="579" t="s">
        <v>21</v>
      </c>
      <c r="F100" s="490">
        <v>0.3</v>
      </c>
      <c r="G100" s="579" t="s">
        <v>599</v>
      </c>
      <c r="H100" s="576">
        <f>C100*F100</f>
        <v>750000</v>
      </c>
      <c r="I100" s="581" t="s">
        <v>629</v>
      </c>
      <c r="J100" s="581"/>
      <c r="K100" s="486"/>
      <c r="L100" s="447"/>
    </row>
    <row r="101" spans="1:12" ht="15" customHeight="1">
      <c r="A101" s="447"/>
      <c r="B101" s="485"/>
      <c r="C101" s="581"/>
      <c r="D101" s="581"/>
      <c r="E101" s="579"/>
      <c r="F101" s="581"/>
      <c r="G101" s="581"/>
      <c r="H101" s="581"/>
      <c r="I101" s="581"/>
      <c r="J101" s="581"/>
      <c r="K101" s="486"/>
      <c r="L101" s="447"/>
    </row>
    <row r="102" spans="1:12" ht="15" customHeight="1">
      <c r="A102" s="447"/>
      <c r="B102" s="487"/>
      <c r="C102" s="488" t="s">
        <v>630</v>
      </c>
      <c r="D102" s="488"/>
      <c r="E102" s="575"/>
      <c r="F102" s="488" t="s">
        <v>626</v>
      </c>
      <c r="G102" s="488"/>
      <c r="H102" s="488"/>
      <c r="I102" s="488"/>
      <c r="J102" s="488" t="s">
        <v>631</v>
      </c>
      <c r="K102" s="489"/>
      <c r="L102" s="447"/>
    </row>
    <row r="103" spans="1:12" ht="15" customHeight="1">
      <c r="A103" s="447"/>
      <c r="B103" s="485" t="s">
        <v>632</v>
      </c>
      <c r="C103" s="779">
        <f>H100</f>
        <v>750000</v>
      </c>
      <c r="D103" s="779"/>
      <c r="E103" s="579" t="s">
        <v>21</v>
      </c>
      <c r="F103" s="467">
        <f>H97</f>
        <v>0.16025641025641027</v>
      </c>
      <c r="G103" s="579" t="s">
        <v>600</v>
      </c>
      <c r="H103" s="579">
        <v>1000</v>
      </c>
      <c r="I103" s="579" t="s">
        <v>599</v>
      </c>
      <c r="J103" s="577">
        <f>C103*F103/H103</f>
        <v>120.19230769230771</v>
      </c>
      <c r="K103" s="486"/>
      <c r="L103" s="447"/>
    </row>
    <row r="104" spans="1:12" ht="15" customHeight="1" thickBot="1">
      <c r="A104" s="447"/>
      <c r="B104" s="491"/>
      <c r="C104" s="477"/>
      <c r="D104" s="477"/>
      <c r="E104" s="478"/>
      <c r="F104" s="479"/>
      <c r="G104" s="478"/>
      <c r="H104" s="478"/>
      <c r="I104" s="478"/>
      <c r="J104" s="480"/>
      <c r="K104" s="582"/>
      <c r="L104" s="447"/>
    </row>
    <row r="105" spans="1:12" ht="40.5" customHeight="1">
      <c r="A105" s="447"/>
      <c r="B105" s="780" t="s">
        <v>591</v>
      </c>
      <c r="C105" s="781"/>
      <c r="D105" s="781"/>
      <c r="E105" s="781"/>
      <c r="F105" s="781"/>
      <c r="G105" s="781"/>
      <c r="H105" s="781"/>
      <c r="I105" s="781"/>
      <c r="J105" s="781"/>
      <c r="K105" s="781"/>
      <c r="L105" s="447"/>
    </row>
    <row r="106" spans="1:12" ht="15" customHeight="1">
      <c r="A106" s="447"/>
      <c r="B106" s="782" t="s">
        <v>637</v>
      </c>
      <c r="C106" s="783"/>
      <c r="D106" s="783"/>
      <c r="E106" s="783"/>
      <c r="F106" s="783"/>
      <c r="G106" s="783"/>
      <c r="H106" s="783"/>
      <c r="I106" s="783"/>
      <c r="J106" s="783"/>
      <c r="K106" s="783"/>
      <c r="L106" s="447"/>
    </row>
    <row r="107" spans="1:12" ht="15" customHeight="1">
      <c r="A107" s="447"/>
      <c r="B107" s="581"/>
      <c r="C107" s="492"/>
      <c r="D107" s="492"/>
      <c r="E107" s="579"/>
      <c r="F107" s="467"/>
      <c r="G107" s="579"/>
      <c r="H107" s="579"/>
      <c r="I107" s="579"/>
      <c r="J107" s="577"/>
      <c r="K107" s="581"/>
      <c r="L107" s="447"/>
    </row>
    <row r="108" spans="1:12" ht="15" customHeight="1">
      <c r="A108" s="447"/>
      <c r="B108" s="782" t="s">
        <v>638</v>
      </c>
      <c r="C108" s="784"/>
      <c r="D108" s="784"/>
      <c r="E108" s="784"/>
      <c r="F108" s="784"/>
      <c r="G108" s="784"/>
      <c r="H108" s="784"/>
      <c r="I108" s="784"/>
      <c r="J108" s="784"/>
      <c r="K108" s="784"/>
      <c r="L108" s="447"/>
    </row>
    <row r="109" spans="1:12" ht="15" customHeight="1">
      <c r="A109" s="447"/>
      <c r="B109" s="581"/>
      <c r="C109" s="492"/>
      <c r="D109" s="492"/>
      <c r="E109" s="579"/>
      <c r="F109" s="467"/>
      <c r="G109" s="579"/>
      <c r="H109" s="579"/>
      <c r="I109" s="579"/>
      <c r="J109" s="577"/>
      <c r="K109" s="581"/>
      <c r="L109" s="447"/>
    </row>
    <row r="110" spans="1:12" ht="59.25" customHeight="1">
      <c r="A110" s="447"/>
      <c r="B110" s="785" t="s">
        <v>639</v>
      </c>
      <c r="C110" s="786"/>
      <c r="D110" s="786"/>
      <c r="E110" s="786"/>
      <c r="F110" s="786"/>
      <c r="G110" s="786"/>
      <c r="H110" s="786"/>
      <c r="I110" s="786"/>
      <c r="J110" s="786"/>
      <c r="K110" s="786"/>
      <c r="L110" s="447"/>
    </row>
    <row r="111" spans="1:12" ht="15" thickBot="1">
      <c r="A111" s="447"/>
      <c r="B111" s="583"/>
      <c r="C111" s="583"/>
      <c r="D111" s="583"/>
      <c r="E111" s="583"/>
      <c r="F111" s="583"/>
      <c r="G111" s="583"/>
      <c r="H111" s="583"/>
      <c r="I111" s="583"/>
      <c r="J111" s="583"/>
      <c r="K111" s="583"/>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8">
        <v>312000000</v>
      </c>
      <c r="D114" s="778"/>
      <c r="E114" s="579" t="s">
        <v>600</v>
      </c>
      <c r="F114" s="579">
        <v>1000</v>
      </c>
      <c r="G114" s="579" t="s">
        <v>599</v>
      </c>
      <c r="H114" s="576">
        <f>C114/F114</f>
        <v>312000</v>
      </c>
      <c r="I114" s="457" t="s">
        <v>623</v>
      </c>
      <c r="J114" s="457"/>
      <c r="K114" s="459"/>
      <c r="L114" s="447"/>
    </row>
    <row r="115" spans="1:12" ht="14.25">
      <c r="A115" s="447"/>
      <c r="B115" s="465"/>
      <c r="C115" s="457"/>
      <c r="D115" s="457"/>
      <c r="E115" s="579"/>
      <c r="F115" s="457"/>
      <c r="G115" s="457"/>
      <c r="H115" s="457"/>
      <c r="I115" s="457"/>
      <c r="J115" s="457"/>
      <c r="K115" s="459"/>
      <c r="L115" s="447"/>
    </row>
    <row r="116" spans="1:12" ht="14.25">
      <c r="A116" s="447"/>
      <c r="B116" s="465"/>
      <c r="C116" s="457" t="s">
        <v>624</v>
      </c>
      <c r="D116" s="457"/>
      <c r="E116" s="579"/>
      <c r="F116" s="457" t="s">
        <v>623</v>
      </c>
      <c r="G116" s="457"/>
      <c r="H116" s="457"/>
      <c r="I116" s="457"/>
      <c r="J116" s="457"/>
      <c r="K116" s="459"/>
      <c r="L116" s="447"/>
    </row>
    <row r="117" spans="1:12" ht="14.25">
      <c r="A117" s="447"/>
      <c r="B117" s="465" t="s">
        <v>625</v>
      </c>
      <c r="C117" s="778">
        <v>50000</v>
      </c>
      <c r="D117" s="778"/>
      <c r="E117" s="579" t="s">
        <v>600</v>
      </c>
      <c r="F117" s="576">
        <f>H114</f>
        <v>312000</v>
      </c>
      <c r="G117" s="579" t="s">
        <v>599</v>
      </c>
      <c r="H117" s="467">
        <f>C117/F117</f>
        <v>0.16025641025641027</v>
      </c>
      <c r="I117" s="457" t="s">
        <v>626</v>
      </c>
      <c r="J117" s="457"/>
      <c r="K117" s="459"/>
      <c r="L117" s="447"/>
    </row>
    <row r="118" spans="1:12" ht="14.25">
      <c r="A118" s="447"/>
      <c r="B118" s="465"/>
      <c r="C118" s="457"/>
      <c r="D118" s="457"/>
      <c r="E118" s="579"/>
      <c r="F118" s="457"/>
      <c r="G118" s="457"/>
      <c r="H118" s="457"/>
      <c r="I118" s="457"/>
      <c r="J118" s="457"/>
      <c r="K118" s="459"/>
      <c r="L118" s="447"/>
    </row>
    <row r="119" spans="1:12" ht="14.25">
      <c r="A119" s="447"/>
      <c r="B119" s="474"/>
      <c r="C119" s="475" t="s">
        <v>636</v>
      </c>
      <c r="D119" s="475"/>
      <c r="E119" s="575"/>
      <c r="F119" s="475"/>
      <c r="G119" s="475"/>
      <c r="H119" s="475"/>
      <c r="I119" s="475"/>
      <c r="J119" s="475"/>
      <c r="K119" s="476"/>
      <c r="L119" s="447"/>
    </row>
    <row r="120" spans="1:12" ht="14.25">
      <c r="A120" s="447"/>
      <c r="B120" s="465" t="s">
        <v>628</v>
      </c>
      <c r="C120" s="778">
        <v>2500000</v>
      </c>
      <c r="D120" s="778"/>
      <c r="E120" s="579" t="s">
        <v>21</v>
      </c>
      <c r="F120" s="490">
        <v>0.25</v>
      </c>
      <c r="G120" s="579" t="s">
        <v>599</v>
      </c>
      <c r="H120" s="576">
        <f>C120*F120</f>
        <v>625000</v>
      </c>
      <c r="I120" s="457" t="s">
        <v>629</v>
      </c>
      <c r="J120" s="457"/>
      <c r="K120" s="459"/>
      <c r="L120" s="447"/>
    </row>
    <row r="121" spans="1:12" ht="14.25">
      <c r="A121" s="447"/>
      <c r="B121" s="465"/>
      <c r="C121" s="457"/>
      <c r="D121" s="457"/>
      <c r="E121" s="579"/>
      <c r="F121" s="457"/>
      <c r="G121" s="457"/>
      <c r="H121" s="457"/>
      <c r="I121" s="457"/>
      <c r="J121" s="457"/>
      <c r="K121" s="459"/>
      <c r="L121" s="447"/>
    </row>
    <row r="122" spans="1:12" ht="14.25">
      <c r="A122" s="447"/>
      <c r="B122" s="474"/>
      <c r="C122" s="475" t="s">
        <v>630</v>
      </c>
      <c r="D122" s="475"/>
      <c r="E122" s="575"/>
      <c r="F122" s="475" t="s">
        <v>626</v>
      </c>
      <c r="G122" s="475"/>
      <c r="H122" s="475"/>
      <c r="I122" s="475"/>
      <c r="J122" s="475" t="s">
        <v>631</v>
      </c>
      <c r="K122" s="476"/>
      <c r="L122" s="447"/>
    </row>
    <row r="123" spans="1:12" ht="14.25">
      <c r="A123" s="447"/>
      <c r="B123" s="465" t="s">
        <v>632</v>
      </c>
      <c r="C123" s="779">
        <f>H120</f>
        <v>625000</v>
      </c>
      <c r="D123" s="779"/>
      <c r="E123" s="579" t="s">
        <v>21</v>
      </c>
      <c r="F123" s="467">
        <f>H117</f>
        <v>0.16025641025641027</v>
      </c>
      <c r="G123" s="579" t="s">
        <v>600</v>
      </c>
      <c r="H123" s="579">
        <v>1000</v>
      </c>
      <c r="I123" s="579" t="s">
        <v>599</v>
      </c>
      <c r="J123" s="577">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80" t="s">
        <v>591</v>
      </c>
      <c r="C125" s="780"/>
      <c r="D125" s="780"/>
      <c r="E125" s="780"/>
      <c r="F125" s="780"/>
      <c r="G125" s="780"/>
      <c r="H125" s="780"/>
      <c r="I125" s="780"/>
      <c r="J125" s="780"/>
      <c r="K125" s="780"/>
      <c r="L125" s="493"/>
    </row>
    <row r="126" spans="1:12" ht="14.25">
      <c r="A126" s="447"/>
      <c r="B126" s="775" t="s">
        <v>640</v>
      </c>
      <c r="C126" s="775"/>
      <c r="D126" s="775"/>
      <c r="E126" s="775"/>
      <c r="F126" s="775"/>
      <c r="G126" s="775"/>
      <c r="H126" s="775"/>
      <c r="I126" s="775"/>
      <c r="J126" s="775"/>
      <c r="K126" s="775"/>
      <c r="L126" s="493"/>
    </row>
    <row r="127" spans="1:12" ht="14.25">
      <c r="A127" s="447"/>
      <c r="B127" s="583"/>
      <c r="C127" s="583"/>
      <c r="D127" s="583"/>
      <c r="E127" s="583"/>
      <c r="F127" s="583"/>
      <c r="G127" s="583"/>
      <c r="H127" s="583"/>
      <c r="I127" s="583"/>
      <c r="J127" s="583"/>
      <c r="K127" s="583"/>
      <c r="L127" s="493"/>
    </row>
    <row r="128" spans="1:12" ht="14.25">
      <c r="A128" s="447"/>
      <c r="B128" s="775" t="s">
        <v>641</v>
      </c>
      <c r="C128" s="775"/>
      <c r="D128" s="775"/>
      <c r="E128" s="775"/>
      <c r="F128" s="775"/>
      <c r="G128" s="775"/>
      <c r="H128" s="775"/>
      <c r="I128" s="775"/>
      <c r="J128" s="775"/>
      <c r="K128" s="775"/>
      <c r="L128" s="493"/>
    </row>
    <row r="129" spans="1:12" ht="14.25">
      <c r="A129" s="447"/>
      <c r="B129" s="578"/>
      <c r="C129" s="578"/>
      <c r="D129" s="578"/>
      <c r="E129" s="578"/>
      <c r="F129" s="578"/>
      <c r="G129" s="578"/>
      <c r="H129" s="578"/>
      <c r="I129" s="578"/>
      <c r="J129" s="578"/>
      <c r="K129" s="578"/>
      <c r="L129" s="493"/>
    </row>
    <row r="130" spans="1:12" ht="74.25" customHeight="1">
      <c r="A130" s="447"/>
      <c r="B130" s="776" t="s">
        <v>642</v>
      </c>
      <c r="C130" s="776"/>
      <c r="D130" s="776"/>
      <c r="E130" s="776"/>
      <c r="F130" s="776"/>
      <c r="G130" s="776"/>
      <c r="H130" s="776"/>
      <c r="I130" s="776"/>
      <c r="J130" s="776"/>
      <c r="K130" s="776"/>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77" t="s">
        <v>643</v>
      </c>
      <c r="D133" s="777"/>
      <c r="E133" s="457"/>
      <c r="F133" s="579" t="s">
        <v>644</v>
      </c>
      <c r="G133" s="457"/>
      <c r="H133" s="777" t="s">
        <v>629</v>
      </c>
      <c r="I133" s="777"/>
      <c r="J133" s="457"/>
      <c r="K133" s="459"/>
      <c r="L133" s="447"/>
    </row>
    <row r="134" spans="1:12" ht="14.25">
      <c r="A134" s="447"/>
      <c r="B134" s="465" t="s">
        <v>622</v>
      </c>
      <c r="C134" s="778">
        <v>100000</v>
      </c>
      <c r="D134" s="778"/>
      <c r="E134" s="579" t="s">
        <v>21</v>
      </c>
      <c r="F134" s="579">
        <v>0.115</v>
      </c>
      <c r="G134" s="579" t="s">
        <v>599</v>
      </c>
      <c r="H134" s="767">
        <f>C134*F134</f>
        <v>11500</v>
      </c>
      <c r="I134" s="767"/>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66" t="s">
        <v>629</v>
      </c>
      <c r="D136" s="766"/>
      <c r="E136" s="475"/>
      <c r="F136" s="575" t="s">
        <v>645</v>
      </c>
      <c r="G136" s="575"/>
      <c r="H136" s="475"/>
      <c r="I136" s="475"/>
      <c r="J136" s="475" t="s">
        <v>646</v>
      </c>
      <c r="K136" s="476"/>
      <c r="L136" s="447"/>
    </row>
    <row r="137" spans="1:12" ht="14.25">
      <c r="A137" s="447"/>
      <c r="B137" s="465" t="s">
        <v>625</v>
      </c>
      <c r="C137" s="767">
        <f>H134</f>
        <v>11500</v>
      </c>
      <c r="D137" s="767"/>
      <c r="E137" s="579" t="s">
        <v>21</v>
      </c>
      <c r="F137" s="494">
        <v>52.869</v>
      </c>
      <c r="G137" s="579" t="s">
        <v>600</v>
      </c>
      <c r="H137" s="579">
        <v>1000</v>
      </c>
      <c r="I137" s="579"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76"/>
      <c r="D141" s="576"/>
      <c r="E141" s="579"/>
      <c r="F141" s="511"/>
      <c r="G141" s="579"/>
      <c r="H141" s="579"/>
      <c r="I141" s="579"/>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76"/>
      <c r="D143" s="576"/>
      <c r="E143" s="579"/>
      <c r="F143" s="511"/>
      <c r="G143" s="579"/>
      <c r="H143" s="579"/>
      <c r="I143" s="579"/>
      <c r="J143" s="495"/>
      <c r="K143" s="459"/>
      <c r="L143" s="447"/>
    </row>
    <row r="144" spans="1:12" ht="76.5" customHeight="1">
      <c r="A144" s="447"/>
      <c r="B144" s="768" t="s">
        <v>649</v>
      </c>
      <c r="C144" s="769"/>
      <c r="D144" s="769"/>
      <c r="E144" s="769"/>
      <c r="F144" s="769"/>
      <c r="G144" s="769"/>
      <c r="H144" s="769"/>
      <c r="I144" s="769"/>
      <c r="J144" s="769"/>
      <c r="K144" s="770"/>
      <c r="L144" s="447"/>
    </row>
    <row r="145" spans="1:12" ht="15" thickBot="1">
      <c r="A145" s="447"/>
      <c r="B145" s="465"/>
      <c r="C145" s="576"/>
      <c r="D145" s="576"/>
      <c r="E145" s="579"/>
      <c r="F145" s="511"/>
      <c r="G145" s="579"/>
      <c r="H145" s="579"/>
      <c r="I145" s="579"/>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67" t="s">
        <v>650</v>
      </c>
      <c r="D147" s="767"/>
      <c r="E147" s="579"/>
      <c r="F147" s="511" t="s">
        <v>651</v>
      </c>
      <c r="G147" s="579"/>
      <c r="H147" s="579"/>
      <c r="I147" s="579"/>
      <c r="J147" s="771" t="s">
        <v>652</v>
      </c>
      <c r="K147" s="772"/>
      <c r="L147" s="447"/>
    </row>
    <row r="148" spans="1:12" ht="14.25">
      <c r="A148" s="447"/>
      <c r="B148" s="465"/>
      <c r="C148" s="773">
        <v>52.869</v>
      </c>
      <c r="D148" s="773"/>
      <c r="E148" s="579" t="s">
        <v>21</v>
      </c>
      <c r="F148" s="580">
        <v>312000000</v>
      </c>
      <c r="G148" s="516" t="s">
        <v>600</v>
      </c>
      <c r="H148" s="579">
        <v>1000</v>
      </c>
      <c r="I148" s="579" t="s">
        <v>599</v>
      </c>
      <c r="J148" s="771">
        <f>C148*(F148/1000)</f>
        <v>16495128</v>
      </c>
      <c r="K148" s="774"/>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3"/>
  <sheetViews>
    <sheetView zoomScalePageLayoutView="0" workbookViewId="0" topLeftCell="A1">
      <selection activeCell="D6" sqref="D6"/>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805</v>
      </c>
    </row>
    <row r="2" ht="15.75">
      <c r="A2" s="585" t="s">
        <v>804</v>
      </c>
    </row>
    <row r="4" ht="15.75">
      <c r="A4" s="409" t="s">
        <v>801</v>
      </c>
    </row>
    <row r="5" ht="15.75">
      <c r="A5" s="1" t="s">
        <v>803</v>
      </c>
    </row>
    <row r="7" ht="15.75">
      <c r="A7" s="409" t="s">
        <v>729</v>
      </c>
    </row>
    <row r="8" ht="15.75">
      <c r="A8" s="585" t="s">
        <v>730</v>
      </c>
    </row>
    <row r="9" ht="15.75">
      <c r="A9" s="585" t="s">
        <v>731</v>
      </c>
    </row>
    <row r="10" ht="15.75">
      <c r="A10" s="147" t="s">
        <v>732</v>
      </c>
    </row>
    <row r="11" ht="15.75">
      <c r="A11" s="147" t="s">
        <v>733</v>
      </c>
    </row>
    <row r="12" ht="15.75">
      <c r="A12" s="147" t="s">
        <v>734</v>
      </c>
    </row>
    <row r="13" ht="15.75">
      <c r="A13" s="147" t="s">
        <v>735</v>
      </c>
    </row>
    <row r="14" ht="15.75">
      <c r="A14" s="147" t="s">
        <v>736</v>
      </c>
    </row>
    <row r="15" ht="15.75">
      <c r="A15" s="147" t="s">
        <v>737</v>
      </c>
    </row>
    <row r="16" ht="15.75">
      <c r="A16" s="147" t="s">
        <v>738</v>
      </c>
    </row>
    <row r="17" ht="15.75">
      <c r="A17" s="147" t="s">
        <v>739</v>
      </c>
    </row>
    <row r="18" ht="47.25">
      <c r="A18" s="378" t="s">
        <v>740</v>
      </c>
    </row>
    <row r="19" ht="31.5">
      <c r="A19" s="378" t="s">
        <v>741</v>
      </c>
    </row>
    <row r="20" ht="15.75">
      <c r="A20" s="147" t="s">
        <v>742</v>
      </c>
    </row>
    <row r="21" ht="15.75">
      <c r="A21" s="147" t="s">
        <v>743</v>
      </c>
    </row>
    <row r="22" ht="15.75">
      <c r="A22" s="147" t="s">
        <v>744</v>
      </c>
    </row>
    <row r="23" ht="15.75">
      <c r="A23" s="147" t="s">
        <v>745</v>
      </c>
    </row>
    <row r="24" ht="15.75">
      <c r="A24" s="147" t="s">
        <v>746</v>
      </c>
    </row>
    <row r="25" ht="15.75">
      <c r="A25" s="147" t="s">
        <v>747</v>
      </c>
    </row>
    <row r="26" ht="15.75">
      <c r="A26" s="147" t="s">
        <v>748</v>
      </c>
    </row>
    <row r="27" ht="15.75">
      <c r="A27" s="147" t="s">
        <v>749</v>
      </c>
    </row>
    <row r="28" ht="15.75">
      <c r="A28" s="147" t="s">
        <v>750</v>
      </c>
    </row>
    <row r="29" ht="15.75">
      <c r="A29" s="147" t="s">
        <v>751</v>
      </c>
    </row>
    <row r="34" ht="15.75">
      <c r="A34" s="409" t="s">
        <v>721</v>
      </c>
    </row>
    <row r="35" ht="15.75">
      <c r="A35" s="1" t="s">
        <v>722</v>
      </c>
    </row>
    <row r="37" ht="15.75">
      <c r="A37" s="409" t="s">
        <v>718</v>
      </c>
    </row>
    <row r="38" ht="15.75">
      <c r="A38" s="565" t="s">
        <v>719</v>
      </c>
    </row>
    <row r="39" ht="15.75">
      <c r="A39" s="565" t="s">
        <v>720</v>
      </c>
    </row>
    <row r="41" ht="15.75">
      <c r="A41" s="409" t="s">
        <v>674</v>
      </c>
    </row>
    <row r="42" ht="15.75">
      <c r="A42" s="565" t="s">
        <v>686</v>
      </c>
    </row>
    <row r="43" ht="15.75">
      <c r="A43" s="565" t="s">
        <v>687</v>
      </c>
    </row>
    <row r="44" ht="31.5">
      <c r="A44" s="566" t="s">
        <v>688</v>
      </c>
    </row>
    <row r="45" ht="15.75">
      <c r="A45" s="565" t="s">
        <v>689</v>
      </c>
    </row>
    <row r="46" ht="15.75">
      <c r="A46" s="565" t="s">
        <v>690</v>
      </c>
    </row>
    <row r="47" ht="15.75">
      <c r="A47" s="565" t="s">
        <v>691</v>
      </c>
    </row>
    <row r="48" ht="15.75">
      <c r="A48" s="565" t="s">
        <v>692</v>
      </c>
    </row>
    <row r="49" ht="15.75">
      <c r="A49" s="565" t="s">
        <v>693</v>
      </c>
    </row>
    <row r="50" ht="15.75">
      <c r="A50" s="565" t="s">
        <v>694</v>
      </c>
    </row>
    <row r="51" ht="15.75">
      <c r="A51" s="565" t="s">
        <v>695</v>
      </c>
    </row>
    <row r="52" ht="15.75">
      <c r="A52" s="565" t="s">
        <v>696</v>
      </c>
    </row>
    <row r="53" ht="15.75">
      <c r="A53" s="565" t="s">
        <v>697</v>
      </c>
    </row>
    <row r="54" ht="15.75">
      <c r="A54" s="565" t="s">
        <v>698</v>
      </c>
    </row>
    <row r="55" ht="15.75">
      <c r="A55" s="565" t="s">
        <v>699</v>
      </c>
    </row>
    <row r="56" ht="15.75">
      <c r="A56" s="565" t="s">
        <v>700</v>
      </c>
    </row>
    <row r="57" ht="15.75">
      <c r="A57" s="565" t="s">
        <v>701</v>
      </c>
    </row>
    <row r="58" ht="15.75">
      <c r="A58" s="565" t="s">
        <v>702</v>
      </c>
    </row>
    <row r="59" ht="15.75">
      <c r="A59" s="565" t="s">
        <v>703</v>
      </c>
    </row>
    <row r="60" ht="15.75">
      <c r="A60" s="565" t="s">
        <v>704</v>
      </c>
    </row>
    <row r="61" ht="15.75">
      <c r="A61" s="565" t="s">
        <v>705</v>
      </c>
    </row>
    <row r="62" ht="15.75">
      <c r="A62" s="565" t="s">
        <v>706</v>
      </c>
    </row>
    <row r="63" ht="15.75">
      <c r="A63" s="565" t="s">
        <v>707</v>
      </c>
    </row>
    <row r="64" ht="15.75">
      <c r="A64" s="565" t="s">
        <v>708</v>
      </c>
    </row>
    <row r="65" ht="15.75">
      <c r="A65" s="565"/>
    </row>
    <row r="66" ht="15.75">
      <c r="A66" s="409" t="s">
        <v>575</v>
      </c>
    </row>
    <row r="67" ht="15.75">
      <c r="A67" s="147" t="s">
        <v>578</v>
      </c>
    </row>
    <row r="68" ht="15.75">
      <c r="A68" s="147" t="s">
        <v>576</v>
      </c>
    </row>
    <row r="69" ht="15.75">
      <c r="A69" s="147" t="s">
        <v>577</v>
      </c>
    </row>
    <row r="71" ht="15.75">
      <c r="A71" s="418" t="s">
        <v>567</v>
      </c>
    </row>
    <row r="72" ht="15.75">
      <c r="A72" s="147" t="s">
        <v>574</v>
      </c>
    </row>
    <row r="74" ht="15.75">
      <c r="A74" s="409" t="s">
        <v>560</v>
      </c>
    </row>
    <row r="75" ht="15.75">
      <c r="A75" s="410" t="s">
        <v>561</v>
      </c>
    </row>
    <row r="76" ht="15.75">
      <c r="A76" s="410" t="s">
        <v>562</v>
      </c>
    </row>
    <row r="77" ht="15.75">
      <c r="A77" s="410" t="s">
        <v>563</v>
      </c>
    </row>
    <row r="78" ht="15.75">
      <c r="A78" s="147" t="s">
        <v>564</v>
      </c>
    </row>
    <row r="80" ht="15.75">
      <c r="A80" s="376" t="s">
        <v>311</v>
      </c>
    </row>
    <row r="81" ht="15.75">
      <c r="A81" s="384" t="s">
        <v>325</v>
      </c>
    </row>
    <row r="82" ht="15.75">
      <c r="A82" s="384" t="s">
        <v>326</v>
      </c>
    </row>
    <row r="83" ht="15.75">
      <c r="A83" s="384" t="s">
        <v>327</v>
      </c>
    </row>
    <row r="84" ht="15.75">
      <c r="A84" s="384" t="s">
        <v>328</v>
      </c>
    </row>
    <row r="85" ht="15.75">
      <c r="A85" s="384" t="s">
        <v>329</v>
      </c>
    </row>
    <row r="86" ht="15.75">
      <c r="A86" s="384" t="s">
        <v>330</v>
      </c>
    </row>
    <row r="87" ht="15.75">
      <c r="A87" s="385" t="s">
        <v>332</v>
      </c>
    </row>
    <row r="89" ht="15.75">
      <c r="A89" s="376" t="s">
        <v>292</v>
      </c>
    </row>
    <row r="90" ht="15.75">
      <c r="A90" s="1" t="s">
        <v>293</v>
      </c>
    </row>
    <row r="91" ht="15.75">
      <c r="A91" s="1" t="s">
        <v>296</v>
      </c>
    </row>
    <row r="92" ht="15.75">
      <c r="A92" s="1" t="s">
        <v>298</v>
      </c>
    </row>
    <row r="93" ht="15.75">
      <c r="A93" s="1" t="s">
        <v>297</v>
      </c>
    </row>
    <row r="95" ht="15.75">
      <c r="A95" s="376" t="s">
        <v>290</v>
      </c>
    </row>
    <row r="96" ht="15.75">
      <c r="A96" s="1" t="s">
        <v>291</v>
      </c>
    </row>
    <row r="98" ht="15.75">
      <c r="A98" s="376" t="s">
        <v>286</v>
      </c>
    </row>
    <row r="99" ht="15.75">
      <c r="A99" s="1" t="s">
        <v>287</v>
      </c>
    </row>
    <row r="100" ht="15.75">
      <c r="A100" s="1" t="s">
        <v>288</v>
      </c>
    </row>
    <row r="101" ht="15.75">
      <c r="A101" s="1" t="s">
        <v>289</v>
      </c>
    </row>
    <row r="103" ht="15.75">
      <c r="A103" s="377" t="s">
        <v>282</v>
      </c>
    </row>
    <row r="104" ht="15.75">
      <c r="A104" s="1" t="s">
        <v>283</v>
      </c>
    </row>
    <row r="105" ht="15.75">
      <c r="A105" s="1" t="s">
        <v>284</v>
      </c>
    </row>
    <row r="107" ht="15.75">
      <c r="A107" s="377" t="s">
        <v>261</v>
      </c>
    </row>
    <row r="108" ht="15.75">
      <c r="A108" s="1" t="s">
        <v>245</v>
      </c>
    </row>
    <row r="109" ht="33" customHeight="1">
      <c r="A109" s="4" t="s">
        <v>246</v>
      </c>
    </row>
    <row r="110" ht="15.75">
      <c r="A110" s="1" t="s">
        <v>247</v>
      </c>
    </row>
    <row r="111" ht="15.75">
      <c r="A111" s="1" t="s">
        <v>248</v>
      </c>
    </row>
    <row r="112" ht="15.75">
      <c r="A112" s="1" t="s">
        <v>249</v>
      </c>
    </row>
    <row r="113" ht="15.75">
      <c r="A113" s="1" t="s">
        <v>250</v>
      </c>
    </row>
    <row r="114" ht="36" customHeight="1">
      <c r="A114" s="4" t="s">
        <v>251</v>
      </c>
    </row>
    <row r="115" ht="35.25" customHeight="1">
      <c r="A115" s="4" t="s">
        <v>252</v>
      </c>
    </row>
    <row r="116" ht="33" customHeight="1">
      <c r="A116" s="4" t="s">
        <v>253</v>
      </c>
    </row>
    <row r="117" ht="24" customHeight="1">
      <c r="A117" s="4" t="s">
        <v>254</v>
      </c>
    </row>
    <row r="118" ht="35.25" customHeight="1">
      <c r="A118" s="4" t="s">
        <v>255</v>
      </c>
    </row>
    <row r="119" ht="15.75">
      <c r="A119" s="1" t="s">
        <v>256</v>
      </c>
    </row>
    <row r="120" ht="15.75">
      <c r="A120" s="1" t="s">
        <v>257</v>
      </c>
    </row>
    <row r="121" ht="15.75">
      <c r="A121" s="1" t="s">
        <v>258</v>
      </c>
    </row>
    <row r="122" ht="15.75">
      <c r="A122" s="1" t="s">
        <v>259</v>
      </c>
    </row>
    <row r="123" ht="15.75">
      <c r="A123" s="1" t="s">
        <v>260</v>
      </c>
    </row>
    <row r="126" ht="15.75">
      <c r="A126" s="1" t="s">
        <v>184</v>
      </c>
    </row>
    <row r="127" ht="15.75">
      <c r="A127" s="1" t="s">
        <v>185</v>
      </c>
    </row>
    <row r="128" ht="15.75">
      <c r="A128" s="1" t="s">
        <v>186</v>
      </c>
    </row>
    <row r="129" ht="15.75">
      <c r="A129" s="1" t="s">
        <v>187</v>
      </c>
    </row>
    <row r="130" ht="15.75">
      <c r="A130" s="1" t="s">
        <v>188</v>
      </c>
    </row>
    <row r="131" ht="15.75">
      <c r="A131" s="1" t="s">
        <v>189</v>
      </c>
    </row>
    <row r="132" ht="15.75">
      <c r="A132" s="1" t="s">
        <v>190</v>
      </c>
    </row>
    <row r="133" ht="15.75">
      <c r="A133" s="1" t="s">
        <v>191</v>
      </c>
    </row>
    <row r="134" ht="15.75">
      <c r="A134" s="1" t="s">
        <v>192</v>
      </c>
    </row>
    <row r="135" ht="15.75">
      <c r="A135" s="1" t="s">
        <v>193</v>
      </c>
    </row>
    <row r="136" ht="15.75">
      <c r="A136" s="1" t="s">
        <v>194</v>
      </c>
    </row>
    <row r="137" ht="15.75">
      <c r="A137" s="1" t="s">
        <v>195</v>
      </c>
    </row>
    <row r="138" ht="15.75">
      <c r="A138" s="1" t="s">
        <v>196</v>
      </c>
    </row>
    <row r="139" ht="15.75">
      <c r="A139" s="1" t="s">
        <v>197</v>
      </c>
    </row>
    <row r="140" ht="15.75">
      <c r="A140" s="1" t="s">
        <v>198</v>
      </c>
    </row>
    <row r="141" ht="15.75">
      <c r="A141" s="1" t="s">
        <v>207</v>
      </c>
    </row>
    <row r="142" ht="15.75">
      <c r="A142" s="1" t="s">
        <v>214</v>
      </c>
    </row>
    <row r="143" ht="15.75">
      <c r="A143" s="1" t="s">
        <v>215</v>
      </c>
    </row>
    <row r="144" ht="15.75">
      <c r="A144" s="1" t="s">
        <v>229</v>
      </c>
    </row>
    <row r="145" ht="15.75">
      <c r="A145" s="1" t="s">
        <v>230</v>
      </c>
    </row>
    <row r="146" ht="15.75">
      <c r="A146" s="1" t="s">
        <v>231</v>
      </c>
    </row>
    <row r="147" ht="15.75">
      <c r="A147" s="1" t="s">
        <v>224</v>
      </c>
    </row>
    <row r="148" ht="15.75">
      <c r="A148" s="1" t="s">
        <v>225</v>
      </c>
    </row>
    <row r="149" ht="15.75">
      <c r="A149" s="1" t="s">
        <v>232</v>
      </c>
    </row>
    <row r="150" ht="15.75">
      <c r="A150" s="1" t="s">
        <v>233</v>
      </c>
    </row>
    <row r="151" ht="15.75">
      <c r="A151" s="1" t="s">
        <v>242</v>
      </c>
    </row>
    <row r="152" ht="15.75">
      <c r="A152" s="1" t="s">
        <v>243</v>
      </c>
    </row>
    <row r="153" ht="15.75">
      <c r="A153"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4">
      <selection activeCell="D28" sqref="D2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Fairview (Menlo) Cemetery</v>
      </c>
      <c r="B1" s="37"/>
      <c r="C1" s="37"/>
      <c r="D1" s="37"/>
      <c r="E1" s="15">
        <f>inputPrYr!D11</f>
        <v>2014</v>
      </c>
    </row>
    <row r="2" spans="1:5" ht="15">
      <c r="A2" s="37"/>
      <c r="B2" s="37"/>
      <c r="C2" s="37"/>
      <c r="D2" s="37"/>
      <c r="E2" s="37"/>
    </row>
    <row r="3" spans="1:5" ht="15">
      <c r="A3" s="688" t="s">
        <v>156</v>
      </c>
      <c r="B3" s="689"/>
      <c r="C3" s="689"/>
      <c r="D3" s="689"/>
      <c r="E3" s="689"/>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Thomas County</v>
      </c>
      <c r="B7" s="21"/>
      <c r="C7" s="21"/>
      <c r="D7" s="12">
        <v>2329042</v>
      </c>
      <c r="E7" s="25"/>
    </row>
    <row r="8" spans="1:5" ht="15.75">
      <c r="A8" s="28" t="str">
        <f>inputPrYr!$D$6</f>
        <v>Sheridan</v>
      </c>
      <c r="B8" s="21"/>
      <c r="C8" s="21"/>
      <c r="D8" s="12">
        <v>1465488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3794530</v>
      </c>
    </row>
    <row r="13" spans="1:5" ht="16.5" thickTop="1">
      <c r="A13" s="63" t="str">
        <f>CONCATENATE("New Improvements for ",inputPrYr!D11-1,":")</f>
        <v>New Improvements for 2013:</v>
      </c>
      <c r="B13" s="21"/>
      <c r="C13" s="21"/>
      <c r="D13" s="21"/>
      <c r="E13" s="60"/>
    </row>
    <row r="14" spans="1:5" ht="15.75">
      <c r="A14" s="28" t="str">
        <f>inputPrYr!$D$4</f>
        <v>Thomas County</v>
      </c>
      <c r="B14" s="21"/>
      <c r="C14" s="21"/>
      <c r="D14" s="51">
        <v>0</v>
      </c>
      <c r="E14" s="15"/>
    </row>
    <row r="15" spans="1:5" ht="15.75">
      <c r="A15" s="28" t="str">
        <f>inputPrYr!$D$6</f>
        <v>Sheridan</v>
      </c>
      <c r="B15" s="21"/>
      <c r="C15" s="21"/>
      <c r="D15" s="14">
        <v>7657</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7657</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Thomas County</v>
      </c>
      <c r="B21" s="21"/>
      <c r="C21" s="21"/>
      <c r="D21" s="51">
        <v>129252</v>
      </c>
      <c r="E21" s="15"/>
    </row>
    <row r="22" spans="1:5" ht="15.75">
      <c r="A22" s="28" t="str">
        <f>inputPrYr!$D$6</f>
        <v>Sheridan</v>
      </c>
      <c r="B22" s="21"/>
      <c r="C22" s="21"/>
      <c r="D22" s="51">
        <v>78309</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207561</v>
      </c>
    </row>
    <row r="27" spans="1:5" ht="16.5" thickTop="1">
      <c r="A27" s="63" t="str">
        <f>CONCATENATE("Property that has changed in use for ",inputPrYr!D11-1,":")</f>
        <v>Property that has changed in use for 2013:</v>
      </c>
      <c r="B27" s="21"/>
      <c r="C27" s="21"/>
      <c r="D27" s="21"/>
      <c r="E27" s="60"/>
    </row>
    <row r="28" spans="1:5" ht="15.75">
      <c r="A28" s="28" t="str">
        <f>inputPrYr!$D$4</f>
        <v>Thomas County</v>
      </c>
      <c r="B28" s="21"/>
      <c r="C28" s="21"/>
      <c r="D28" s="51">
        <v>498881</v>
      </c>
      <c r="E28" s="15"/>
    </row>
    <row r="29" spans="1:5" ht="15.75">
      <c r="A29" s="28" t="str">
        <f>inputPrYr!$D$6</f>
        <v>Sheridan</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498881</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Thomas County</v>
      </c>
      <c r="B35" s="21"/>
      <c r="C35" s="21"/>
      <c r="D35" s="81">
        <v>113286</v>
      </c>
      <c r="E35" s="60"/>
    </row>
    <row r="36" spans="1:5" ht="15.75">
      <c r="A36" s="28" t="str">
        <f>inputPrYr!$D$6</f>
        <v>Sheridan</v>
      </c>
      <c r="B36" s="21"/>
      <c r="C36" s="21"/>
      <c r="D36" s="82">
        <v>71697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184983</v>
      </c>
    </row>
    <row r="41" spans="1:5" ht="16.5" thickTop="1">
      <c r="A41" s="27"/>
      <c r="B41" s="15"/>
      <c r="C41" s="15"/>
      <c r="D41" s="15"/>
      <c r="E41" s="54"/>
    </row>
    <row r="42" spans="1:5" ht="15.75">
      <c r="A42" s="80" t="str">
        <f>CONCATENATE("Neighborhood Revitalization - ",E1,":")</f>
        <v>Neighborhood Revitalization - 2014:</v>
      </c>
      <c r="B42" s="15"/>
      <c r="C42" s="15"/>
      <c r="D42" s="81">
        <v>0</v>
      </c>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90" t="s">
        <v>19</v>
      </c>
      <c r="B45" s="691"/>
      <c r="C45" s="37"/>
      <c r="D45" s="56" t="s">
        <v>56</v>
      </c>
      <c r="E45" s="50"/>
    </row>
    <row r="46" spans="1:5" ht="15.75">
      <c r="A46" s="57" t="s">
        <v>5</v>
      </c>
      <c r="B46" s="18"/>
      <c r="C46" s="21"/>
      <c r="D46" s="77">
        <v>1.6</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1.6</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Thomas County</v>
      </c>
      <c r="B55" s="37"/>
      <c r="C55" s="37"/>
      <c r="D55" s="81">
        <v>2048070</v>
      </c>
      <c r="E55" s="37"/>
    </row>
    <row r="56" spans="1:5" ht="15.75">
      <c r="A56" s="28" t="str">
        <f>inputPrYr!$D$6</f>
        <v>Sheridan</v>
      </c>
      <c r="B56" s="37"/>
      <c r="C56" s="37"/>
      <c r="D56" s="82">
        <v>1257475</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3305545</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146</v>
      </c>
      <c r="B63" s="15"/>
      <c r="C63" s="15"/>
      <c r="D63" s="15"/>
      <c r="E63" s="50"/>
    </row>
    <row r="64" spans="1:5" ht="15.75">
      <c r="A64" s="28" t="str">
        <f>inputPrYr!$D$4</f>
        <v>Thomas County</v>
      </c>
      <c r="B64" s="15"/>
      <c r="C64" s="15"/>
      <c r="D64" s="12">
        <v>201</v>
      </c>
      <c r="E64" s="25"/>
    </row>
    <row r="65" spans="1:5" ht="15.75">
      <c r="A65" s="28" t="str">
        <f>inputPrYr!$D$6</f>
        <v>Sheridan</v>
      </c>
      <c r="B65" s="15"/>
      <c r="C65" s="15"/>
      <c r="D65" s="12">
        <v>164</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365</v>
      </c>
    </row>
    <row r="70" spans="1:5" ht="16.5" thickTop="1">
      <c r="A70" s="64" t="s">
        <v>147</v>
      </c>
      <c r="B70" s="15"/>
      <c r="C70" s="15"/>
      <c r="D70" s="15"/>
      <c r="E70" s="50"/>
    </row>
    <row r="71" spans="1:5" ht="15.75">
      <c r="A71" s="28" t="str">
        <f>inputPrYr!$D$4</f>
        <v>Thomas County</v>
      </c>
      <c r="B71" s="15"/>
      <c r="C71" s="15"/>
      <c r="D71" s="12">
        <v>2</v>
      </c>
      <c r="E71" s="25"/>
    </row>
    <row r="72" spans="1:5" ht="15.75">
      <c r="A72" s="28" t="str">
        <f>inputPrYr!$D$6</f>
        <v>Sheridan</v>
      </c>
      <c r="B72" s="15"/>
      <c r="C72" s="15"/>
      <c r="D72" s="13">
        <v>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6</v>
      </c>
    </row>
    <row r="77" spans="1:5" ht="16.5" thickTop="1">
      <c r="A77" s="64" t="s">
        <v>143</v>
      </c>
      <c r="B77" s="15"/>
      <c r="C77" s="15"/>
      <c r="D77" s="15"/>
      <c r="E77" s="50"/>
    </row>
    <row r="78" spans="1:5" ht="15.75">
      <c r="A78" s="28" t="str">
        <f>inputPrYr!$D$4</f>
        <v>Thomas County</v>
      </c>
      <c r="B78" s="15"/>
      <c r="C78" s="15"/>
      <c r="D78" s="12">
        <v>76</v>
      </c>
      <c r="E78" s="25"/>
    </row>
    <row r="79" spans="1:5" ht="15.75">
      <c r="A79" s="28" t="str">
        <f>inputPrYr!$D$6</f>
        <v>Sheridan</v>
      </c>
      <c r="B79" s="15"/>
      <c r="C79" s="15"/>
      <c r="D79" s="13">
        <v>98</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174</v>
      </c>
    </row>
    <row r="84" spans="1:5" ht="16.5" thickTop="1">
      <c r="A84" s="64" t="s">
        <v>171</v>
      </c>
      <c r="B84" s="15"/>
      <c r="C84" s="15"/>
      <c r="D84" s="62"/>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2011 Uncollected Taxes</v>
      </c>
      <c r="B87" s="20"/>
      <c r="C87" s="19" t="s">
        <v>25</v>
      </c>
      <c r="D87" s="19" t="s">
        <v>25</v>
      </c>
      <c r="E87" s="52"/>
    </row>
    <row r="88" spans="1:5" ht="15.75">
      <c r="A88" s="84" t="str">
        <f>CONCATENATE("and ",E1-2," Ad Valorem Levied:")</f>
        <v>and 2012 Ad Valorem Levied:</v>
      </c>
      <c r="B88" s="23"/>
      <c r="C88" s="29" t="s">
        <v>218</v>
      </c>
      <c r="D88" s="29" t="s">
        <v>219</v>
      </c>
      <c r="E88" s="52"/>
    </row>
    <row r="89" spans="1:5" ht="15.75">
      <c r="A89" s="28" t="str">
        <f>inputPrYr!$D$4</f>
        <v>Thomas County</v>
      </c>
      <c r="B89" s="22"/>
      <c r="C89" s="92"/>
      <c r="D89" s="62"/>
      <c r="E89" s="52"/>
    </row>
    <row r="90" spans="1:5" ht="15.75">
      <c r="A90" s="28" t="str">
        <f>inputPrYr!$D$6</f>
        <v>Sheridan</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148</v>
      </c>
      <c r="B95" s="18"/>
      <c r="C95" s="18"/>
      <c r="D95" s="23"/>
      <c r="E95" s="648">
        <f>IF(C94=0,0,C94/D94)</f>
        <v>0</v>
      </c>
    </row>
    <row r="96" spans="1:5" ht="16.5" thickTop="1">
      <c r="A96" s="588" t="s">
        <v>754</v>
      </c>
      <c r="B96" s="30"/>
      <c r="C96" s="21"/>
      <c r="D96" s="21"/>
      <c r="E96" s="647">
        <v>0</v>
      </c>
    </row>
    <row r="97" spans="1:5" ht="15.75">
      <c r="A97" s="65" t="s">
        <v>202</v>
      </c>
      <c r="B97" s="66"/>
      <c r="C97" s="66"/>
      <c r="D97" s="66"/>
      <c r="E97" s="66"/>
    </row>
    <row r="98" spans="1:5" ht="15">
      <c r="A98" s="86"/>
      <c r="B98" s="86"/>
      <c r="C98" s="86"/>
      <c r="D98" s="86"/>
      <c r="E98" s="86"/>
    </row>
    <row r="99" spans="1:5" ht="15.75">
      <c r="A99" s="692" t="str">
        <f>CONCATENATE("From the ",E1-2," Budget Certificate Page")</f>
        <v>From the 2012 Budget Certificate Page</v>
      </c>
      <c r="B99" s="693"/>
      <c r="C99" s="86"/>
      <c r="D99" s="86"/>
      <c r="E99" s="86"/>
    </row>
    <row r="100" spans="1:5" ht="15.75">
      <c r="A100" s="87"/>
      <c r="B100" s="87" t="str">
        <f>CONCATENATE("",E1-2," Expenditure Amounts")</f>
        <v>2012 Expenditure Amounts</v>
      </c>
      <c r="C100" s="694" t="str">
        <f>CONCATENATE("Note: If the ",E1-2," budget was amended, then the")</f>
        <v>Note: If the 2012 budget was amended, then the</v>
      </c>
      <c r="D100" s="695"/>
      <c r="E100" s="695"/>
    </row>
    <row r="101" spans="1:5" ht="15.75">
      <c r="A101" s="88" t="s">
        <v>220</v>
      </c>
      <c r="B101" s="88" t="s">
        <v>221</v>
      </c>
      <c r="C101" s="85" t="s">
        <v>222</v>
      </c>
      <c r="D101" s="89"/>
      <c r="E101" s="89"/>
    </row>
    <row r="102" spans="1:5" ht="15.75">
      <c r="A102" s="90" t="str">
        <f>inputPrYr!B24</f>
        <v>General</v>
      </c>
      <c r="B102" s="62">
        <v>12877</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649" t="s">
        <v>766</v>
      </c>
    </row>
    <row r="2" spans="1:10" ht="54" customHeight="1">
      <c r="A2" s="696" t="s">
        <v>335</v>
      </c>
      <c r="B2" s="697"/>
      <c r="C2" s="697"/>
      <c r="D2" s="697"/>
      <c r="E2" s="697"/>
      <c r="F2" s="697"/>
      <c r="J2" s="649" t="s">
        <v>767</v>
      </c>
    </row>
    <row r="3" spans="1:10" ht="15" customHeight="1">
      <c r="A3" s="636" t="s">
        <v>764</v>
      </c>
      <c r="B3" s="389" t="s">
        <v>810</v>
      </c>
      <c r="C3" s="637"/>
      <c r="D3" s="637"/>
      <c r="E3" s="637"/>
      <c r="F3" s="637"/>
      <c r="J3" s="649" t="s">
        <v>768</v>
      </c>
    </row>
    <row r="4" spans="1:10" ht="15" customHeight="1">
      <c r="A4" s="636"/>
      <c r="B4" s="637"/>
      <c r="C4" s="637"/>
      <c r="D4" s="637"/>
      <c r="E4" s="637"/>
      <c r="F4" s="637"/>
      <c r="J4" s="649" t="s">
        <v>769</v>
      </c>
    </row>
    <row r="5" spans="1:10" ht="15" customHeight="1">
      <c r="A5" s="1" t="s">
        <v>765</v>
      </c>
      <c r="B5" s="389" t="s">
        <v>811</v>
      </c>
      <c r="J5" s="649" t="s">
        <v>770</v>
      </c>
    </row>
    <row r="6" spans="1:10" ht="15.75">
      <c r="A6" s="386"/>
      <c r="B6" s="386"/>
      <c r="C6" s="386"/>
      <c r="D6" s="387"/>
      <c r="E6" s="386"/>
      <c r="F6" s="386"/>
      <c r="J6" s="649" t="s">
        <v>771</v>
      </c>
    </row>
    <row r="7" spans="1:10" ht="15.75">
      <c r="A7" s="388" t="s">
        <v>336</v>
      </c>
      <c r="B7" s="389" t="s">
        <v>826</v>
      </c>
      <c r="C7" s="390"/>
      <c r="D7" s="388" t="s">
        <v>763</v>
      </c>
      <c r="E7" s="386"/>
      <c r="F7" s="386"/>
      <c r="J7" s="649" t="s">
        <v>772</v>
      </c>
    </row>
    <row r="8" spans="1:10" ht="15.75">
      <c r="A8" s="388"/>
      <c r="B8" s="391"/>
      <c r="C8" s="392"/>
      <c r="D8" s="650" t="str">
        <f>IF(B7="","",CONCATENATE("Latest date for notice to be published in your newspaper: ",I18," ",I22,", ",I23))</f>
        <v>Latest date for notice to be published in your newspaper: July 31, 2013</v>
      </c>
      <c r="E8" s="386"/>
      <c r="F8" s="386"/>
      <c r="J8" s="649" t="s">
        <v>773</v>
      </c>
    </row>
    <row r="9" spans="1:10" ht="15.75">
      <c r="A9" s="388" t="s">
        <v>337</v>
      </c>
      <c r="B9" s="389" t="s">
        <v>827</v>
      </c>
      <c r="C9" s="393"/>
      <c r="D9" s="388"/>
      <c r="E9" s="386"/>
      <c r="F9" s="386"/>
      <c r="J9" s="649" t="s">
        <v>774</v>
      </c>
    </row>
    <row r="10" spans="1:10" ht="15.75">
      <c r="A10" s="388"/>
      <c r="B10" s="388"/>
      <c r="C10" s="388"/>
      <c r="D10" s="388"/>
      <c r="E10" s="386"/>
      <c r="F10" s="386"/>
      <c r="J10" s="649" t="s">
        <v>775</v>
      </c>
    </row>
    <row r="11" spans="1:10" ht="15.75">
      <c r="A11" s="388" t="s">
        <v>338</v>
      </c>
      <c r="B11" s="394" t="s">
        <v>812</v>
      </c>
      <c r="C11" s="394"/>
      <c r="D11" s="394"/>
      <c r="E11" s="395"/>
      <c r="F11" s="386"/>
      <c r="J11" s="649" t="s">
        <v>776</v>
      </c>
    </row>
    <row r="12" spans="1:10" ht="15.75">
      <c r="A12" s="388"/>
      <c r="B12" s="388"/>
      <c r="C12" s="388"/>
      <c r="D12" s="388"/>
      <c r="E12" s="386"/>
      <c r="F12" s="386"/>
      <c r="J12" s="649" t="s">
        <v>777</v>
      </c>
    </row>
    <row r="13" spans="1:6" ht="15.75">
      <c r="A13" s="388"/>
      <c r="B13" s="388"/>
      <c r="C13" s="388"/>
      <c r="D13" s="388"/>
      <c r="E13" s="386"/>
      <c r="F13" s="386"/>
    </row>
    <row r="14" spans="1:6" ht="15.75">
      <c r="A14" s="388" t="s">
        <v>339</v>
      </c>
      <c r="B14" s="394" t="s">
        <v>812</v>
      </c>
      <c r="C14" s="394"/>
      <c r="D14" s="394"/>
      <c r="E14" s="395"/>
      <c r="F14" s="386"/>
    </row>
    <row r="17" spans="1:6" ht="15.75">
      <c r="A17" s="698" t="s">
        <v>340</v>
      </c>
      <c r="B17" s="698"/>
      <c r="C17" s="388"/>
      <c r="D17" s="388"/>
      <c r="E17" s="388"/>
      <c r="F17" s="386"/>
    </row>
    <row r="18" spans="1:9" ht="15.75">
      <c r="A18" s="388"/>
      <c r="B18" s="388"/>
      <c r="C18" s="388"/>
      <c r="D18" s="388"/>
      <c r="E18" s="388"/>
      <c r="F18" s="386"/>
      <c r="I18" s="649" t="str">
        <f ca="1">IF(B7="","",INDIRECT(I19))</f>
        <v>July</v>
      </c>
    </row>
    <row r="19" spans="1:9" ht="15.75">
      <c r="A19" s="388" t="s">
        <v>336</v>
      </c>
      <c r="B19" s="391" t="s">
        <v>341</v>
      </c>
      <c r="C19" s="388"/>
      <c r="D19" s="388"/>
      <c r="E19" s="388"/>
      <c r="I19" s="651" t="str">
        <f>IF(B7="","",CONCATENATE("J",I21))</f>
        <v>J7</v>
      </c>
    </row>
    <row r="20" spans="1:9" ht="15.75">
      <c r="A20" s="388"/>
      <c r="B20" s="388"/>
      <c r="C20" s="388"/>
      <c r="D20" s="388"/>
      <c r="E20" s="388"/>
      <c r="I20" s="652">
        <f>B7-10</f>
        <v>41486</v>
      </c>
    </row>
    <row r="21" spans="1:9" ht="15.75">
      <c r="A21" s="388" t="s">
        <v>337</v>
      </c>
      <c r="B21" s="388" t="s">
        <v>342</v>
      </c>
      <c r="C21" s="388"/>
      <c r="D21" s="388"/>
      <c r="E21" s="388"/>
      <c r="I21" s="653">
        <f>IF(B7="","",MONTH(I20))</f>
        <v>7</v>
      </c>
    </row>
    <row r="22" spans="1:9" ht="15.75">
      <c r="A22" s="388"/>
      <c r="B22" s="388"/>
      <c r="C22" s="388"/>
      <c r="D22" s="388"/>
      <c r="E22" s="388"/>
      <c r="I22" s="654">
        <f>IF(B7="","",DAY(I20))</f>
        <v>31</v>
      </c>
    </row>
    <row r="23" spans="1:9" ht="15.75">
      <c r="A23" s="388" t="s">
        <v>338</v>
      </c>
      <c r="B23" s="388" t="s">
        <v>343</v>
      </c>
      <c r="C23" s="388"/>
      <c r="D23" s="388"/>
      <c r="E23" s="388"/>
      <c r="I23" s="655">
        <f>IF(D7="","",YEAR(I20))</f>
        <v>2013</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28">
      <selection activeCell="F34" sqref="F34:G34"/>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07" t="s">
        <v>72</v>
      </c>
      <c r="B2" s="707"/>
      <c r="C2" s="707"/>
      <c r="D2" s="707"/>
      <c r="E2" s="707"/>
      <c r="F2" s="707"/>
      <c r="G2" s="707"/>
    </row>
    <row r="3" spans="1:7" ht="15.75">
      <c r="A3" s="99"/>
      <c r="B3" s="99"/>
      <c r="C3" s="99"/>
      <c r="D3" s="99"/>
      <c r="E3" s="99"/>
      <c r="F3" s="99"/>
      <c r="G3" s="109">
        <f>inputPrYr!D11</f>
        <v>2014</v>
      </c>
    </row>
    <row r="4" spans="1:7" ht="15.75">
      <c r="A4" s="710" t="str">
        <f>CONCATENATE("To the Clerk of ",inputPrYr!D4,", State of Kansas")</f>
        <v>To the Clerk of Thomas County, State of Kansas</v>
      </c>
      <c r="B4" s="710"/>
      <c r="C4" s="710"/>
      <c r="D4" s="710"/>
      <c r="E4" s="710"/>
      <c r="F4" s="710"/>
      <c r="G4" s="710"/>
    </row>
    <row r="5" spans="1:7" ht="15.75">
      <c r="A5" s="149" t="s">
        <v>172</v>
      </c>
      <c r="B5" s="109"/>
      <c r="C5" s="109"/>
      <c r="D5" s="109"/>
      <c r="E5" s="109"/>
      <c r="F5" s="109"/>
      <c r="G5" s="109"/>
    </row>
    <row r="6" spans="1:7" ht="15.75">
      <c r="A6" s="682" t="str">
        <f>inputPrYr!D3</f>
        <v>Fairview (Menlo) Cemetery</v>
      </c>
      <c r="B6" s="682"/>
      <c r="C6" s="682"/>
      <c r="D6" s="682"/>
      <c r="E6" s="682"/>
      <c r="F6" s="682"/>
      <c r="G6" s="682"/>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2014; and</v>
      </c>
      <c r="B9" s="109"/>
      <c r="C9" s="109"/>
      <c r="D9" s="109"/>
      <c r="E9" s="109"/>
      <c r="F9" s="109"/>
      <c r="G9" s="109"/>
    </row>
    <row r="10" spans="1:7" ht="15.75">
      <c r="A10" s="149" t="str">
        <f>CONCATENATE("(3) the Amount(s) of  ",G3-1," Ad Valorem Tax are within statutory limitations for the ",G3," Budget.")</f>
        <v>(3) the Amount(s) of  2013 Ad Valorem Tax are within statutory limitations for the 2014 Budget.</v>
      </c>
      <c r="B10" s="109"/>
      <c r="C10" s="109"/>
      <c r="D10" s="109"/>
      <c r="E10" s="109"/>
      <c r="F10" s="109"/>
      <c r="G10" s="109"/>
    </row>
    <row r="11" spans="1:7" ht="15.75">
      <c r="A11" s="98"/>
      <c r="B11" s="99"/>
      <c r="C11" s="99"/>
      <c r="D11" s="150"/>
      <c r="E11" s="181"/>
      <c r="F11" s="181"/>
      <c r="G11" s="181"/>
    </row>
    <row r="12" spans="1:7" ht="15.75">
      <c r="A12" s="99"/>
      <c r="B12" s="99"/>
      <c r="C12" s="99"/>
      <c r="D12" s="99"/>
      <c r="E12" s="711" t="str">
        <f>CONCATENATE("",G3," Adopted Budget")</f>
        <v>2014 Adopted Budget</v>
      </c>
      <c r="F12" s="712"/>
      <c r="G12" s="713"/>
    </row>
    <row r="13" spans="1:8" ht="15.75">
      <c r="A13" s="98"/>
      <c r="B13" s="99"/>
      <c r="C13" s="99"/>
      <c r="D13" s="126"/>
      <c r="E13" s="206" t="s">
        <v>11</v>
      </c>
      <c r="F13" s="708" t="str">
        <f>CONCATENATE("Amount of  ",G3-1," Ad Valorem Tax")</f>
        <v>Amount of  2013 Ad Valorem Tax</v>
      </c>
      <c r="G13" s="207" t="s">
        <v>12</v>
      </c>
      <c r="H13" s="208"/>
    </row>
    <row r="14" spans="1:7" ht="15.75">
      <c r="A14" s="99"/>
      <c r="B14" s="99"/>
      <c r="C14" s="99"/>
      <c r="D14" s="209" t="s">
        <v>13</v>
      </c>
      <c r="E14" s="155" t="s">
        <v>221</v>
      </c>
      <c r="F14" s="709"/>
      <c r="G14" s="207" t="s">
        <v>14</v>
      </c>
    </row>
    <row r="15" spans="1:7" ht="15.75">
      <c r="A15" s="100" t="s">
        <v>15</v>
      </c>
      <c r="B15" s="99"/>
      <c r="C15" s="99"/>
      <c r="D15" s="155" t="s">
        <v>16</v>
      </c>
      <c r="E15" s="155" t="s">
        <v>579</v>
      </c>
      <c r="F15" s="709"/>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2014</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0" t="s">
        <v>19</v>
      </c>
      <c r="B21" s="218"/>
      <c r="C21" s="571" t="s">
        <v>20</v>
      </c>
      <c r="D21" s="213"/>
      <c r="E21" s="219"/>
      <c r="F21" s="126"/>
      <c r="G21" s="130"/>
    </row>
    <row r="22" spans="1:7" ht="15.75">
      <c r="A22" s="220" t="s">
        <v>5</v>
      </c>
      <c r="B22" s="218"/>
      <c r="C22" s="221" t="str">
        <f>inputPrYr!C24</f>
        <v>17-1330</v>
      </c>
      <c r="D22" s="194">
        <v>6</v>
      </c>
      <c r="E22" s="222">
        <f>IF(gen!$E$61&lt;&gt;0,gen!$E$61,"  ")</f>
        <v>6692</v>
      </c>
      <c r="F22" s="222">
        <f>IF(gen!$E$68&lt;&gt;0,gen!$E$68,"  ")</f>
        <v>6147</v>
      </c>
      <c r="G22" s="657">
        <f>IF(AND(gen!E68=0,$F$39&gt;=0)," ",IF(AND(F22&gt;0,$F$39=0)," ",IF(AND(F22&gt;0,$F$39&gt;0),ROUND(F22/$F$39*1000,3))))</f>
        <v>1.614</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58"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58"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58"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58"/>
    </row>
    <row r="27" spans="1:7" ht="15.75">
      <c r="A27" s="162" t="str">
        <f>IF(inputPrYr!$B$32&gt;"  ",inputPrYr!$B$32,"  ")</f>
        <v>  </v>
      </c>
      <c r="B27" s="227"/>
      <c r="C27" s="225"/>
      <c r="D27" s="226" t="str">
        <f>IF(nolevypage9!C71&gt;0,nolevypage9!C71," ")</f>
        <v> </v>
      </c>
      <c r="E27" s="161" t="str">
        <f>IF(nolevypage9!$E$65&lt;&gt;0,nolevypage9!$E$65,"  ")</f>
        <v>  </v>
      </c>
      <c r="F27" s="160"/>
      <c r="G27" s="658"/>
    </row>
    <row r="28" spans="1:7" ht="15.75">
      <c r="A28" s="162">
        <f>IF((inputPrYr!$B$35&gt;" "),(NonBud!$A$3),"")</f>
      </c>
      <c r="B28" s="227"/>
      <c r="C28" s="207"/>
      <c r="D28" s="194">
        <f>IF(NonBud!F33&gt;0,NonBud!F33,"")</f>
      </c>
      <c r="E28" s="228"/>
      <c r="F28" s="229"/>
      <c r="G28" s="659"/>
    </row>
    <row r="29" spans="1:7" ht="16.5" thickBot="1">
      <c r="A29" s="230" t="s">
        <v>127</v>
      </c>
      <c r="B29" s="224"/>
      <c r="C29" s="218"/>
      <c r="D29" s="231" t="s">
        <v>21</v>
      </c>
      <c r="E29" s="232">
        <f>SUM(E22:E27)</f>
        <v>6692</v>
      </c>
      <c r="F29" s="170">
        <f>SUM(F22:F27)</f>
        <v>6147</v>
      </c>
      <c r="G29" s="660">
        <f>IF(SUM(G22:G27)=0,"",SUM(G22:G27))</f>
        <v>1.614</v>
      </c>
    </row>
    <row r="30" spans="1:7" ht="16.5" thickTop="1">
      <c r="A30" s="220" t="s">
        <v>203</v>
      </c>
      <c r="B30" s="224"/>
      <c r="C30" s="218"/>
      <c r="D30" s="233">
        <f>summ!E37</f>
        <v>7</v>
      </c>
      <c r="E30" s="234" t="s">
        <v>205</v>
      </c>
      <c r="F30" s="235" t="str">
        <f>IF(F29&gt;computation!J34,"Yes","No")</f>
        <v>No</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2"/>
      <c r="F32" s="236"/>
      <c r="G32" s="98"/>
    </row>
    <row r="33" spans="1:7" ht="15.75">
      <c r="A33" s="98" t="s">
        <v>22</v>
      </c>
      <c r="B33" s="98" t="s">
        <v>22</v>
      </c>
      <c r="C33" s="98" t="s">
        <v>22</v>
      </c>
      <c r="D33" s="237" t="s">
        <v>149</v>
      </c>
      <c r="E33" s="126"/>
      <c r="F33" s="703" t="s">
        <v>129</v>
      </c>
      <c r="G33" s="713"/>
    </row>
    <row r="34" spans="1:7" ht="15.75">
      <c r="A34" s="99" t="s">
        <v>333</v>
      </c>
      <c r="B34" s="99"/>
      <c r="C34" s="98" t="s">
        <v>22</v>
      </c>
      <c r="D34" s="220" t="str">
        <f>inputPrYr!D4</f>
        <v>Thomas County</v>
      </c>
      <c r="E34" s="224"/>
      <c r="F34" s="699">
        <v>2337675</v>
      </c>
      <c r="G34" s="700"/>
    </row>
    <row r="35" spans="1:7" ht="15.75">
      <c r="A35" s="238" t="s">
        <v>813</v>
      </c>
      <c r="B35" s="238"/>
      <c r="C35" s="98" t="s">
        <v>22</v>
      </c>
      <c r="D35" s="220" t="str">
        <f>inputPrYr!D6</f>
        <v>Sheridan</v>
      </c>
      <c r="E35" s="224"/>
      <c r="F35" s="699">
        <v>1470702</v>
      </c>
      <c r="G35" s="700"/>
    </row>
    <row r="36" spans="1:7" ht="15.75">
      <c r="A36" s="239" t="s">
        <v>814</v>
      </c>
      <c r="B36" s="239"/>
      <c r="C36" s="98" t="s">
        <v>22</v>
      </c>
      <c r="D36" s="220">
        <f>inputPrYr!D7</f>
        <v>0</v>
      </c>
      <c r="E36" s="224"/>
      <c r="F36" s="699"/>
      <c r="G36" s="700"/>
    </row>
    <row r="37" spans="1:7" ht="15.75">
      <c r="A37" s="102" t="s">
        <v>334</v>
      </c>
      <c r="B37" s="214"/>
      <c r="C37" s="98" t="s">
        <v>22</v>
      </c>
      <c r="D37" s="220">
        <f>inputPrYr!D8</f>
        <v>0</v>
      </c>
      <c r="E37" s="224"/>
      <c r="F37" s="699"/>
      <c r="G37" s="700"/>
    </row>
    <row r="38" spans="1:7" ht="15.75">
      <c r="A38" s="238" t="s">
        <v>829</v>
      </c>
      <c r="B38" s="238"/>
      <c r="C38" s="98" t="s">
        <v>22</v>
      </c>
      <c r="D38" s="220">
        <f>inputPrYr!D9</f>
        <v>0</v>
      </c>
      <c r="E38" s="224"/>
      <c r="F38" s="699"/>
      <c r="G38" s="700"/>
    </row>
    <row r="39" spans="1:7" ht="15.75">
      <c r="A39" s="239" t="s">
        <v>815</v>
      </c>
      <c r="B39" s="239"/>
      <c r="C39" s="98" t="s">
        <v>22</v>
      </c>
      <c r="D39" s="220" t="s">
        <v>150</v>
      </c>
      <c r="E39" s="224"/>
      <c r="F39" s="701">
        <f>SUM(F34:F38)</f>
        <v>3808377</v>
      </c>
      <c r="G39" s="702"/>
    </row>
    <row r="40" spans="1:7" ht="15.75">
      <c r="A40" s="239"/>
      <c r="B40" s="239"/>
      <c r="C40" s="98" t="s">
        <v>22</v>
      </c>
      <c r="D40" s="98" t="s">
        <v>22</v>
      </c>
      <c r="E40" s="106"/>
      <c r="F40" s="703" t="str">
        <f>CONCATENATE("November 1, ",G3-1," Valuation")</f>
        <v>November 1, 2013 Valuation</v>
      </c>
      <c r="G40" s="700"/>
    </row>
    <row r="41" spans="1:7" ht="15.75">
      <c r="A41" s="98" t="s">
        <v>778</v>
      </c>
      <c r="B41" s="98" t="s">
        <v>22</v>
      </c>
      <c r="C41" s="98"/>
      <c r="D41" s="98"/>
      <c r="E41" s="99"/>
      <c r="F41" s="99"/>
      <c r="G41" s="99"/>
    </row>
    <row r="42" spans="1:7" ht="15.75">
      <c r="A42" s="656" t="s">
        <v>816</v>
      </c>
      <c r="B42" s="238"/>
      <c r="C42" s="106"/>
      <c r="D42" s="106" t="s">
        <v>779</v>
      </c>
      <c r="E42" s="663"/>
      <c r="F42" s="573"/>
      <c r="G42" s="573"/>
    </row>
    <row r="43" spans="1:7" ht="15.75">
      <c r="A43" s="98" t="s">
        <v>22</v>
      </c>
      <c r="B43" s="98" t="s">
        <v>22</v>
      </c>
      <c r="C43" s="98"/>
      <c r="D43" s="99"/>
      <c r="E43" s="99"/>
      <c r="F43" s="139"/>
      <c r="G43" s="139"/>
    </row>
    <row r="44" spans="1:7" ht="15.75">
      <c r="A44" s="98" t="s">
        <v>22</v>
      </c>
      <c r="B44" s="98" t="s">
        <v>22</v>
      </c>
      <c r="C44" s="106"/>
      <c r="D44" s="106" t="s">
        <v>779</v>
      </c>
      <c r="E44" s="106"/>
      <c r="F44" s="573"/>
      <c r="G44" s="573"/>
    </row>
    <row r="45" spans="1:7" ht="15.75">
      <c r="A45" s="98" t="s">
        <v>22</v>
      </c>
      <c r="B45" s="574" t="s">
        <v>22</v>
      </c>
      <c r="C45" s="106"/>
      <c r="D45" s="106"/>
      <c r="E45" s="106"/>
      <c r="F45" s="573"/>
      <c r="G45" s="573"/>
    </row>
    <row r="46" spans="1:7" ht="15.75">
      <c r="A46" s="98" t="s">
        <v>22</v>
      </c>
      <c r="B46" s="98" t="s">
        <v>22</v>
      </c>
      <c r="C46" s="106"/>
      <c r="D46" s="106" t="s">
        <v>779</v>
      </c>
      <c r="E46" s="106"/>
      <c r="F46" s="573"/>
      <c r="G46" s="573"/>
    </row>
    <row r="47" spans="1:7" ht="15.75">
      <c r="A47" s="98" t="s">
        <v>22</v>
      </c>
      <c r="B47" s="98" t="s">
        <v>22</v>
      </c>
      <c r="C47" s="106"/>
      <c r="D47" s="106"/>
      <c r="E47" s="106"/>
      <c r="F47" s="663"/>
      <c r="G47" s="663"/>
    </row>
    <row r="48" spans="1:7" ht="15.75">
      <c r="A48" s="98" t="s">
        <v>173</v>
      </c>
      <c r="B48" s="106"/>
      <c r="C48" s="98">
        <f>G3-1</f>
        <v>2013</v>
      </c>
      <c r="D48" s="106" t="s">
        <v>779</v>
      </c>
      <c r="E48" s="106"/>
      <c r="F48" s="573"/>
      <c r="G48" s="573"/>
    </row>
    <row r="49" spans="1:7" ht="15.75">
      <c r="A49" s="98" t="s">
        <v>22</v>
      </c>
      <c r="B49" s="98" t="s">
        <v>22</v>
      </c>
      <c r="C49" s="98" t="s">
        <v>22</v>
      </c>
      <c r="D49" s="99"/>
      <c r="E49" s="99"/>
      <c r="F49" s="109"/>
      <c r="G49" s="109"/>
    </row>
    <row r="50" spans="1:7" ht="15.75">
      <c r="A50" s="704"/>
      <c r="B50" s="705"/>
      <c r="C50" s="99"/>
      <c r="D50" s="106" t="s">
        <v>779</v>
      </c>
      <c r="E50" s="106"/>
      <c r="F50" s="106"/>
      <c r="G50" s="106"/>
    </row>
    <row r="51" spans="1:7" ht="15.75">
      <c r="A51" s="109" t="s">
        <v>24</v>
      </c>
      <c r="B51" s="109"/>
      <c r="C51" s="99"/>
      <c r="D51" s="714" t="s">
        <v>23</v>
      </c>
      <c r="E51" s="715"/>
      <c r="F51" s="715"/>
      <c r="G51" s="715"/>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06"/>
    </row>
    <row r="55" spans="1:7" ht="15.75">
      <c r="A55" s="97"/>
      <c r="B55" s="97"/>
      <c r="C55" s="97"/>
      <c r="D55" s="97"/>
      <c r="E55" s="97"/>
      <c r="F55" s="97"/>
      <c r="G55" s="706"/>
    </row>
    <row r="56" spans="1:7" ht="15.75">
      <c r="A56" s="97"/>
      <c r="B56" s="97"/>
      <c r="C56" s="97"/>
      <c r="D56" s="97"/>
      <c r="E56" s="97"/>
      <c r="F56" s="97"/>
      <c r="G56" s="706"/>
    </row>
    <row r="57" spans="1:7" ht="15.75">
      <c r="A57" s="97"/>
      <c r="B57" s="97"/>
      <c r="C57" s="97"/>
      <c r="D57" s="97"/>
      <c r="E57" s="97"/>
      <c r="F57" s="97"/>
      <c r="G57" s="706"/>
    </row>
    <row r="58" spans="1:7" ht="15.75">
      <c r="A58" s="97"/>
      <c r="B58" s="97"/>
      <c r="C58" s="97"/>
      <c r="D58" s="240"/>
      <c r="E58" s="97"/>
      <c r="F58" s="97"/>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657850"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Fairview (Menlo) Cemetery</v>
      </c>
      <c r="D1" s="99"/>
      <c r="E1" s="99"/>
      <c r="F1" s="99"/>
      <c r="G1" s="99"/>
      <c r="H1" s="99"/>
      <c r="I1" s="99"/>
      <c r="J1" s="99">
        <f>inputPrYr!D11</f>
        <v>2014</v>
      </c>
    </row>
    <row r="2" spans="1:10" ht="15.75" customHeight="1">
      <c r="A2" s="99"/>
      <c r="B2" s="99"/>
      <c r="C2" s="99" t="str">
        <f>inputPrYr!D4</f>
        <v>Thomas County</v>
      </c>
      <c r="D2" s="99"/>
      <c r="E2" s="99"/>
      <c r="F2" s="99"/>
      <c r="G2" s="99"/>
      <c r="H2" s="99"/>
      <c r="I2" s="99"/>
      <c r="J2" s="99"/>
    </row>
    <row r="3" spans="1:10" ht="15.75">
      <c r="A3" s="716" t="str">
        <f>CONCATENATE("Computation to Determine Limit for ",J1,"")</f>
        <v>Computation to Determine Limit for 2014</v>
      </c>
      <c r="B3" s="707"/>
      <c r="C3" s="707"/>
      <c r="D3" s="707"/>
      <c r="E3" s="707"/>
      <c r="F3" s="707"/>
      <c r="G3" s="707"/>
      <c r="H3" s="707"/>
      <c r="I3" s="707"/>
      <c r="J3" s="707"/>
    </row>
    <row r="4" spans="1:10" ht="15.75">
      <c r="A4" s="99"/>
      <c r="B4" s="99"/>
      <c r="C4" s="99"/>
      <c r="D4" s="99"/>
      <c r="E4" s="707"/>
      <c r="F4" s="707"/>
      <c r="G4" s="707"/>
      <c r="H4" s="186"/>
      <c r="I4" s="99"/>
      <c r="J4" s="242" t="s">
        <v>83</v>
      </c>
    </row>
    <row r="5" spans="1:10" ht="15.75">
      <c r="A5" s="243" t="s">
        <v>84</v>
      </c>
      <c r="B5" s="99" t="str">
        <f>CONCATENATE("Total Tax Levy Amount in ",J1-1," Budget")</f>
        <v>Total Tax Levy Amount in 2013 Budget</v>
      </c>
      <c r="C5" s="99"/>
      <c r="D5" s="99"/>
      <c r="E5" s="123"/>
      <c r="F5" s="123"/>
      <c r="G5" s="123"/>
      <c r="H5" s="244" t="s">
        <v>85</v>
      </c>
      <c r="I5" s="123" t="s">
        <v>86</v>
      </c>
      <c r="J5" s="414">
        <f>inputPrYr!E29</f>
        <v>5290</v>
      </c>
    </row>
    <row r="6" spans="1:10" ht="15.75">
      <c r="A6" s="243" t="s">
        <v>87</v>
      </c>
      <c r="B6" s="99" t="str">
        <f>CONCATENATE("Debt Service Levy in ",J1-1," Budget")</f>
        <v>Debt Service Levy in 2013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5290</v>
      </c>
    </row>
    <row r="8" spans="1:10" ht="15.75">
      <c r="A8" s="99"/>
      <c r="B8" s="99"/>
      <c r="C8" s="99"/>
      <c r="D8" s="99"/>
      <c r="E8" s="123"/>
      <c r="F8" s="123"/>
      <c r="G8" s="123"/>
      <c r="H8" s="123"/>
      <c r="I8" s="123"/>
      <c r="J8" s="123"/>
    </row>
    <row r="9" spans="1:10" ht="15.75">
      <c r="A9" s="99"/>
      <c r="B9" s="110" t="str">
        <f>CONCATENATE("",J1-1," Valuation Information for Valuation Adjustments:")</f>
        <v>2013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2013:</v>
      </c>
      <c r="C11" s="99"/>
      <c r="D11" s="99"/>
      <c r="E11" s="244"/>
      <c r="F11" s="244" t="s">
        <v>85</v>
      </c>
      <c r="G11" s="245">
        <f>inputOth!E19</f>
        <v>7657</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2013:</v>
      </c>
      <c r="C13" s="99"/>
      <c r="D13" s="99"/>
      <c r="E13" s="244"/>
      <c r="F13" s="244"/>
      <c r="G13" s="247"/>
      <c r="H13" s="247"/>
      <c r="I13" s="123"/>
      <c r="J13" s="123"/>
    </row>
    <row r="14" spans="1:10" ht="15.75">
      <c r="A14" s="99"/>
      <c r="B14" s="99" t="s">
        <v>91</v>
      </c>
      <c r="C14" s="99" t="str">
        <f>CONCATENATE("Personal Property ",J1-1,"")</f>
        <v>Personal Property 2013</v>
      </c>
      <c r="D14" s="243" t="s">
        <v>85</v>
      </c>
      <c r="E14" s="245">
        <f>inputOth!E26</f>
        <v>207561</v>
      </c>
      <c r="F14" s="244"/>
      <c r="G14" s="123"/>
      <c r="H14" s="123"/>
      <c r="I14" s="247"/>
      <c r="J14" s="123"/>
    </row>
    <row r="15" spans="1:10" ht="15.75">
      <c r="A15" s="243"/>
      <c r="B15" s="99" t="s">
        <v>92</v>
      </c>
      <c r="C15" s="99" t="str">
        <f>CONCATENATE("Personal Property ",J1-2,"")</f>
        <v>Personal Property 2012</v>
      </c>
      <c r="D15" s="243" t="s">
        <v>88</v>
      </c>
      <c r="E15" s="246">
        <f>inputOth!E40</f>
        <v>184983</v>
      </c>
      <c r="F15" s="244"/>
      <c r="G15" s="247"/>
      <c r="H15" s="247"/>
      <c r="I15" s="123"/>
      <c r="J15" s="123"/>
    </row>
    <row r="16" spans="1:10" ht="15.75">
      <c r="A16" s="243"/>
      <c r="B16" s="99" t="s">
        <v>93</v>
      </c>
      <c r="C16" s="99" t="s">
        <v>107</v>
      </c>
      <c r="D16" s="99"/>
      <c r="E16" s="123"/>
      <c r="F16" s="123" t="s">
        <v>85</v>
      </c>
      <c r="G16" s="245">
        <f>IF(E14&gt;E15,E14-E15,0)</f>
        <v>22578</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2013:</v>
      </c>
      <c r="C18" s="99"/>
      <c r="D18" s="243"/>
      <c r="E18" s="123"/>
      <c r="F18" s="123"/>
      <c r="G18" s="123">
        <f>inputOth!E33</f>
        <v>498881</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529116</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1,2013</v>
      </c>
      <c r="C22" s="99"/>
      <c r="D22" s="99"/>
      <c r="E22" s="245">
        <f>inputOth!E12</f>
        <v>3794530</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3265414</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0.16203642172171737</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857</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6147</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2014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6147</v>
      </c>
    </row>
    <row r="35" spans="1:10" ht="16.5" thickTop="1">
      <c r="A35" s="99"/>
      <c r="B35" s="99"/>
      <c r="C35" s="99"/>
      <c r="D35" s="99"/>
      <c r="E35" s="99"/>
      <c r="F35" s="99"/>
      <c r="G35" s="99"/>
      <c r="H35" s="99"/>
      <c r="I35" s="99"/>
      <c r="J35" s="99"/>
    </row>
    <row r="36" spans="1:10" ht="15.7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Fairview (Menlo) Cemetery</v>
      </c>
      <c r="C1" s="99"/>
      <c r="D1" s="99"/>
      <c r="E1" s="99"/>
      <c r="F1" s="99"/>
      <c r="G1" s="99"/>
      <c r="H1" s="99"/>
      <c r="I1" s="252"/>
      <c r="J1" s="99"/>
    </row>
    <row r="2" spans="1:10" ht="15.75">
      <c r="A2" s="99"/>
      <c r="B2" s="99" t="str">
        <f>inputPrYr!D4</f>
        <v>Thomas County</v>
      </c>
      <c r="C2" s="99"/>
      <c r="D2" s="99"/>
      <c r="E2" s="99"/>
      <c r="F2" s="99"/>
      <c r="G2" s="99"/>
      <c r="H2" s="99"/>
      <c r="I2" s="182"/>
      <c r="J2" s="99">
        <f>inputPrYr!D11</f>
        <v>2014</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9" t="s">
        <v>755</v>
      </c>
      <c r="C6" s="719"/>
      <c r="D6" s="719"/>
      <c r="E6" s="719"/>
      <c r="F6" s="719"/>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7" t="str">
        <f>CONCATENATE("",J2-1,"                    Budgeted Funds")</f>
        <v>2013                    Budgeted Funds</v>
      </c>
      <c r="C9" s="708" t="str">
        <f>CONCATENATE("Tax Levy Amount in ",J2-2," Budget")</f>
        <v>Tax Levy Amount in 2012 Budget</v>
      </c>
      <c r="D9" s="711" t="str">
        <f>CONCATENATE("Allocation for Year ",J2,"")</f>
        <v>Allocation for Year 2014</v>
      </c>
      <c r="E9" s="720"/>
      <c r="F9" s="700"/>
      <c r="G9" s="99"/>
      <c r="H9" s="99"/>
      <c r="I9" s="99"/>
      <c r="J9" s="99"/>
    </row>
    <row r="10" spans="1:10" ht="15.75">
      <c r="A10" s="99"/>
      <c r="B10" s="718"/>
      <c r="C10" s="718"/>
      <c r="D10" s="158" t="s">
        <v>38</v>
      </c>
      <c r="E10" s="158" t="s">
        <v>39</v>
      </c>
      <c r="F10" s="213" t="s">
        <v>80</v>
      </c>
      <c r="G10" s="99"/>
      <c r="H10" s="99"/>
      <c r="I10" s="99"/>
      <c r="J10" s="99"/>
    </row>
    <row r="11" spans="1:10" ht="15.75">
      <c r="A11" s="99"/>
      <c r="B11" s="133" t="str">
        <f>inputPrYr!B24</f>
        <v>General</v>
      </c>
      <c r="C11" s="160">
        <f>inputPrYr!E24</f>
        <v>5290</v>
      </c>
      <c r="D11" s="160">
        <f>IF(E17=0,0,E17-D12-D13-D14)</f>
        <v>365</v>
      </c>
      <c r="E11" s="160">
        <f>IF(E19=0,0,E19-E12-E13-E14)</f>
        <v>6</v>
      </c>
      <c r="F11" s="160">
        <f>IF(E21=0,0,E21-F12-F13-F14)</f>
        <v>174</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5290</v>
      </c>
      <c r="D15" s="168">
        <f>SUM(D11:D14)</f>
        <v>365</v>
      </c>
      <c r="E15" s="168">
        <f>SUM(E11:E14)</f>
        <v>6</v>
      </c>
      <c r="F15" s="168">
        <f>SUM(F11:F14)</f>
        <v>174</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365</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6</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174</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0.06899810964083176</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0.0011342155009451795</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0.03289224952741021</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2014</v>
      </c>
    </row>
    <row r="2" spans="1:6" ht="15.75">
      <c r="A2" s="260" t="str">
        <f>inputPrYr!D3</f>
        <v>Fairview (Menlo) Cemetery</v>
      </c>
      <c r="B2" s="260"/>
      <c r="C2" s="99"/>
      <c r="D2" s="99"/>
      <c r="E2" s="252"/>
      <c r="F2" s="99"/>
    </row>
    <row r="3" spans="1:6" ht="15.75">
      <c r="A3" s="260" t="str">
        <f>inputPrYr!D4</f>
        <v>Thomas County</v>
      </c>
      <c r="B3" s="260"/>
      <c r="C3" s="99"/>
      <c r="D3" s="99"/>
      <c r="E3" s="252"/>
      <c r="F3" s="99"/>
    </row>
    <row r="4" spans="1:6" ht="15.75">
      <c r="A4" s="172"/>
      <c r="B4" s="99"/>
      <c r="C4" s="99"/>
      <c r="D4" s="99"/>
      <c r="E4" s="252"/>
      <c r="F4" s="99"/>
    </row>
    <row r="5" spans="1:6" ht="15" customHeight="1">
      <c r="A5" s="707" t="s">
        <v>138</v>
      </c>
      <c r="B5" s="707"/>
      <c r="C5" s="707"/>
      <c r="D5" s="707"/>
      <c r="E5" s="707"/>
      <c r="F5" s="707"/>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2012</v>
      </c>
      <c r="D9" s="265">
        <f>F1-1</f>
        <v>2013</v>
      </c>
      <c r="E9" s="265">
        <f>F1</f>
        <v>2014</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2013 and/or 2014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2013-11-01T21:52:41Z</cp:lastPrinted>
  <dcterms:created xsi:type="dcterms:W3CDTF">1999-08-06T13:59:57Z</dcterms:created>
  <dcterms:modified xsi:type="dcterms:W3CDTF">2013-11-01T21:52:44Z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