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<sst xmlns="http://schemas.openxmlformats.org/spreadsheetml/2006/main" count="1228" uniqueCount="821">
  <si>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</si>
  <si>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</si>
  <si>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</si>
  <si>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</si>
  <si>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</si>
  <si>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</si>
  <si>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</si>
  <si>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</si>
  <si>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</si>
  <si>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</si>
  <si>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</si>
  <si>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</si>
  <si>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</si>
  <si>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</si>
  <si>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</si>
  <si>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</si>
  <si>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</si>
  <si>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</si>
  <si>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</si>
  <si>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</si>
  <si>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</si>
  <si>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</si>
  <si>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</si>
  <si>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</si>
  <si>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</si>
  <si>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</si>
  <si>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</si>
  <si>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</si>
  <si>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</si>
  <si>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</si>
  <si>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</si>
  <si>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</si>
  <si>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</si>
  <si>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</si>
  <si>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</si>
  <si>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</si>
  <si>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</si>
  <si>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</si>
  <si>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</si>
  <si>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</si>
  <si>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</si>
  <si>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</si>
  <si>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</si>
  <si>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</si>
  <si>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</si>
  <si>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</si>
  <si>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</si>
  <si>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</si>
  <si>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</si>
  <si>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</si>
  <si>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</si>
  <si>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</si>
  <si>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</si>
  <si>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</si>
  <si>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</si>
  <si>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</si>
  <si>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</si>
  <si>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</si>
  <si>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</si>
  <si>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</si>
  <si>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</si>
  <si>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</si>
  <si>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</si>
  <si>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</si>
  <si>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</si>
  <si>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</si>
  <si>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</si>
  <si>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</si>
  <si>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</si>
  <si>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</si>
  <si>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</si>
  <si>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</si>
  <si>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</si>
  <si>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</si>
  <si>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</si>
  <si>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</si>
  <si>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</si>
  <si>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</si>
  <si>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</si>
  <si>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</si>
  <si>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</si>
  <si>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</si>
  <si>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</si>
  <si>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</si>
  <si>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</si>
  <si>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</si>
  <si>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</si>
  <si>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</si>
  <si>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</si>
  <si>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</si>
  <si>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</si>
  <si>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</si>
  <si>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</si>
  <si>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</si>
  <si>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</si>
  <si>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</si>
  <si>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</si>
  <si>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</si>
  <si>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</si>
  <si>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</si>
  <si>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</si>
  <si>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</si>
  <si>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</si>
  <si>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</si>
  <si>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</si>
  <si>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</si>
  <si>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</si>
  <si>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</si>
  <si>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</si>
  <si>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</si>
  <si>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</si>
  <si>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</si>
  <si>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</si>
  <si>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</si>
  <si>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</si>
  <si>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</si>
  <si>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</si>
  <si>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</si>
  <si>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</si>
  <si>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</si>
  <si>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</si>
  <si>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</si>
  <si>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</si>
  <si>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</si>
  <si>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</si>
  <si>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</si>
  <si>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</si>
  <si>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</si>
  <si>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</si>
  <si>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</si>
  <si>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</si>
  <si>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</si>
  <si>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</si>
  <si>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</si>
  <si>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</si>
  <si>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</si>
  <si>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</si>
  <si>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</si>
  <si>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</si>
  <si>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</si>
  <si>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</si>
  <si>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</si>
  <si>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</si>
  <si>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</si>
  <si>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</si>
  <si>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</si>
  <si>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</si>
  <si>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</si>
  <si>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</si>
  <si>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</si>
  <si>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</si>
  <si>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</si>
  <si>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</si>
  <si>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</si>
  <si>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</si>
  <si>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</si>
  <si>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</si>
  <si>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</si>
  <si>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</si>
  <si>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</si>
  <si>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</si>
  <si>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</si>
  <si>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</si>
  <si>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</si>
  <si>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</si>
  <si>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</si>
  <si>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</si>
  <si>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</si>
  <si>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</si>
  <si>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</si>
  <si>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</si>
  <si>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</si>
  <si>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</si>
  <si>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</si>
  <si>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</si>
  <si>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</si>
  <si>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</si>
  <si>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</si>
  <si>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</si>
  <si>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</si>
  <si>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</si>
  <si>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</si>
  <si>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</si>
  <si>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</si>
  <si>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</si>
  <si>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</si>
  <si>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</si>
  <si>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</si>
  <si>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</si>
  <si>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</si>
  <si>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</si>
  <si>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</si>
  <si>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</si>
  <si>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</si>
  <si>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</si>
  <si>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</si>
  <si>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</si>
  <si>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</si>
  <si>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</si>
  <si>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</si>
  <si>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</si>
  <si>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</si>
  <si>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</si>
  <si>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</si>
  <si>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</si>
  <si>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</si>
  <si>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</si>
  <si>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</si>
  <si>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</si>
  <si>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</si>
  <si>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</si>
  <si>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</si>
  <si>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</si>
  <si>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</si>
  <si>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</si>
  <si>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</si>
  <si>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</si>
  <si>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</si>
  <si>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</si>
  <si>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</si>
  <si>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</si>
  <si>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</si>
  <si>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</si>
  <si>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</si>
  <si>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</si>
  <si>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</si>
  <si>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</si>
  <si>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</si>
  <si>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</si>
  <si>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</si>
  <si>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</si>
  <si>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</si>
  <si>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</si>
  <si>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</si>
  <si>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</si>
  <si>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</si>
  <si>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</si>
  <si>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</si>
  <si>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</si>
  <si>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</si>
  <si>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</si>
  <si>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</si>
  <si>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</si>
  <si>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</si>
  <si>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</si>
  <si>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</si>
  <si>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</si>
  <si>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</si>
  <si>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</si>
  <si>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</si>
  <si>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</si>
  <si>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</si>
  <si>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</si>
  <si>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</si>
  <si>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</si>
  <si>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</si>
  <si>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</si>
  <si>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</si>
  <si>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</si>
  <si>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</si>
  <si>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</si>
  <si>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</si>
  <si>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</si>
  <si>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</si>
  <si>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</si>
  <si>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</si>
  <si>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</si>
  <si>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</si>
  <si>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</si>
  <si>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</si>
  <si>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</si>
  <si>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</si>
  <si>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</si>
  <si>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</si>
  <si>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</si>
  <si>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</si>
  <si>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</si>
  <si>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</si>
  <si>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</si>
  <si>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</si>
  <si>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</si>
  <si>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</si>
  <si>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</si>
  <si>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</si>
  <si>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</si>
  <si>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</si>
  <si>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</si>
  <si>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</si>
  <si>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</si>
  <si>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</si>
  <si>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</si>
  <si>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</si>
  <si>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</si>
  <si>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</si>
  <si>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</si>
  <si>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</si>
  <si>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</si>
  <si>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</si>
  <si>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</si>
  <si>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</si>
  <si>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</si>
  <si>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</si>
  <si>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</si>
  <si>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</si>
  <si>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</si>
  <si>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</si>
  <si>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</si>
  <si>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</si>
  <si>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</si>
  <si>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</si>
  <si>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</si>
  <si>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</si>
  <si>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</si>
  <si>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</si>
  <si>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</si>
  <si>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</si>
  <si>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</si>
  <si>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</si>
  <si>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</si>
  <si>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</si>
  <si>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</si>
  <si>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</si>
  <si>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</si>
  <si>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</si>
  <si>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</si>
  <si>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</si>
  <si>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</si>
  <si>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</si>
  <si>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</si>
  <si>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</si>
  <si>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</si>
  <si>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</si>
  <si>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</si>
  <si>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</si>
  <si>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</si>
  <si>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</si>
  <si>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</si>
  <si>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</si>
  <si>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</si>
  <si>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</si>
  <si>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</si>
  <si>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</si>
  <si>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</si>
  <si>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</si>
  <si>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</si>
  <si>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</si>
  <si>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</si>
  <si>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</si>
  <si>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</si>
  <si>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</si>
  <si>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</si>
  <si>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</si>
  <si>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</si>
  <si>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</si>
  <si>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</si>
  <si>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</si>
  <si>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</si>
  <si>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</si>
  <si>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</si>
  <si>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</si>
  <si>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</si>
  <si>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</si>
  <si>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</si>
  <si>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</si>
  <si>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</si>
  <si>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</si>
  <si>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</si>
  <si>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</si>
  <si>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</si>
  <si>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</si>
  <si>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</si>
  <si>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</si>
  <si>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</si>
  <si>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</si>
  <si>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</si>
  <si>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</si>
  <si>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</si>
  <si>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</si>
  <si>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</si>
  <si>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</si>
  <si>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</si>
  <si>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</si>
  <si>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</si>
  <si>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</si>
  <si>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</si>
  <si>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</si>
  <si>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</si>
  <si>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</si>
  <si>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</si>
  <si>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</si>
  <si>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</si>
  <si>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</si>
  <si>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</si>
  <si>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</si>
  <si>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</si>
  <si>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</si>
  <si>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</si>
  <si>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</si>
  <si>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</si>
  <si>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</si>
  <si>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</si>
  <si>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</si>
  <si>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</si>
  <si>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</si>
  <si>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</si>
  <si>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</si>
  <si>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</si>
  <si>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</si>
  <si>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</si>
  <si>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</si>
  <si>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</si>
  <si>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</si>
  <si>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</si>
  <si>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</si>
  <si>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</si>
  <si>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</si>
  <si>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</si>
  <si>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</si>
  <si>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</si>
  <si>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</si>
  <si>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</si>
  <si>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</si>
  <si>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</si>
  <si>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</si>
  <si>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</si>
  <si>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</si>
  <si>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</si>
  <si>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</si>
  <si>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</si>
  <si>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</si>
  <si>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</si>
  <si>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</si>
  <si>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</si>
  <si>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</si>
  <si>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</si>
  <si>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</si>
  <si>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</si>
  <si>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</si>
  <si>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</si>
  <si>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</si>
  <si>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</si>
  <si>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</si>
  <si>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</si>
  <si>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</si>
  <si>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</si>
  <si>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</si>
  <si>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</si>
  <si>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</si>
  <si>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</si>
  <si>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</si>
  <si>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</si>
  <si>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</si>
  <si>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</si>
  <si>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</si>
  <si>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</si>
  <si>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</si>
  <si>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</si>
  <si>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</si>
  <si>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</si>
  <si>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</si>
  <si>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</si>
  <si>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</si>
  <si>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</si>
  <si>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</si>
  <si>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</si>
  <si>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</si>
  <si>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</si>
  <si>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</si>
  <si>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</si>
  <si>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</si>
  <si>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</si>
  <si>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</si>
  <si>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</si>
  <si>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</si>
  <si>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</si>
  <si>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</si>
  <si>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</si>
  <si>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</si>
  <si>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</si>
  <si>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</si>
  <si>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</si>
  <si>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</si>
  <si>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</si>
  <si>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</si>
  <si>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</si>
  <si>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</si>
  <si>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</si>
  <si>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</si>
  <si>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</si>
  <si>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</si>
  <si>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</si>
  <si>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</si>
  <si>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</si>
  <si>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</si>
  <si>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</si>
  <si>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</si>
  <si>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</si>
  <si>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</si>
  <si>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</si>
  <si>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</si>
  <si>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</si>
  <si>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</si>
  <si>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</si>
  <si>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</si>
  <si>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</si>
  <si>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</si>
  <si>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</si>
  <si>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</si>
  <si>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</si>
  <si>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</si>
  <si>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</si>
  <si>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</si>
  <si>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</si>
  <si>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</si>
  <si>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</si>
  <si>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</si>
  <si>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</si>
  <si>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</si>
  <si>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</si>
  <si>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</si>
  <si>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</si>
  <si>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</si>
  <si>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</si>
  <si>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</si>
  <si>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</si>
  <si>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</si>
  <si>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</si>
  <si>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</si>
  <si>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</si>
  <si>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</si>
  <si>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</si>
  <si>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</si>
  <si>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</si>
  <si>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</si>
  <si>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</si>
  <si>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</si>
  <si>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</si>
  <si>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</si>
  <si>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</si>
  <si>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</si>
  <si>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</si>
  <si>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</si>
  <si>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</si>
  <si>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</si>
  <si>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</si>
  <si>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</si>
  <si>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</si>
  <si>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</si>
  <si>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</si>
  <si>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</si>
  <si>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</si>
  <si>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</si>
  <si>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</si>
  <si>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</si>
  <si>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</si>
  <si>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</si>
  <si>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</si>
  <si>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</si>
  <si>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</si>
  <si>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</si>
  <si>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</si>
  <si>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</si>
  <si>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</si>
  <si>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</si>
  <si>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</si>
  <si>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</si>
  <si>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</si>
  <si>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</si>
  <si>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</si>
  <si>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</si>
  <si>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</si>
  <si>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</si>
  <si>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</si>
  <si>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</si>
  <si>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</si>
  <si>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</si>
  <si>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</si>
  <si>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</si>
  <si>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</si>
  <si>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</si>
  <si>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</si>
  <si>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</si>
  <si>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</si>
  <si>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</si>
  <si>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</si>
  <si>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</si>
  <si>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</si>
  <si>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</si>
  <si>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</si>
  <si>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</si>
  <si>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</si>
  <si>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</si>
  <si>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</si>
  <si>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</si>
  <si>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</si>
  <si>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</si>
  <si>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</si>
  <si>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</si>
  <si>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</si>
  <si>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</si>
  <si>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</si>
  <si>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</si>
  <si>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</si>
  <si>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</si>
  <si>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</si>
  <si>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</si>
  <si>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</si>
  <si>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</si>
  <si>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</si>
  <si>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</si>
  <si>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</si>
  <si>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</si>
  <si>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</si>
  <si>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</si>
  <si>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</si>
  <si>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</si>
  <si>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</si>
  <si>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</si>
  <si>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</si>
  <si>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</si>
  <si>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</si>
  <si>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</si>
  <si>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</si>
  <si>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</si>
  <si>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</si>
  <si>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</si>
  <si>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</si>
  <si>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</si>
  <si>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</si>
  <si>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</si>
  <si>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</si>
  <si>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</si>
  <si>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</si>
  <si>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</si>
  <si>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</si>
  <si>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</si>
  <si>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</si>
  <si>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</si>
  <si>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</si>
  <si>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</si>
  <si>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</si>
  <si>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</si>
  <si>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</si>
  <si>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</si>
  <si>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</si>
  <si>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</si>
  <si>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</si>
  <si>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</si>
  <si>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</si>
  <si>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</si>
  <si>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</si>
  <si>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</si>
  <si>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</si>
  <si>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</si>
  <si>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</si>
  <si>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</si>
  <si>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</si>
  <si>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</si>
  <si>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</si>
  <si>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</si>
  <si>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</si>
  <si>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</si>
  <si>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</si>
  <si>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</si>
  <si>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</si>
  <si>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</si>
  <si>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</si>
  <si>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</si>
  <si>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</si>
  <si>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</si>
  <si>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</si>
  <si>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</si>
  <si>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</si>
  <si>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</si>
  <si>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</si>
  <si>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</si>
  <si>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</si>
  <si>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</si>
  <si>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</si>
  <si>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</si>
  <si>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</si>
  <si>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</si>
  <si>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</si>
  <si>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</si>
  <si>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</si>
  <si>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</si>
  <si>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</si>
  <si>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</si>
  <si>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</si>
  <si>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</si>
  <si>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</si>
  <si>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</si>
  <si>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</si>
  <si>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</si>
  <si>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</si>
  <si>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</si>
  <si>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</si>
  <si>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</si>
  <si>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</si>
  <si>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</si>
  <si>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</si>
  <si>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</si>
  <si>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</si>
  <si>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</si>
  <si>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</si>
  <si>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</si>
  <si>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</si>
  <si>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</si>
  <si>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</si>
  <si>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</si>
  <si>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</si>
  <si>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</si>
  <si>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</si>
  <si>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</si>
  <si>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</si>
  <si>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</si>
  <si>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</si>
  <si>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</si>
  <si>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</si>
  <si>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</si>
  <si>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</si>
  <si>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</si>
  <si>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</si>
  <si>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</si>
  <si>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</si>
  <si>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</si>
  <si>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</si>
  <si>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</si>
  <si>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</si>
  <si>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</si>
  <si>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</si>
  <si>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</si>
  <si>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</si>
  <si>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</si>
  <si>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</si>
  <si>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</si>
  <si>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</si>
  <si>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</si>
  <si>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</si>
  <si>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</si>
  <si>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</si>
  <si>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</si>
  <si>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</si>
  <si>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</si>
  <si>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</si>
  <si>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</si>
  <si>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</si>
  <si>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</si>
  <si>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</si>
  <si>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</si>
  <si>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</si>
  <si>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</si>
  <si>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</si>
  <si>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</si>
  <si>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</si>
  <si>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</si>
  <si>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</si>
  <si>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</si>
  <si>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</si>
  <si>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</si>
  <si>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</si>
  <si>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</si>
  <si>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</si>
  <si>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</si>
  <si>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</si>
  <si>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</si>
  <si>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</si>
  <si>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</si>
  <si>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</si>
  <si>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</si>
  <si>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</si>
  <si>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</si>
  <si>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</si>
  <si>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</si>
  <si>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</si>
  <si>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</si>
  <si>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</si>
  <si>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</si>
  <si>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</si>
  <si>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</si>
  <si>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</si>
  <si>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</si>
  <si>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</si>
  <si>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</si>
  <si>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</si>
  <si>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</si>
  <si>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</si>
  <si>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</si>
  <si>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</si>
  <si>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</si>
  <si>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</si>
  <si>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</si>
  <si>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</si>
  <si>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</si>
  <si>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</si>
  <si>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</si>
  <si>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</si>
  <si>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</si>
  <si>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</si>
  <si>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</si>
  <si>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</si>
  <si>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</si>
  <si>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</si>
  <si>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</si>
  <si>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</si>
  <si>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</si>
  <si>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</si>
  <si>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</si>
  <si>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Czech Moravian Cem</t>
  </si>
  <si>
    <t xml:space="preserve">Marshall County </t>
  </si>
  <si>
    <t xml:space="preserve">Riley County </t>
  </si>
  <si>
    <t>15-1015</t>
  </si>
  <si>
    <t>Perpetual Care</t>
  </si>
  <si>
    <t xml:space="preserve">Riley Co., </t>
  </si>
  <si>
    <t>Operating Costs</t>
  </si>
  <si>
    <t>Expense</t>
  </si>
  <si>
    <t>Vicki Hargadine</t>
  </si>
  <si>
    <t>Treasurer</t>
  </si>
  <si>
    <t>September 8, 2013</t>
  </si>
  <si>
    <t>7:00 p.m.</t>
  </si>
  <si>
    <t>6221 Toburen Rd., Blue Rapids,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</si>
</sst>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Czech Moravian Cem</v>
      </c>
      <c r="C1" s="98"/>
      <c r="D1" s="98"/>
      <c r="E1" s="98"/>
      <c r="F1" s="98"/>
      <c r="G1" s="98"/>
      <c r="H1" s="98"/>
      <c r="I1" s="98"/>
      <c r="J1" s="98"/>
      <c r="K1" s="98"/>
      <c r="L1" s="276">
        <f>inputPrYr!D11</f>
        <v>2014</v>
      </c>
    </row>
    <row r="2" spans="1:12" ht="15.75">
      <c r="A2" s="277"/>
      <c r="B2" s="98" t="str">
        <f>inputPrYr!$D$4</f>
        <v>Marshall County </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1">
      <selection activeCell="E37" sqref="E37"/>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Czech Moravian Cem</v>
      </c>
      <c r="C1" s="177"/>
      <c r="D1" s="98"/>
      <c r="E1" s="310"/>
      <c r="F1" s="601"/>
    </row>
    <row r="2" spans="2:6" ht="15.75">
      <c r="B2" s="98" t="str">
        <f>inputPrYr!D4</f>
        <v>Marshall County </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43.84</v>
      </c>
      <c r="D7" s="424">
        <f>C62</f>
        <v>0.07999999999992724</v>
      </c>
      <c r="E7" s="160">
        <f>D62</f>
        <v>37.07999999999993</v>
      </c>
      <c r="F7" s="601"/>
    </row>
    <row r="8" spans="2:6" ht="15.75">
      <c r="B8" s="236" t="s">
        <v>120</v>
      </c>
      <c r="C8" s="313"/>
      <c r="D8" s="313"/>
      <c r="E8" s="159"/>
      <c r="F8" s="601"/>
    </row>
    <row r="9" spans="2:6" ht="15.75">
      <c r="B9" s="219" t="s">
        <v>27</v>
      </c>
      <c r="C9" s="420">
        <v>739.55</v>
      </c>
      <c r="D9" s="424">
        <f>IF(inputPrYr!H23&gt;0,inputPrYr!G24,inputPrYr!E24)</f>
        <v>966</v>
      </c>
      <c r="E9" s="230" t="s">
        <v>21</v>
      </c>
      <c r="F9" s="601"/>
    </row>
    <row r="10" spans="2:6" ht="15.75">
      <c r="B10" s="219" t="s">
        <v>28</v>
      </c>
      <c r="C10" s="420">
        <v>10.39</v>
      </c>
      <c r="D10" s="420"/>
      <c r="E10" s="291"/>
      <c r="F10" s="601"/>
    </row>
    <row r="11" spans="2:6" ht="15.75">
      <c r="B11" s="219" t="s">
        <v>29</v>
      </c>
      <c r="C11" s="420">
        <v>47.57</v>
      </c>
      <c r="D11" s="420">
        <v>50</v>
      </c>
      <c r="E11" s="160">
        <f>mvalloc!D11</f>
        <v>47.32</v>
      </c>
      <c r="F11" s="601"/>
    </row>
    <row r="12" spans="2:6" ht="15.75">
      <c r="B12" s="219" t="s">
        <v>30</v>
      </c>
      <c r="C12" s="420">
        <v>1.81</v>
      </c>
      <c r="D12" s="420">
        <v>0</v>
      </c>
      <c r="E12" s="160">
        <f>mvalloc!E11</f>
        <v>10.81</v>
      </c>
      <c r="F12" s="601"/>
    </row>
    <row r="13" spans="2:6" ht="15.75">
      <c r="B13" s="313" t="s">
        <v>102</v>
      </c>
      <c r="C13" s="420">
        <v>22.2</v>
      </c>
      <c r="D13" s="420">
        <v>21</v>
      </c>
      <c r="E13" s="160">
        <f>mvalloc!F11</f>
        <v>145.4</v>
      </c>
      <c r="F13" s="601"/>
    </row>
    <row r="14" spans="2:6" ht="15.75">
      <c r="B14" s="313" t="s">
        <v>171</v>
      </c>
      <c r="C14" s="420"/>
      <c r="D14" s="420"/>
      <c r="E14" s="160">
        <f>inputOth!D84</f>
        <v>0</v>
      </c>
      <c r="F14" s="601"/>
    </row>
    <row r="15" spans="2:6" ht="15.75">
      <c r="B15" s="314" t="s">
        <v>813</v>
      </c>
      <c r="C15" s="420">
        <v>136.56</v>
      </c>
      <c r="D15" s="420"/>
      <c r="E15" s="291"/>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c r="D30" s="420"/>
      <c r="E30" s="291"/>
      <c r="F30" s="601"/>
    </row>
    <row r="31" spans="2:6" ht="15.75">
      <c r="B31" s="316" t="s">
        <v>226</v>
      </c>
      <c r="C31" s="420">
        <v>47.66</v>
      </c>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1005.7399999999999</v>
      </c>
      <c r="D33" s="423">
        <f>SUM(D9:D31)</f>
        <v>1037</v>
      </c>
      <c r="E33" s="320">
        <f>SUM(E9:E31)</f>
        <v>203.53</v>
      </c>
      <c r="F33" s="601"/>
    </row>
    <row r="34" spans="2:6" ht="15.75">
      <c r="B34" s="319" t="s">
        <v>33</v>
      </c>
      <c r="C34" s="423">
        <f>C7+C33</f>
        <v>1049.58</v>
      </c>
      <c r="D34" s="423">
        <f>D7+D33</f>
        <v>1037.08</v>
      </c>
      <c r="E34" s="320">
        <f>E7+E33</f>
        <v>240.60999999999993</v>
      </c>
      <c r="F34" s="601"/>
    </row>
    <row r="35" spans="2:6" ht="15.75">
      <c r="B35" s="219" t="s">
        <v>34</v>
      </c>
      <c r="C35" s="222"/>
      <c r="D35" s="222"/>
      <c r="E35" s="132"/>
      <c r="F35" s="601"/>
    </row>
    <row r="36" spans="2:6" ht="15.75">
      <c r="B36" s="314" t="s">
        <v>814</v>
      </c>
      <c r="C36" s="420">
        <v>1049.5</v>
      </c>
      <c r="D36" s="420">
        <v>1000</v>
      </c>
      <c r="E36" s="120">
        <v>1400</v>
      </c>
      <c r="F36" s="601"/>
    </row>
    <row r="37" spans="2:6" ht="15.75">
      <c r="B37" s="314"/>
      <c r="C37" s="420"/>
      <c r="D37" s="420"/>
      <c r="E37" s="120"/>
      <c r="F37" s="601"/>
    </row>
    <row r="38" spans="2:6" ht="15.75">
      <c r="B38" s="314"/>
      <c r="C38" s="420"/>
      <c r="D38" s="420"/>
      <c r="E38" s="120"/>
      <c r="F38" s="601"/>
    </row>
    <row r="39" spans="2:6" ht="15.75">
      <c r="B39" s="314"/>
      <c r="C39" s="420"/>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1049.5</v>
      </c>
      <c r="D61" s="423">
        <f>SUM(D36:D59)</f>
        <v>1000</v>
      </c>
      <c r="E61" s="320">
        <f>SUM(E36:E59)</f>
        <v>1400</v>
      </c>
      <c r="F61" s="96"/>
      <c r="G61" s="528">
        <f>D62</f>
        <v>37.07999999999993</v>
      </c>
      <c r="H61" s="529" t="str">
        <f>CONCATENATE("",E3-1," Ending Cash Balance (est.)")</f>
        <v>2013 Ending Cash Balance (est.)</v>
      </c>
      <c r="I61" s="621"/>
      <c r="J61" s="527"/>
      <c r="K61" s="96"/>
    </row>
    <row r="62" spans="2:11" ht="15.75">
      <c r="B62" s="219" t="s">
        <v>119</v>
      </c>
      <c r="C62" s="421">
        <f>C34-C61</f>
        <v>0.07999999999992724</v>
      </c>
      <c r="D62" s="421">
        <f>D34-D61</f>
        <v>37.07999999999993</v>
      </c>
      <c r="E62" s="230" t="s">
        <v>21</v>
      </c>
      <c r="F62" s="96"/>
      <c r="G62" s="528">
        <f>E33</f>
        <v>203.53</v>
      </c>
      <c r="H62" s="530" t="str">
        <f>CONCATENATE("",E3," Non-AV Receipts (est.)")</f>
        <v>2014 Non-AV Receipts (est.)</v>
      </c>
      <c r="I62" s="621"/>
      <c r="J62" s="527"/>
      <c r="K62" s="96"/>
    </row>
    <row r="63" spans="2:11" ht="15.75">
      <c r="B63" s="181" t="str">
        <f>CONCATENATE("",E3-2,"/",E3-1," Budget Authority Amount:")</f>
        <v>2012/2013 Budget Authority Amount:</v>
      </c>
      <c r="C63" s="193">
        <f>inputOth!B102</f>
        <v>1050</v>
      </c>
      <c r="D63" s="170">
        <f>inputPrYr!D24</f>
        <v>1150</v>
      </c>
      <c r="E63" s="230" t="s">
        <v>21</v>
      </c>
      <c r="F63" s="646"/>
      <c r="G63" s="531">
        <f>IF(E67&gt;0,E66,E68)</f>
        <v>1159.39</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1400</v>
      </c>
      <c r="H64" s="530" t="str">
        <f>CONCATENATE("Total ",E3," Resources Available")</f>
        <v>Total 2014 Resources Available</v>
      </c>
      <c r="I64" s="621"/>
      <c r="J64" s="527"/>
      <c r="K64" s="96"/>
    </row>
    <row r="65" spans="2:11" ht="15.75">
      <c r="B65" s="521" t="str">
        <f>CONCATENATE(C79,"     ",D79)</f>
        <v>     </v>
      </c>
      <c r="C65" s="737" t="s">
        <v>676</v>
      </c>
      <c r="D65" s="738"/>
      <c r="E65" s="160">
        <f>E61+E64</f>
        <v>1400</v>
      </c>
      <c r="F65" s="96"/>
      <c r="G65" s="532"/>
      <c r="H65" s="530"/>
      <c r="I65" s="530"/>
      <c r="J65" s="527"/>
      <c r="K65" s="96"/>
    </row>
    <row r="66" spans="2:11" ht="15.75">
      <c r="B66" s="521" t="str">
        <f>CONCATENATE(C80,"     ",D80)</f>
        <v>     </v>
      </c>
      <c r="C66" s="523"/>
      <c r="D66" s="524" t="s">
        <v>677</v>
      </c>
      <c r="E66" s="163">
        <f>IF(E65-E34&gt;0,E65-E34,0)</f>
        <v>1159.39</v>
      </c>
      <c r="F66" s="96"/>
      <c r="G66" s="531">
        <f>ROUND(C61*0.05+C61,0)</f>
        <v>1102</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298</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1159.39</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1.554</v>
      </c>
      <c r="H71" s="529" t="str">
        <f>CONCATENATE("",E3," Fund Mill Rate")</f>
        <v>2014 Fund Mill Rate</v>
      </c>
      <c r="I71" s="605"/>
      <c r="J71" s="628"/>
      <c r="K71" s="96"/>
    </row>
    <row r="72" spans="2:11" ht="15.75">
      <c r="B72" s="98"/>
      <c r="C72" s="98"/>
      <c r="D72" s="98"/>
      <c r="E72" s="98"/>
      <c r="F72" s="651"/>
      <c r="G72" s="630">
        <f>summ!E16</f>
        <v>1.514</v>
      </c>
      <c r="H72" s="529" t="str">
        <f>CONCATENATE("",E3-1," Fund Mill Rate")</f>
        <v>2013 Fund Mill Rate</v>
      </c>
      <c r="I72" s="605"/>
      <c r="J72" s="628"/>
      <c r="K72" s="96"/>
    </row>
    <row r="73" spans="2:11" ht="15.75">
      <c r="B73" s="98"/>
      <c r="C73" s="177"/>
      <c r="D73" s="177"/>
      <c r="E73" s="177"/>
      <c r="F73" s="644"/>
      <c r="G73" s="631">
        <f>summ!H23</f>
        <v>1.554</v>
      </c>
      <c r="H73" s="529" t="str">
        <f>CONCATENATE("Total ",E3," Mill Rate")</f>
        <v>Total 2014 Mill Rate</v>
      </c>
      <c r="I73" s="605"/>
      <c r="J73" s="628"/>
      <c r="K73" s="96"/>
    </row>
    <row r="74" spans="2:11" ht="15.75">
      <c r="B74" s="181"/>
      <c r="C74" s="115" t="s">
        <v>238</v>
      </c>
      <c r="D74" s="98"/>
      <c r="E74" s="98"/>
      <c r="F74" s="644"/>
      <c r="G74" s="630">
        <f>summ!E23</f>
        <v>1.514</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Czech Moravian Cem</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1.554</v>
      </c>
      <c r="H67" s="529" t="str">
        <f>CONCATENATE("Total ",E1," Mill Rate")</f>
        <v>Total 2014 Mill Rate</v>
      </c>
      <c r="I67" s="605"/>
      <c r="J67" s="628"/>
      <c r="K67" s="619"/>
    </row>
    <row r="68" spans="6:11" ht="15.75">
      <c r="F68"/>
      <c r="G68" s="630">
        <f>summ!E23</f>
        <v>1.514</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Czech Moravian Cem</v>
      </c>
      <c r="C1" s="98"/>
      <c r="D1" s="98"/>
      <c r="E1" s="276"/>
      <c r="F1" s="601"/>
    </row>
    <row r="2" spans="2:6" ht="15.75">
      <c r="B2" s="98" t="str">
        <f>inputPrYr!D4</f>
        <v>Marshall County </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1.554</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1.514</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1.554</v>
      </c>
      <c r="H86" s="529" t="str">
        <f>CONCATENATE("Total ",E3," Mill Rate")</f>
        <v>Total 2014 Mill Rate</v>
      </c>
      <c r="I86" s="605"/>
      <c r="J86" s="628"/>
      <c r="K86" s="96"/>
    </row>
    <row r="87" spans="6:11" ht="15.75">
      <c r="F87" s="96"/>
      <c r="G87" s="630">
        <f>summ!E23</f>
        <v>1.514</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Czech Moravian Cem</v>
      </c>
      <c r="C1" s="177"/>
      <c r="D1" s="98"/>
      <c r="E1" s="276"/>
    </row>
    <row r="2" spans="2:5" ht="15.75">
      <c r="B2" s="98" t="str">
        <f>inputPrYr!D4</f>
        <v>Marshall County </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1" sqref="A21"/>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Czech Moravian Cem</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t="str">
        <f>inputPrYr!B35</f>
        <v>Perpetual Care</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v>618.94</v>
      </c>
      <c r="C7" s="350" t="s">
        <v>274</v>
      </c>
      <c r="D7" s="349"/>
      <c r="E7" s="350" t="s">
        <v>274</v>
      </c>
      <c r="F7" s="349"/>
      <c r="G7" s="350" t="s">
        <v>274</v>
      </c>
      <c r="H7" s="349"/>
      <c r="I7" s="350" t="s">
        <v>274</v>
      </c>
      <c r="J7" s="349"/>
      <c r="K7" s="351">
        <f>SUM(B7+D7+F7+H7+J7)</f>
        <v>618.94</v>
      </c>
    </row>
    <row r="8" spans="1:11" ht="15.75">
      <c r="A8" s="352" t="s">
        <v>120</v>
      </c>
      <c r="B8" s="353"/>
      <c r="C8" s="352" t="s">
        <v>120</v>
      </c>
      <c r="D8" s="354"/>
      <c r="E8" s="352" t="s">
        <v>120</v>
      </c>
      <c r="F8" s="337"/>
      <c r="G8" s="352" t="s">
        <v>120</v>
      </c>
      <c r="H8" s="178"/>
      <c r="I8" s="352" t="s">
        <v>120</v>
      </c>
      <c r="J8" s="178"/>
      <c r="K8" s="337"/>
    </row>
    <row r="9" spans="1:11" ht="15.75">
      <c r="A9" s="355" t="s">
        <v>61</v>
      </c>
      <c r="B9" s="349">
        <v>1.73</v>
      </c>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1.73</v>
      </c>
      <c r="C17" s="352" t="s">
        <v>32</v>
      </c>
      <c r="D17" s="351">
        <f>SUM(D9:D16)</f>
        <v>0</v>
      </c>
      <c r="E17" s="352" t="s">
        <v>32</v>
      </c>
      <c r="F17" s="365">
        <f>SUM(F9:F16)</f>
        <v>0</v>
      </c>
      <c r="G17" s="352" t="s">
        <v>32</v>
      </c>
      <c r="H17" s="351">
        <f>SUM(H9:H16)</f>
        <v>0</v>
      </c>
      <c r="I17" s="352" t="s">
        <v>32</v>
      </c>
      <c r="J17" s="351">
        <f>SUM(J9:J16)</f>
        <v>0</v>
      </c>
      <c r="K17" s="351">
        <f>SUM(B17+D17+F17+H17+J17)</f>
        <v>1.73</v>
      </c>
    </row>
    <row r="18" spans="1:11" ht="15.75">
      <c r="A18" s="352" t="s">
        <v>33</v>
      </c>
      <c r="B18" s="351">
        <f>SUM(B7+B17)</f>
        <v>620.6700000000001</v>
      </c>
      <c r="C18" s="352" t="s">
        <v>33</v>
      </c>
      <c r="D18" s="351">
        <f>SUM(D7+D17)</f>
        <v>0</v>
      </c>
      <c r="E18" s="352" t="s">
        <v>33</v>
      </c>
      <c r="F18" s="351">
        <f>SUM(F7+F17)</f>
        <v>0</v>
      </c>
      <c r="G18" s="352" t="s">
        <v>33</v>
      </c>
      <c r="H18" s="351">
        <f>SUM(H7+H17)</f>
        <v>0</v>
      </c>
      <c r="I18" s="352" t="s">
        <v>33</v>
      </c>
      <c r="J18" s="351">
        <f>SUM(J7+J17)</f>
        <v>0</v>
      </c>
      <c r="K18" s="351">
        <f>SUM(B18+D18+F18+H18+J18)</f>
        <v>620.6700000000001</v>
      </c>
    </row>
    <row r="19" spans="1:11" ht="15.75">
      <c r="A19" s="352" t="s">
        <v>34</v>
      </c>
      <c r="B19" s="353"/>
      <c r="C19" s="352" t="s">
        <v>34</v>
      </c>
      <c r="D19" s="354"/>
      <c r="E19" s="352" t="s">
        <v>34</v>
      </c>
      <c r="F19" s="337"/>
      <c r="G19" s="352" t="s">
        <v>34</v>
      </c>
      <c r="H19" s="178"/>
      <c r="I19" s="352" t="s">
        <v>34</v>
      </c>
      <c r="J19" s="178"/>
      <c r="K19" s="337"/>
    </row>
    <row r="20" spans="1:11" ht="15.75">
      <c r="A20" s="355" t="s">
        <v>815</v>
      </c>
      <c r="B20" s="349">
        <v>47.66</v>
      </c>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47.66</v>
      </c>
      <c r="C28" s="352" t="s">
        <v>35</v>
      </c>
      <c r="D28" s="351">
        <f>SUM(D20:D27)</f>
        <v>0</v>
      </c>
      <c r="E28" s="352" t="s">
        <v>35</v>
      </c>
      <c r="F28" s="365">
        <f>SUM(F20:F27)</f>
        <v>0</v>
      </c>
      <c r="G28" s="352" t="s">
        <v>35</v>
      </c>
      <c r="H28" s="365">
        <f>SUM(H20:H27)</f>
        <v>0</v>
      </c>
      <c r="I28" s="352" t="s">
        <v>35</v>
      </c>
      <c r="J28" s="351">
        <f>SUM(J20:J27)</f>
        <v>0</v>
      </c>
      <c r="K28" s="351">
        <f>SUM(B28+D28+F28+H28+J28)</f>
        <v>47.66</v>
      </c>
    </row>
    <row r="29" spans="1:12" ht="15.75">
      <c r="A29" s="352" t="s">
        <v>275</v>
      </c>
      <c r="B29" s="351">
        <f>SUM(B18-B28)</f>
        <v>573.0100000000001</v>
      </c>
      <c r="C29" s="352" t="s">
        <v>275</v>
      </c>
      <c r="D29" s="351">
        <f>SUM(D18-D28)</f>
        <v>0</v>
      </c>
      <c r="E29" s="352" t="s">
        <v>275</v>
      </c>
      <c r="F29" s="351">
        <f>SUM(F18-F28)</f>
        <v>0</v>
      </c>
      <c r="G29" s="352" t="s">
        <v>275</v>
      </c>
      <c r="H29" s="351">
        <f>SUM(H18-H28)</f>
        <v>0</v>
      </c>
      <c r="I29" s="352" t="s">
        <v>275</v>
      </c>
      <c r="J29" s="351">
        <f>SUM(J18-J28)</f>
        <v>0</v>
      </c>
      <c r="K29" s="366">
        <f>SUM(B29+D29+F29+H29+J29)</f>
        <v>573.0100000000001</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573.0100000000001</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 sqref="A1:I4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15"/>
      <c r="C1" s="715"/>
      <c r="D1" s="715"/>
      <c r="E1" s="715"/>
      <c r="F1" s="715"/>
      <c r="G1" s="715"/>
      <c r="H1" s="715"/>
    </row>
    <row r="2" spans="1:8" ht="15.75">
      <c r="A2" s="98"/>
      <c r="B2" s="98"/>
      <c r="C2" s="98"/>
      <c r="D2" s="98"/>
      <c r="E2" s="98"/>
      <c r="F2" s="98"/>
      <c r="G2" s="98"/>
      <c r="H2" s="98"/>
    </row>
    <row r="3" spans="1:9" ht="15.75">
      <c r="A3" s="714" t="s">
        <v>103</v>
      </c>
      <c r="B3" s="714"/>
      <c r="C3" s="714"/>
      <c r="D3" s="714"/>
      <c r="E3" s="714"/>
      <c r="F3" s="714"/>
      <c r="G3" s="714"/>
      <c r="H3" s="714"/>
      <c r="I3" s="138">
        <f>inputPrYr!D11</f>
        <v>2014</v>
      </c>
    </row>
    <row r="4" spans="1:8" ht="15.75">
      <c r="A4" s="689" t="str">
        <f>inputPrYr!D3</f>
        <v>Czech Moravian Cem</v>
      </c>
      <c r="B4" s="689"/>
      <c r="C4" s="689"/>
      <c r="D4" s="689"/>
      <c r="E4" s="689"/>
      <c r="F4" s="689"/>
      <c r="G4" s="689"/>
      <c r="H4" s="689"/>
    </row>
    <row r="5" spans="1:8" ht="15.75">
      <c r="A5" s="759" t="str">
        <f>inputPrYr!D4</f>
        <v>Marshall County </v>
      </c>
      <c r="B5" s="759"/>
      <c r="C5" s="759"/>
      <c r="D5" s="759"/>
      <c r="E5" s="759"/>
      <c r="F5" s="759"/>
      <c r="G5" s="759"/>
      <c r="H5" s="759"/>
    </row>
    <row r="6" spans="1:8" ht="15.75">
      <c r="A6" s="748" t="str">
        <f>CONCATENATE("will meet on ",inputBudSum!B7," at ",inputBudSum!B9," at ",inputBudSum!B11," for the purpose of hearing and")</f>
        <v>will meet on September 8, 2013 at 7:00 p.m. at 6221 Toburen Rd., Blue Rapids, KS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6221 Toburen Rd., Blue Rapids, KS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746</v>
      </c>
    </row>
    <row r="14" spans="1:13" ht="15.7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75">
      <c r="A16" s="132" t="str">
        <f>inputPrYr!B24</f>
        <v>General</v>
      </c>
      <c r="B16" s="160">
        <f>IF(gen!$C$61&lt;&gt;0,gen!$C$61,"  ")</f>
        <v>1049.5</v>
      </c>
      <c r="C16" s="663">
        <f>IF(inputPrYr!D43&gt;0,inputPrYr!D43,"  ")</f>
        <v>1.636</v>
      </c>
      <c r="D16" s="160">
        <f>IF(gen!$D$61&lt;&gt;0,gen!$D$61,"  ")</f>
        <v>1000</v>
      </c>
      <c r="E16" s="663">
        <f>IF(inputOth!D46&gt;0,inputOth!D46,"  ")</f>
        <v>1.514</v>
      </c>
      <c r="F16" s="160">
        <f>IF(gen!$E$61&lt;&gt;0,gen!$E$61,"  ")</f>
        <v>1400</v>
      </c>
      <c r="G16" s="160">
        <f>IF(gen!$E$68&lt;&gt;0,gen!$E$68,"  ")</f>
        <v>1159.39</v>
      </c>
      <c r="H16" s="663">
        <f>IF(gen!E68&gt;0,ROUND(G16/$F$27*1000,3)," ")</f>
        <v>1.554</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1.514</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-30.3900000000001</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t="str">
        <f>IF((inputPrYr!$B$35&gt;" "),(NonBud!$A$3),"")</f>
        <v>Non-Budgeted Funds</v>
      </c>
      <c r="B22" s="668">
        <f>IF(NonBud!K28&gt;0,NonBud!K28,"")</f>
        <v>47.66</v>
      </c>
      <c r="C22" s="666"/>
      <c r="D22" s="668"/>
      <c r="E22" s="666"/>
      <c r="F22" s="668"/>
      <c r="G22" s="566"/>
      <c r="H22" s="666"/>
      <c r="J22" s="750" t="str">
        <f>CONCATENATE("Impact On Keeping The Same Mill Rate As For ",I3-1,"")</f>
        <v>Impact On Keeping The Same Mill Rate As For 2013</v>
      </c>
      <c r="K22" s="755"/>
      <c r="L22" s="755"/>
      <c r="M22" s="756"/>
    </row>
    <row r="23" spans="1:13" ht="15.75">
      <c r="A23" s="118" t="s">
        <v>127</v>
      </c>
      <c r="B23" s="565">
        <f>SUM(B16:B22)</f>
        <v>1097.16</v>
      </c>
      <c r="C23" s="667">
        <f aca="true" t="shared" si="0" ref="C23:H23">SUM(C16:C21)</f>
        <v>1.636</v>
      </c>
      <c r="D23" s="565">
        <f t="shared" si="0"/>
        <v>1000</v>
      </c>
      <c r="E23" s="667">
        <f t="shared" si="0"/>
        <v>1.514</v>
      </c>
      <c r="F23" s="565">
        <f t="shared" si="0"/>
        <v>1400</v>
      </c>
      <c r="G23" s="565">
        <f>SUM(G16:G21)</f>
        <v>1159.39</v>
      </c>
      <c r="H23" s="667">
        <f t="shared" si="0"/>
        <v>1.554</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1159.39</v>
      </c>
    </row>
    <row r="25" spans="1:13" ht="16.5" thickBot="1">
      <c r="A25" s="118" t="s">
        <v>179</v>
      </c>
      <c r="B25" s="130">
        <f>SUM(B23-B24)</f>
        <v>1097.16</v>
      </c>
      <c r="C25" s="168"/>
      <c r="D25" s="130">
        <f>SUM(D23-D24)</f>
        <v>1000</v>
      </c>
      <c r="E25" s="168"/>
      <c r="F25" s="669">
        <f>SUM(F23-F24)</f>
        <v>1400</v>
      </c>
      <c r="G25" s="165"/>
      <c r="H25" s="166"/>
      <c r="J25" s="552" t="str">
        <f>CONCATENATE("",I3-1," Ad Valorem Tax Revenue:")</f>
        <v>2013 Ad Valorem Tax Revenue:</v>
      </c>
      <c r="K25" s="547"/>
      <c r="L25" s="547"/>
      <c r="M25" s="560">
        <f>ROUND(F27*M17/1000,0)</f>
        <v>1129</v>
      </c>
    </row>
    <row r="26" spans="1:13" ht="16.5" thickTop="1">
      <c r="A26" s="118" t="s">
        <v>47</v>
      </c>
      <c r="B26" s="221">
        <f>inputPrYr!E50</f>
        <v>951</v>
      </c>
      <c r="C26" s="156"/>
      <c r="D26" s="221">
        <f>inputPrYr!E29</f>
        <v>966</v>
      </c>
      <c r="E26" s="156"/>
      <c r="F26" s="326" t="s">
        <v>21</v>
      </c>
      <c r="G26" s="98"/>
      <c r="H26" s="98"/>
      <c r="J26" s="561" t="s">
        <v>682</v>
      </c>
      <c r="K26" s="562"/>
      <c r="L26" s="562"/>
      <c r="M26" s="551">
        <f>M24-M25</f>
        <v>30.3900000000001</v>
      </c>
    </row>
    <row r="27" spans="1:13" ht="16.5" thickBot="1">
      <c r="A27" s="118" t="s">
        <v>212</v>
      </c>
      <c r="B27" s="231">
        <f>inputPrYr!E51</f>
        <v>455896</v>
      </c>
      <c r="C27" s="156"/>
      <c r="D27" s="231">
        <f>inputOth!E60</f>
        <v>638174</v>
      </c>
      <c r="E27" s="156"/>
      <c r="F27" s="231">
        <f>inputOth!E12</f>
        <v>745969</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1.554</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Vicki Hargadine</v>
      </c>
      <c r="B41" s="722"/>
      <c r="C41" s="149"/>
      <c r="D41" s="98"/>
      <c r="E41" s="98"/>
      <c r="F41" s="98"/>
      <c r="G41" s="98"/>
      <c r="H41" s="138"/>
    </row>
    <row r="42" spans="1:8" ht="15.75">
      <c r="A42" s="747" t="str">
        <f>inputBudSum!B5</f>
        <v>Treasurer</v>
      </c>
      <c r="B42" s="742"/>
      <c r="C42" s="98"/>
      <c r="D42" s="181" t="s">
        <v>37</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Czech Moravian Cem</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07" t="str">
        <f>CONCATENATE("",F1," Neighborhood Revitalization Rebate")</f>
        <v>2014 Neighborhood Revitalization Rebate</v>
      </c>
      <c r="C4" s="762"/>
      <c r="D4" s="762"/>
      <c r="E4" s="715"/>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745969</v>
      </c>
      <c r="E16" s="98"/>
      <c r="F16" s="138"/>
    </row>
    <row r="17" spans="1:6" ht="15.75">
      <c r="A17" s="98"/>
      <c r="B17" s="98"/>
      <c r="C17" s="98"/>
      <c r="D17" s="98"/>
      <c r="E17" s="98"/>
      <c r="F17" s="138"/>
    </row>
    <row r="18" spans="1:6" ht="15.75">
      <c r="A18" s="98"/>
      <c r="B18" s="763" t="s">
        <v>330</v>
      </c>
      <c r="C18" s="763"/>
      <c r="D18" s="197">
        <f>IF(D16&gt;0,(D16*0.001),"")</f>
        <v>745.969</v>
      </c>
      <c r="E18" s="98"/>
      <c r="F18" s="138"/>
    </row>
    <row r="19" spans="1:6" ht="15.75">
      <c r="A19" s="98"/>
      <c r="B19" s="181"/>
      <c r="C19" s="181"/>
      <c r="D19" s="198"/>
      <c r="E19" s="98"/>
      <c r="F19" s="138"/>
    </row>
    <row r="20" spans="1:6" ht="15.75">
      <c r="A20" s="760" t="s">
        <v>311</v>
      </c>
      <c r="B20" s="715"/>
      <c r="C20" s="715"/>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7" t="s">
        <v>133</v>
      </c>
      <c r="C1" s="767"/>
      <c r="D1" s="767"/>
      <c r="E1" s="767"/>
      <c r="F1" s="767"/>
      <c r="G1" s="767"/>
      <c r="H1" s="767"/>
    </row>
    <row r="2" spans="2:8" ht="15.75">
      <c r="B2" s="42"/>
      <c r="C2"/>
      <c r="D2"/>
      <c r="E2"/>
      <c r="F2"/>
      <c r="G2"/>
      <c r="H2"/>
    </row>
    <row r="3" spans="2:8" ht="15.75">
      <c r="B3" s="768" t="s">
        <v>130</v>
      </c>
      <c r="C3" s="768"/>
      <c r="D3" s="768"/>
      <c r="E3" s="768"/>
      <c r="F3" s="768"/>
      <c r="G3" s="768"/>
      <c r="H3" s="768"/>
    </row>
    <row r="4" spans="2:8" ht="15.7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Czech Moravian Cem District with respect to financing the 2014 annual budget for Czech Moravian Cem , Marshall County  , Kansas.</v>
      </c>
      <c r="C5" s="765"/>
      <c r="D5" s="765"/>
      <c r="E5" s="765"/>
      <c r="F5" s="765"/>
      <c r="G5" s="765"/>
      <c r="H5" s="765"/>
    </row>
    <row r="6" spans="2:10" ht="15.75">
      <c r="B6" s="765"/>
      <c r="C6" s="765"/>
      <c r="D6" s="765"/>
      <c r="E6" s="765"/>
      <c r="F6" s="765"/>
      <c r="G6" s="765"/>
      <c r="H6" s="765"/>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Czech Moravian Cem district budget exceed the amount levied to finance the</v>
      </c>
      <c r="C9"/>
      <c r="D9"/>
      <c r="E9"/>
      <c r="F9"/>
      <c r="G9"/>
      <c r="H9"/>
    </row>
    <row r="10" spans="2:8" ht="15.75">
      <c r="B10" s="48" t="str">
        <f>CONCATENATE("",inputPrYr!D11-1," ",inputPrYr!D3," except with regard to revenue produced and attributable to the")</f>
        <v>2013 Czech Moravian Cem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5.7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5.75">
      <c r="B18" s="48"/>
      <c r="C18"/>
      <c r="D18"/>
      <c r="E18"/>
      <c r="F18"/>
      <c r="G18"/>
      <c r="H18"/>
    </row>
    <row r="19" spans="2:8" ht="15.75">
      <c r="B19" s="48" t="str">
        <f>CONCATENATE("Whereas, ",(inputPrYr!D3)," provides essential services to district residents; and")</f>
        <v>Whereas, Czech Moravian Cem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Czech Moravian Cem that is our desire to notify the public of the possibility of increased property taxes to finance the 2014 Czech Moravian Cem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5.75">
      <c r="B26" s="48"/>
      <c r="C26"/>
      <c r="D26"/>
      <c r="E26"/>
      <c r="F26"/>
      <c r="G26"/>
      <c r="H26"/>
    </row>
    <row r="27" spans="2:8" ht="15.75">
      <c r="B27" s="764" t="str">
        <f>CONCATENATE("Adopted this _________ day of ___________, ",inputPrYr!D11-1," by the ",(inputPrYr!D3)," District Board, ",(inputPrYr!D4),", State of Kansas.")</f>
        <v>Adopted this _________ day of ___________, 2013 by the Czech Moravian Cem District Board, Marshall County , State of Kansas.</v>
      </c>
      <c r="C27" s="765"/>
      <c r="D27" s="765"/>
      <c r="E27" s="765"/>
      <c r="F27" s="765"/>
      <c r="G27" s="765"/>
      <c r="H27" s="765"/>
    </row>
    <row r="28" spans="2:8" ht="15.75">
      <c r="B28" s="765"/>
      <c r="C28" s="765"/>
      <c r="D28" s="765"/>
      <c r="E28" s="765"/>
      <c r="F28" s="765"/>
      <c r="G28" s="765"/>
      <c r="H28" s="765"/>
    </row>
    <row r="29" spans="2:8" ht="15.75">
      <c r="B29" s="44"/>
      <c r="C29"/>
      <c r="D29"/>
      <c r="E29"/>
      <c r="F29"/>
      <c r="G29"/>
      <c r="H29"/>
    </row>
    <row r="30" spans="2:8" ht="15.75">
      <c r="B30" s="44"/>
      <c r="C30"/>
      <c r="D30"/>
      <c r="E30"/>
      <c r="F30"/>
      <c r="G30"/>
      <c r="H30"/>
    </row>
    <row r="31" spans="2:8" ht="15.75">
      <c r="B31" s="45" t="str">
        <f>CONCATENATE(" ",(inputPrYr!D3)," District Board")</f>
        <v> Czech Moravian Cem District Board</v>
      </c>
      <c r="C31"/>
      <c r="D31"/>
      <c r="E31"/>
      <c r="F31"/>
      <c r="G31"/>
      <c r="H31"/>
    </row>
    <row r="32" spans="2:8" ht="15.75">
      <c r="B32" s="44"/>
      <c r="C32"/>
      <c r="D32"/>
      <c r="E32"/>
      <c r="F32"/>
      <c r="G32"/>
      <c r="H32"/>
    </row>
    <row r="33" spans="2:8" ht="15.75">
      <c r="B33"/>
      <c r="C33"/>
      <c r="D33"/>
      <c r="E33" s="766" t="s">
        <v>131</v>
      </c>
      <c r="F33" s="766"/>
      <c r="G33" s="766"/>
      <c r="H33" s="766"/>
    </row>
    <row r="34" spans="2:8" ht="15.75">
      <c r="B34"/>
      <c r="C34"/>
      <c r="D34"/>
      <c r="E34" s="766" t="s">
        <v>134</v>
      </c>
      <c r="F34" s="766"/>
      <c r="G34" s="766"/>
      <c r="H34" s="766"/>
    </row>
    <row r="35" spans="2:8" ht="15.75">
      <c r="B35" s="44"/>
      <c r="C35"/>
      <c r="D35"/>
      <c r="E35" s="766"/>
      <c r="F35" s="766"/>
      <c r="G35" s="766"/>
      <c r="H35" s="766"/>
    </row>
    <row r="36" spans="2:8" ht="15.75">
      <c r="B36"/>
      <c r="C36"/>
      <c r="D36"/>
      <c r="E36" s="766" t="s">
        <v>131</v>
      </c>
      <c r="F36" s="766"/>
      <c r="G36" s="766"/>
      <c r="H36" s="766"/>
    </row>
    <row r="37" spans="2:8" ht="15.75">
      <c r="B37"/>
      <c r="C37"/>
      <c r="D37"/>
      <c r="E37" s="766" t="s">
        <v>135</v>
      </c>
      <c r="F37" s="766"/>
      <c r="G37" s="766"/>
      <c r="H37" s="766"/>
    </row>
    <row r="38" spans="2:8" ht="15.75">
      <c r="B38" s="44"/>
      <c r="C38"/>
      <c r="D38"/>
      <c r="E38" s="766"/>
      <c r="F38" s="766"/>
      <c r="G38" s="766"/>
      <c r="H38" s="766"/>
    </row>
    <row r="39" spans="2:8" ht="15.75">
      <c r="B39"/>
      <c r="C39"/>
      <c r="D39"/>
      <c r="E39" s="766" t="s">
        <v>131</v>
      </c>
      <c r="F39" s="766"/>
      <c r="G39" s="766"/>
      <c r="H39" s="766"/>
    </row>
    <row r="40" spans="2:8" ht="15.75">
      <c r="B40"/>
      <c r="C40"/>
      <c r="D40"/>
      <c r="E40" s="766" t="s">
        <v>136</v>
      </c>
      <c r="F40" s="766"/>
      <c r="G40" s="766"/>
      <c r="H40" s="76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5">
      <selection activeCell="E52" sqref="E52"/>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t="s">
        <v>811</v>
      </c>
      <c r="D24" s="120">
        <v>1150</v>
      </c>
      <c r="E24" s="120">
        <v>966</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966</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1150</v>
      </c>
      <c r="E33" s="122"/>
    </row>
    <row r="34" spans="1:5" ht="16.5" thickTop="1">
      <c r="A34" s="98" t="s">
        <v>278</v>
      </c>
      <c r="B34" s="98"/>
      <c r="C34" s="98"/>
      <c r="D34" s="98"/>
      <c r="E34" s="122"/>
    </row>
    <row r="35" spans="1:5" ht="15.75">
      <c r="A35" s="98">
        <v>1</v>
      </c>
      <c r="B35" s="131" t="s">
        <v>812</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1.636</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1.636</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951</v>
      </c>
    </row>
    <row r="51" spans="1:5" ht="15.75">
      <c r="A51" s="136" t="str">
        <f>CONCATENATE("Assessed Valuation (",D11-2," budget column):")</f>
        <v>Assessed Valuation (2012 budget column):</v>
      </c>
      <c r="B51" s="112"/>
      <c r="C51" s="98"/>
      <c r="D51" s="98"/>
      <c r="E51" s="137">
        <v>455896</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4.25">
      <c r="A8" s="446"/>
      <c r="B8" s="779" t="s">
        <v>591</v>
      </c>
      <c r="C8" s="779"/>
      <c r="D8" s="779"/>
      <c r="E8" s="779"/>
      <c r="F8" s="779"/>
      <c r="G8" s="779"/>
      <c r="H8" s="779"/>
      <c r="I8" s="779"/>
      <c r="J8" s="779"/>
      <c r="K8" s="779"/>
      <c r="L8" s="446"/>
    </row>
    <row r="9" spans="1:12" ht="14.25">
      <c r="A9" s="446"/>
      <c r="L9" s="446"/>
    </row>
    <row r="10" spans="1:12" ht="14.25">
      <c r="A10" s="446"/>
      <c r="B10" s="779" t="s">
        <v>592</v>
      </c>
      <c r="C10" s="779"/>
      <c r="D10" s="779"/>
      <c r="E10" s="779"/>
      <c r="F10" s="779"/>
      <c r="G10" s="779"/>
      <c r="H10" s="779"/>
      <c r="I10" s="779"/>
      <c r="J10" s="779"/>
      <c r="K10" s="779"/>
      <c r="L10" s="446"/>
    </row>
    <row r="11" spans="1:12" ht="14.2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1">
        <v>312000000</v>
      </c>
      <c r="G23" s="781"/>
      <c r="L23" s="446"/>
    </row>
    <row r="24" spans="1:12" ht="14.25">
      <c r="A24" s="446"/>
      <c r="L24" s="446"/>
    </row>
    <row r="25" spans="1:12" ht="14.25">
      <c r="A25" s="446"/>
      <c r="C25" s="782">
        <f>F23</f>
        <v>312000000</v>
      </c>
      <c r="D25" s="78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4.25">
      <c r="A31" s="446"/>
      <c r="B31" s="779" t="s">
        <v>602</v>
      </c>
      <c r="C31" s="779"/>
      <c r="D31" s="779"/>
      <c r="E31" s="779"/>
      <c r="F31" s="779"/>
      <c r="G31" s="779"/>
      <c r="H31" s="779"/>
      <c r="I31" s="779"/>
      <c r="J31" s="779"/>
      <c r="K31" s="779"/>
      <c r="L31" s="446"/>
    </row>
    <row r="32" spans="1:12" ht="14.25">
      <c r="A32" s="446"/>
      <c r="L32" s="446"/>
    </row>
    <row r="33" spans="1:12" ht="14.25">
      <c r="A33" s="446"/>
      <c r="B33" s="779" t="s">
        <v>603</v>
      </c>
      <c r="C33" s="779"/>
      <c r="D33" s="779"/>
      <c r="E33" s="779"/>
      <c r="F33" s="779"/>
      <c r="G33" s="779"/>
      <c r="H33" s="779"/>
      <c r="I33" s="779"/>
      <c r="J33" s="779"/>
      <c r="K33" s="779"/>
      <c r="L33" s="446"/>
    </row>
    <row r="34" spans="1:12" ht="14.25">
      <c r="A34" s="446"/>
      <c r="L34" s="446"/>
    </row>
    <row r="35" spans="1:12" ht="89.25" customHeight="1">
      <c r="A35" s="446"/>
      <c r="B35" s="780" t="s">
        <v>604</v>
      </c>
      <c r="C35" s="784"/>
      <c r="D35" s="784"/>
      <c r="E35" s="784"/>
      <c r="F35" s="784"/>
      <c r="G35" s="784"/>
      <c r="H35" s="784"/>
      <c r="I35" s="784"/>
      <c r="J35" s="784"/>
      <c r="K35" s="784"/>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785">
        <v>312000000</v>
      </c>
      <c r="D41" s="785"/>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86">
        <v>312000000</v>
      </c>
      <c r="C48" s="781"/>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87" t="s">
        <v>612</v>
      </c>
      <c r="H50" s="788"/>
      <c r="I50" s="584" t="s">
        <v>598</v>
      </c>
      <c r="J50" s="466">
        <f>B50/F50</f>
        <v>0.16025641025641027</v>
      </c>
      <c r="K50" s="458"/>
      <c r="L50" s="446"/>
    </row>
    <row r="51" spans="1:15" ht="1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4.25">
      <c r="A53" s="446"/>
      <c r="B53" s="779" t="s">
        <v>614</v>
      </c>
      <c r="C53" s="779"/>
      <c r="D53" s="779"/>
      <c r="E53" s="779"/>
      <c r="F53" s="779"/>
      <c r="G53" s="779"/>
      <c r="H53" s="779"/>
      <c r="I53" s="779"/>
      <c r="J53" s="779"/>
      <c r="K53" s="779"/>
      <c r="L53" s="446"/>
    </row>
    <row r="54" spans="1:12" ht="14.25">
      <c r="A54" s="446"/>
      <c r="B54" s="588"/>
      <c r="C54" s="588"/>
      <c r="D54" s="588"/>
      <c r="E54" s="588"/>
      <c r="F54" s="588"/>
      <c r="G54" s="588"/>
      <c r="H54" s="588"/>
      <c r="I54" s="588"/>
      <c r="J54" s="588"/>
      <c r="K54" s="588"/>
      <c r="L54" s="446"/>
    </row>
    <row r="55" spans="1:12" ht="14.2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1">
        <v>312000000</v>
      </c>
      <c r="D74" s="781"/>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1">
        <v>50000</v>
      </c>
      <c r="D77" s="781"/>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1">
        <v>100000</v>
      </c>
      <c r="D80" s="781"/>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4.25">
      <c r="A86" s="446"/>
      <c r="B86" s="775" t="s">
        <v>632</v>
      </c>
      <c r="C86" s="775"/>
      <c r="D86" s="775"/>
      <c r="E86" s="775"/>
      <c r="F86" s="775"/>
      <c r="G86" s="775"/>
      <c r="H86" s="775"/>
      <c r="I86" s="775"/>
      <c r="J86" s="775"/>
      <c r="K86" s="775"/>
      <c r="L86" s="446"/>
    </row>
    <row r="87" spans="1:12" ht="14.25">
      <c r="A87" s="446"/>
      <c r="B87" s="480"/>
      <c r="C87" s="480"/>
      <c r="D87" s="480"/>
      <c r="E87" s="480"/>
      <c r="F87" s="480"/>
      <c r="G87" s="480"/>
      <c r="H87" s="480"/>
      <c r="I87" s="480"/>
      <c r="J87" s="480"/>
      <c r="K87" s="480"/>
      <c r="L87" s="446"/>
    </row>
    <row r="88" spans="1:12" ht="14.25">
      <c r="A88" s="446"/>
      <c r="B88" s="775" t="s">
        <v>633</v>
      </c>
      <c r="C88" s="775"/>
      <c r="D88" s="775"/>
      <c r="E88" s="775"/>
      <c r="F88" s="775"/>
      <c r="G88" s="775"/>
      <c r="H88" s="775"/>
      <c r="I88" s="775"/>
      <c r="J88" s="775"/>
      <c r="K88" s="775"/>
      <c r="L88" s="446"/>
    </row>
    <row r="89" spans="1:12" ht="14.2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1">
        <v>312000000</v>
      </c>
      <c r="D114" s="781"/>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1">
        <v>2500000</v>
      </c>
      <c r="D120" s="781"/>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4.25">
      <c r="A126" s="446"/>
      <c r="B126" s="775" t="s">
        <v>639</v>
      </c>
      <c r="C126" s="775"/>
      <c r="D126" s="775"/>
      <c r="E126" s="775"/>
      <c r="F126" s="775"/>
      <c r="G126" s="775"/>
      <c r="H126" s="775"/>
      <c r="I126" s="775"/>
      <c r="J126" s="775"/>
      <c r="K126" s="775"/>
      <c r="L126" s="492"/>
    </row>
    <row r="127" spans="1:12" ht="14.25">
      <c r="A127" s="446"/>
      <c r="B127" s="588"/>
      <c r="C127" s="588"/>
      <c r="D127" s="588"/>
      <c r="E127" s="588"/>
      <c r="F127" s="588"/>
      <c r="G127" s="588"/>
      <c r="H127" s="588"/>
      <c r="I127" s="588"/>
      <c r="J127" s="588"/>
      <c r="K127" s="588"/>
      <c r="L127" s="492"/>
    </row>
    <row r="128" spans="1:12" ht="14.25">
      <c r="A128" s="446"/>
      <c r="B128" s="775" t="s">
        <v>640</v>
      </c>
      <c r="C128" s="775"/>
      <c r="D128" s="775"/>
      <c r="E128" s="775"/>
      <c r="F128" s="775"/>
      <c r="G128" s="775"/>
      <c r="H128" s="775"/>
      <c r="I128" s="775"/>
      <c r="J128" s="775"/>
      <c r="K128" s="775"/>
      <c r="L128" s="492"/>
    </row>
    <row r="129" spans="1:12" ht="14.2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96" t="s">
        <v>642</v>
      </c>
      <c r="D133" s="796"/>
      <c r="E133" s="456"/>
      <c r="F133" s="584" t="s">
        <v>643</v>
      </c>
      <c r="G133" s="456"/>
      <c r="H133" s="796" t="s">
        <v>628</v>
      </c>
      <c r="I133" s="796"/>
      <c r="J133" s="456"/>
      <c r="K133" s="458"/>
      <c r="L133" s="446"/>
    </row>
    <row r="134" spans="1:12" ht="14.25">
      <c r="A134" s="446"/>
      <c r="B134" s="464" t="s">
        <v>621</v>
      </c>
      <c r="C134" s="781">
        <v>100000</v>
      </c>
      <c r="D134" s="781"/>
      <c r="E134" s="584" t="s">
        <v>21</v>
      </c>
      <c r="F134" s="584">
        <v>0.115</v>
      </c>
      <c r="G134" s="584" t="s">
        <v>598</v>
      </c>
      <c r="H134" s="797">
        <f>C134*F134</f>
        <v>11500</v>
      </c>
      <c r="I134" s="79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98" t="s">
        <v>628</v>
      </c>
      <c r="D136" s="798"/>
      <c r="E136" s="474"/>
      <c r="F136" s="580" t="s">
        <v>644</v>
      </c>
      <c r="G136" s="580"/>
      <c r="H136" s="474"/>
      <c r="I136" s="474"/>
      <c r="J136" s="474" t="s">
        <v>645</v>
      </c>
      <c r="K136" s="475"/>
      <c r="L136" s="446"/>
    </row>
    <row r="137" spans="1:12" ht="14.2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97" t="s">
        <v>649</v>
      </c>
      <c r="D147" s="797"/>
      <c r="E147" s="584"/>
      <c r="F147" s="510" t="s">
        <v>650</v>
      </c>
      <c r="G147" s="584"/>
      <c r="H147" s="584"/>
      <c r="I147" s="584"/>
      <c r="J147" s="802" t="s">
        <v>651</v>
      </c>
      <c r="K147" s="803"/>
      <c r="L147" s="446"/>
    </row>
    <row r="148" spans="1:12" ht="14.25">
      <c r="A148" s="446"/>
      <c r="B148" s="464"/>
      <c r="C148" s="804">
        <v>52.869</v>
      </c>
      <c r="D148" s="804"/>
      <c r="E148" s="584" t="s">
        <v>21</v>
      </c>
      <c r="F148" s="585">
        <v>312000000</v>
      </c>
      <c r="G148" s="515" t="s">
        <v>599</v>
      </c>
      <c r="H148" s="584">
        <v>1000</v>
      </c>
      <c r="I148" s="584" t="s">
        <v>598</v>
      </c>
      <c r="J148" s="802">
        <f>C148*(F148/1000)</f>
        <v>16495128</v>
      </c>
      <c r="K148" s="805"/>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0">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Czech Moravian Cem</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Marshall County </v>
      </c>
      <c r="B7" s="20"/>
      <c r="C7" s="20"/>
      <c r="D7" s="11">
        <v>611260</v>
      </c>
      <c r="E7" s="24"/>
    </row>
    <row r="8" spans="1:5" ht="15.75">
      <c r="A8" s="27" t="str">
        <f>inputPrYr!$D$6</f>
        <v>Riley County </v>
      </c>
      <c r="B8" s="20"/>
      <c r="C8" s="20"/>
      <c r="D8" s="11">
        <v>134709</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745969</v>
      </c>
    </row>
    <row r="13" spans="1:5" ht="16.5" thickTop="1">
      <c r="A13" s="62" t="str">
        <f>CONCATENATE("New Improvements for ",inputPrYr!D11-1,":")</f>
        <v>New Improvements for 2013:</v>
      </c>
      <c r="B13" s="20"/>
      <c r="C13" s="20"/>
      <c r="D13" s="20"/>
      <c r="E13" s="59"/>
    </row>
    <row r="14" spans="1:5" ht="15.75">
      <c r="A14" s="27" t="str">
        <f>inputPrYr!$D$4</f>
        <v>Marshall County </v>
      </c>
      <c r="B14" s="20"/>
      <c r="C14" s="20"/>
      <c r="D14" s="50">
        <v>24894</v>
      </c>
      <c r="E14" s="14"/>
    </row>
    <row r="15" spans="1:5" ht="15.75">
      <c r="A15" s="27" t="str">
        <f>inputPrYr!$D$6</f>
        <v>Riley County </v>
      </c>
      <c r="B15" s="20"/>
      <c r="C15" s="20"/>
      <c r="D15" s="13">
        <v>0</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24894</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Marshall County </v>
      </c>
      <c r="B21" s="20"/>
      <c r="C21" s="20"/>
      <c r="D21" s="50">
        <v>13030</v>
      </c>
      <c r="E21" s="14"/>
    </row>
    <row r="22" spans="1:5" ht="15.75">
      <c r="A22" s="27" t="str">
        <f>inputPrYr!$D$6</f>
        <v>Riley County </v>
      </c>
      <c r="B22" s="20"/>
      <c r="C22" s="20"/>
      <c r="D22" s="50">
        <v>358</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13388</v>
      </c>
    </row>
    <row r="27" spans="1:5" ht="16.5" thickTop="1">
      <c r="A27" s="62" t="str">
        <f>CONCATENATE("Property that has changed in use for ",inputPrYr!D11-1,":")</f>
        <v>Property that has changed in use for 2013:</v>
      </c>
      <c r="B27" s="20"/>
      <c r="C27" s="20"/>
      <c r="D27" s="20"/>
      <c r="E27" s="59"/>
    </row>
    <row r="28" spans="1:5" ht="15.75">
      <c r="A28" s="27" t="str">
        <f>inputPrYr!$D$4</f>
        <v>Marshall County </v>
      </c>
      <c r="B28" s="20"/>
      <c r="C28" s="20"/>
      <c r="D28" s="50">
        <v>2391</v>
      </c>
      <c r="E28" s="14"/>
    </row>
    <row r="29" spans="1:5" ht="15.75">
      <c r="A29" s="27" t="str">
        <f>inputPrYr!$D$6</f>
        <v>Riley County </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2391</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Marshall County </v>
      </c>
      <c r="B35" s="20"/>
      <c r="C35" s="20"/>
      <c r="D35" s="80">
        <v>1065</v>
      </c>
      <c r="E35" s="59"/>
    </row>
    <row r="36" spans="1:5" ht="15.75">
      <c r="A36" s="27" t="str">
        <f>inputPrYr!$D$6</f>
        <v>Riley County </v>
      </c>
      <c r="B36" s="20"/>
      <c r="C36" s="20"/>
      <c r="D36" s="81">
        <v>398</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1463</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1.514</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1.514</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Marshall County </v>
      </c>
      <c r="B55" s="36"/>
      <c r="C55" s="36"/>
      <c r="D55" s="80">
        <v>508441</v>
      </c>
      <c r="E55" s="36"/>
    </row>
    <row r="56" spans="1:5" ht="15.75">
      <c r="A56" s="27" t="str">
        <f>inputPrYr!$D$6</f>
        <v>Riley County </v>
      </c>
      <c r="B56" s="36"/>
      <c r="C56" s="36"/>
      <c r="D56" s="81">
        <v>129733</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638174</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Marshall County </v>
      </c>
      <c r="B64" s="14"/>
      <c r="C64" s="14"/>
      <c r="D64" s="11">
        <v>47.32</v>
      </c>
      <c r="E64" s="24"/>
    </row>
    <row r="65" spans="1:5" ht="15.75">
      <c r="A65" s="27" t="str">
        <f>inputPrYr!$D$6</f>
        <v>Riley County </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47.32</v>
      </c>
    </row>
    <row r="70" spans="1:5" ht="16.5" thickTop="1">
      <c r="A70" s="63" t="s">
        <v>147</v>
      </c>
      <c r="B70" s="14"/>
      <c r="C70" s="14"/>
      <c r="D70" s="14"/>
      <c r="E70" s="49"/>
    </row>
    <row r="71" spans="1:5" ht="15.75">
      <c r="A71" s="27" t="str">
        <f>inputPrYr!$D$4</f>
        <v>Marshall County </v>
      </c>
      <c r="B71" s="14"/>
      <c r="C71" s="14"/>
      <c r="D71" s="11">
        <v>10.81</v>
      </c>
      <c r="E71" s="24"/>
    </row>
    <row r="72" spans="1:5" ht="15.75">
      <c r="A72" s="27" t="str">
        <f>inputPrYr!$D$6</f>
        <v>Riley County </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10.81</v>
      </c>
    </row>
    <row r="77" spans="1:5" ht="16.5" thickTop="1">
      <c r="A77" s="63" t="s">
        <v>143</v>
      </c>
      <c r="B77" s="14"/>
      <c r="C77" s="14"/>
      <c r="D77" s="14"/>
      <c r="E77" s="49"/>
    </row>
    <row r="78" spans="1:5" ht="15.75">
      <c r="A78" s="27" t="str">
        <f>inputPrYr!$D$4</f>
        <v>Marshall County </v>
      </c>
      <c r="B78" s="14"/>
      <c r="C78" s="14"/>
      <c r="D78" s="11">
        <v>145.4</v>
      </c>
      <c r="E78" s="24"/>
    </row>
    <row r="79" spans="1:5" ht="15.75">
      <c r="A79" s="27" t="str">
        <f>inputPrYr!$D$6</f>
        <v>Riley County </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145.4</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Marshall County </v>
      </c>
      <c r="B89" s="21"/>
      <c r="C89" s="91"/>
      <c r="D89" s="61"/>
      <c r="E89" s="51"/>
    </row>
    <row r="90" spans="1:5" ht="15.75">
      <c r="A90" s="27" t="str">
        <f>inputPrYr!$D$6</f>
        <v>Riley County </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1050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K16" sqref="K16"/>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816</v>
      </c>
      <c r="C3" s="642"/>
      <c r="D3" s="642"/>
      <c r="E3" s="642"/>
      <c r="F3" s="642"/>
      <c r="J3" s="654" t="s">
        <v>767</v>
      </c>
    </row>
    <row r="4" spans="1:10" ht="15" customHeight="1">
      <c r="A4" s="641"/>
      <c r="B4" s="642"/>
      <c r="C4" s="642"/>
      <c r="D4" s="642"/>
      <c r="E4" s="642"/>
      <c r="F4" s="642"/>
      <c r="J4" s="654" t="s">
        <v>768</v>
      </c>
    </row>
    <row r="5" spans="1:10" ht="15" customHeight="1">
      <c r="A5" s="1" t="s">
        <v>764</v>
      </c>
      <c r="B5" s="388" t="s">
        <v>817</v>
      </c>
      <c r="J5" s="654" t="s">
        <v>769</v>
      </c>
    </row>
    <row r="6" spans="1:10" ht="15.75">
      <c r="A6" s="385"/>
      <c r="B6" s="385"/>
      <c r="C6" s="385"/>
      <c r="D6" s="386"/>
      <c r="E6" s="385"/>
      <c r="F6" s="385"/>
      <c r="J6" s="654" t="s">
        <v>770</v>
      </c>
    </row>
    <row r="7" spans="1:10" ht="15.75">
      <c r="A7" s="387" t="s">
        <v>335</v>
      </c>
      <c r="B7" s="388" t="s">
        <v>818</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August 29, 2013</v>
      </c>
      <c r="E8" s="385"/>
      <c r="F8" s="385"/>
      <c r="J8" s="654" t="s">
        <v>772</v>
      </c>
    </row>
    <row r="9" spans="1:10" ht="15.75">
      <c r="A9" s="387" t="s">
        <v>336</v>
      </c>
      <c r="B9" s="388" t="s">
        <v>819</v>
      </c>
      <c r="C9" s="392"/>
      <c r="D9" s="387"/>
      <c r="E9" s="385"/>
      <c r="F9" s="385"/>
      <c r="J9" s="654" t="s">
        <v>773</v>
      </c>
    </row>
    <row r="10" spans="1:10" ht="15.75">
      <c r="A10" s="387"/>
      <c r="B10" s="387"/>
      <c r="C10" s="387"/>
      <c r="D10" s="387"/>
      <c r="E10" s="385"/>
      <c r="F10" s="385"/>
      <c r="J10" s="654" t="s">
        <v>774</v>
      </c>
    </row>
    <row r="11" spans="1:10" ht="15.75">
      <c r="A11" s="387" t="s">
        <v>337</v>
      </c>
      <c r="B11" s="393" t="s">
        <v>820</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820</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August</v>
      </c>
    </row>
    <row r="19" spans="1:9" ht="15.75">
      <c r="A19" s="387" t="s">
        <v>335</v>
      </c>
      <c r="B19" s="390" t="s">
        <v>340</v>
      </c>
      <c r="C19" s="387"/>
      <c r="D19" s="387"/>
      <c r="E19" s="387"/>
      <c r="I19" s="656" t="str">
        <f>IF(B7="","",CONCATENATE("J",I21))</f>
        <v>J8</v>
      </c>
    </row>
    <row r="20" spans="1:9" ht="15.75">
      <c r="A20" s="387"/>
      <c r="B20" s="387"/>
      <c r="C20" s="387"/>
      <c r="D20" s="387"/>
      <c r="E20" s="387"/>
      <c r="I20" s="657">
        <f>B7-10</f>
        <v>41515</v>
      </c>
    </row>
    <row r="21" spans="1:9" ht="15.75">
      <c r="A21" s="387" t="s">
        <v>336</v>
      </c>
      <c r="B21" s="387" t="s">
        <v>341</v>
      </c>
      <c r="C21" s="387"/>
      <c r="D21" s="387"/>
      <c r="E21" s="387"/>
      <c r="I21" s="658">
        <f>IF(B7="","",MONTH(I20))</f>
        <v>8</v>
      </c>
    </row>
    <row r="22" spans="1:9" ht="15.75">
      <c r="A22" s="387"/>
      <c r="B22" s="387"/>
      <c r="C22" s="387"/>
      <c r="D22" s="387"/>
      <c r="E22" s="387"/>
      <c r="I22" s="659">
        <f>IF(B7="","",DAY(I20))</f>
        <v>29</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07" t="s">
        <v>72</v>
      </c>
      <c r="B2" s="707"/>
      <c r="C2" s="707"/>
      <c r="D2" s="707"/>
      <c r="E2" s="707"/>
      <c r="F2" s="707"/>
      <c r="G2" s="707"/>
    </row>
    <row r="3" spans="1:7" ht="15.75">
      <c r="A3" s="98"/>
      <c r="B3" s="98"/>
      <c r="C3" s="98"/>
      <c r="D3" s="98"/>
      <c r="E3" s="98"/>
      <c r="F3" s="98"/>
      <c r="G3" s="108">
        <f>inputPrYr!D11</f>
        <v>2014</v>
      </c>
    </row>
    <row r="4" spans="1:7" ht="15.75">
      <c r="A4" s="710" t="str">
        <f>CONCATENATE("To the Clerk of ",inputPrYr!D4,", State of Kansas")</f>
        <v>To the Clerk of Marshall County , State of Kansas</v>
      </c>
      <c r="B4" s="710"/>
      <c r="C4" s="710"/>
      <c r="D4" s="710"/>
      <c r="E4" s="710"/>
      <c r="F4" s="710"/>
      <c r="G4" s="710"/>
    </row>
    <row r="5" spans="1:7" ht="15.75">
      <c r="A5" s="148" t="s">
        <v>172</v>
      </c>
      <c r="B5" s="108"/>
      <c r="C5" s="108"/>
      <c r="D5" s="108"/>
      <c r="E5" s="108"/>
      <c r="F5" s="108"/>
      <c r="G5" s="108"/>
    </row>
    <row r="6" spans="1:7" ht="15.75">
      <c r="A6" s="689" t="str">
        <f>inputPrYr!D3</f>
        <v>Czech Moravian Cem</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1" t="str">
        <f>CONCATENATE("",G3," Adopted Budget")</f>
        <v>2014 Adopted Budget</v>
      </c>
      <c r="F12" s="712"/>
      <c r="G12" s="713"/>
    </row>
    <row r="13" spans="1:8" ht="15.75">
      <c r="A13" s="97"/>
      <c r="B13" s="98"/>
      <c r="C13" s="98"/>
      <c r="D13" s="125"/>
      <c r="E13" s="205" t="s">
        <v>11</v>
      </c>
      <c r="F13" s="708" t="str">
        <f>CONCATENATE("Amount of  ",G3-1," Ad Valorem Tax")</f>
        <v>Amount of  2013 Ad Valorem Tax</v>
      </c>
      <c r="G13" s="206" t="s">
        <v>12</v>
      </c>
      <c r="H13" s="207"/>
    </row>
    <row r="14" spans="1:7" ht="15.75">
      <c r="A14" s="98"/>
      <c r="B14" s="98"/>
      <c r="C14" s="98"/>
      <c r="D14" s="208" t="s">
        <v>13</v>
      </c>
      <c r="E14" s="154" t="s">
        <v>220</v>
      </c>
      <c r="F14" s="709"/>
      <c r="G14" s="206" t="s">
        <v>14</v>
      </c>
    </row>
    <row r="15" spans="1:7" ht="15.75">
      <c r="A15" s="99" t="s">
        <v>15</v>
      </c>
      <c r="B15" s="98"/>
      <c r="C15" s="98"/>
      <c r="D15" s="154" t="s">
        <v>16</v>
      </c>
      <c r="E15" s="154" t="s">
        <v>578</v>
      </c>
      <c r="F15" s="709"/>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15-1015</v>
      </c>
      <c r="D22" s="193">
        <v>6</v>
      </c>
      <c r="E22" s="221">
        <f>IF(gen!$E$61&lt;&gt;0,gen!$E$61,"  ")</f>
        <v>1400</v>
      </c>
      <c r="F22" s="221">
        <f>IF(gen!$E$68&lt;&gt;0,gen!$E$68,"  ")</f>
        <v>1159.39</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t="str">
        <f>IF((inputPrYr!$B$35&gt;" "),(NonBud!$A$3),"")</f>
        <v>Non-Budgeted Funds</v>
      </c>
      <c r="B28" s="226"/>
      <c r="C28" s="206"/>
      <c r="D28" s="193">
        <f>IF(NonBud!F33&gt;0,NonBud!F33,"")</f>
        <v>7</v>
      </c>
      <c r="E28" s="227"/>
      <c r="F28" s="228"/>
      <c r="G28" s="664"/>
    </row>
    <row r="29" spans="1:7" ht="16.5" thickBot="1">
      <c r="A29" s="229" t="s">
        <v>127</v>
      </c>
      <c r="B29" s="223"/>
      <c r="C29" s="217"/>
      <c r="D29" s="230" t="s">
        <v>21</v>
      </c>
      <c r="E29" s="231">
        <f>SUM(E22:E27)</f>
        <v>1400</v>
      </c>
      <c r="F29" s="169">
        <f>SUM(F22:F27)</f>
        <v>1159.39</v>
      </c>
      <c r="G29" s="665">
        <f>IF(SUM(G22:G27)=0,"",SUM(G22:G27))</f>
      </c>
    </row>
    <row r="30" spans="1:7" ht="16.5" thickTop="1">
      <c r="A30" s="219" t="s">
        <v>202</v>
      </c>
      <c r="B30" s="223"/>
      <c r="C30" s="217"/>
      <c r="D30" s="232">
        <f>summ!E42</f>
        <v>8</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6" t="s">
        <v>129</v>
      </c>
      <c r="G33" s="713"/>
    </row>
    <row r="34" spans="1:7" ht="15.75">
      <c r="A34" s="98" t="s">
        <v>332</v>
      </c>
      <c r="B34" s="98"/>
      <c r="C34" s="97" t="s">
        <v>22</v>
      </c>
      <c r="D34" s="219" t="str">
        <f>inputPrYr!D4</f>
        <v>Marshall County </v>
      </c>
      <c r="E34" s="223"/>
      <c r="F34" s="717"/>
      <c r="G34" s="718"/>
    </row>
    <row r="35" spans="1:7" ht="15.75">
      <c r="A35" s="237"/>
      <c r="B35" s="237"/>
      <c r="C35" s="97" t="s">
        <v>22</v>
      </c>
      <c r="D35" s="219" t="str">
        <f>inputPrYr!D6</f>
        <v>Riley County </v>
      </c>
      <c r="E35" s="223"/>
      <c r="F35" s="717"/>
      <c r="G35" s="718"/>
    </row>
    <row r="36" spans="1:7" ht="15.75">
      <c r="A36" s="238"/>
      <c r="B36" s="238"/>
      <c r="C36" s="97" t="s">
        <v>22</v>
      </c>
      <c r="D36" s="219">
        <f>inputPrYr!D7</f>
        <v>0</v>
      </c>
      <c r="E36" s="223"/>
      <c r="F36" s="717"/>
      <c r="G36" s="718"/>
    </row>
    <row r="37" spans="1:7" ht="15.75">
      <c r="A37" s="101" t="s">
        <v>333</v>
      </c>
      <c r="B37" s="213"/>
      <c r="C37" s="97" t="s">
        <v>22</v>
      </c>
      <c r="D37" s="219">
        <f>inputPrYr!D8</f>
        <v>0</v>
      </c>
      <c r="E37" s="223"/>
      <c r="F37" s="717"/>
      <c r="G37" s="718"/>
    </row>
    <row r="38" spans="1:7" ht="15.75">
      <c r="A38" s="237"/>
      <c r="B38" s="237"/>
      <c r="C38" s="97" t="s">
        <v>22</v>
      </c>
      <c r="D38" s="219">
        <f>inputPrYr!D9</f>
        <v>0</v>
      </c>
      <c r="E38" s="223"/>
      <c r="F38" s="717"/>
      <c r="G38" s="718"/>
    </row>
    <row r="39" spans="1:7" ht="15.75">
      <c r="A39" s="238"/>
      <c r="B39" s="238"/>
      <c r="C39" s="97" t="s">
        <v>22</v>
      </c>
      <c r="D39" s="219" t="s">
        <v>150</v>
      </c>
      <c r="E39" s="223"/>
      <c r="F39" s="719">
        <f>SUM(F34:F38)</f>
        <v>0</v>
      </c>
      <c r="G39" s="720"/>
    </row>
    <row r="40" spans="1:7" ht="15.75">
      <c r="A40" s="238"/>
      <c r="B40" s="238"/>
      <c r="C40" s="97" t="s">
        <v>22</v>
      </c>
      <c r="D40" s="97" t="s">
        <v>22</v>
      </c>
      <c r="E40" s="105"/>
      <c r="F40" s="716" t="str">
        <f>CONCATENATE("November 1, ",G3-1," Valuation")</f>
        <v>November 1, 2013 Valuation</v>
      </c>
      <c r="G40" s="718"/>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21"/>
      <c r="B50" s="722"/>
      <c r="C50" s="98"/>
      <c r="D50" s="105" t="s">
        <v>778</v>
      </c>
      <c r="E50" s="105"/>
      <c r="F50" s="105"/>
      <c r="G50" s="105"/>
    </row>
    <row r="51" spans="1:7" ht="15.75">
      <c r="A51" s="108" t="s">
        <v>24</v>
      </c>
      <c r="B51" s="108"/>
      <c r="C51" s="98"/>
      <c r="D51" s="714" t="s">
        <v>23</v>
      </c>
      <c r="E51" s="715"/>
      <c r="F51" s="715"/>
      <c r="G51" s="715"/>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06"/>
    </row>
    <row r="55" spans="1:7" ht="15.75">
      <c r="A55" s="96"/>
      <c r="B55" s="96"/>
      <c r="C55" s="96"/>
      <c r="D55" s="96"/>
      <c r="E55" s="96"/>
      <c r="F55" s="96"/>
      <c r="G55" s="706"/>
    </row>
    <row r="56" spans="1:7" ht="15.75">
      <c r="A56" s="96"/>
      <c r="B56" s="96"/>
      <c r="C56" s="96"/>
      <c r="D56" s="96"/>
      <c r="E56" s="96"/>
      <c r="F56" s="96"/>
      <c r="G56" s="706"/>
    </row>
    <row r="57" spans="1:7" ht="15.75">
      <c r="A57" s="96"/>
      <c r="B57" s="96"/>
      <c r="C57" s="96"/>
      <c r="D57" s="96"/>
      <c r="E57" s="96"/>
      <c r="F57" s="96"/>
      <c r="G57" s="706"/>
    </row>
    <row r="58" spans="1:7" ht="15.75">
      <c r="A58" s="96"/>
      <c r="B58" s="96"/>
      <c r="C58" s="96"/>
      <c r="D58" s="239"/>
      <c r="E58" s="96"/>
      <c r="F58" s="96"/>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Czech Moravian Cem</v>
      </c>
      <c r="D1" s="98"/>
      <c r="E1" s="98"/>
      <c r="F1" s="98"/>
      <c r="G1" s="98"/>
      <c r="H1" s="98"/>
      <c r="I1" s="98"/>
      <c r="J1" s="98">
        <f>inputPrYr!D11</f>
        <v>2014</v>
      </c>
    </row>
    <row r="2" spans="1:10" ht="15.75" customHeight="1">
      <c r="A2" s="98"/>
      <c r="B2" s="98"/>
      <c r="C2" s="98" t="str">
        <f>inputPrYr!D4</f>
        <v>Marshall County </v>
      </c>
      <c r="D2" s="98"/>
      <c r="E2" s="98"/>
      <c r="F2" s="98"/>
      <c r="G2" s="98"/>
      <c r="H2" s="98"/>
      <c r="I2" s="98"/>
      <c r="J2" s="98"/>
    </row>
    <row r="3" spans="1:10" ht="15.75">
      <c r="A3" s="723" t="str">
        <f>CONCATENATE("Computation to Determine Limit for ",J1,"")</f>
        <v>Computation to Determine Limit for 2014</v>
      </c>
      <c r="B3" s="707"/>
      <c r="C3" s="707"/>
      <c r="D3" s="707"/>
      <c r="E3" s="707"/>
      <c r="F3" s="707"/>
      <c r="G3" s="707"/>
      <c r="H3" s="707"/>
      <c r="I3" s="707"/>
      <c r="J3" s="707"/>
    </row>
    <row r="4" spans="1:10" ht="15.75">
      <c r="A4" s="98"/>
      <c r="B4" s="98"/>
      <c r="C4" s="98"/>
      <c r="D4" s="98"/>
      <c r="E4" s="707"/>
      <c r="F4" s="707"/>
      <c r="G4" s="707"/>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966</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966</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24894</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13388</v>
      </c>
      <c r="F14" s="243"/>
      <c r="G14" s="122"/>
      <c r="H14" s="122"/>
      <c r="I14" s="246"/>
      <c r="J14" s="122"/>
    </row>
    <row r="15" spans="1:10" ht="15.75">
      <c r="A15" s="242"/>
      <c r="B15" s="98" t="s">
        <v>92</v>
      </c>
      <c r="C15" s="98" t="str">
        <f>CONCATENATE("Personal Property ",J1-2,"")</f>
        <v>Personal Property 2012</v>
      </c>
      <c r="D15" s="242" t="s">
        <v>88</v>
      </c>
      <c r="E15" s="245">
        <f>inputOth!E40</f>
        <v>1463</v>
      </c>
      <c r="F15" s="243"/>
      <c r="G15" s="246"/>
      <c r="H15" s="246"/>
      <c r="I15" s="122"/>
      <c r="J15" s="122"/>
    </row>
    <row r="16" spans="1:10" ht="15.75">
      <c r="A16" s="242"/>
      <c r="B16" s="98" t="s">
        <v>93</v>
      </c>
      <c r="C16" s="98" t="s">
        <v>107</v>
      </c>
      <c r="D16" s="98"/>
      <c r="E16" s="122"/>
      <c r="F16" s="122" t="s">
        <v>85</v>
      </c>
      <c r="G16" s="244">
        <f>IF(E14&gt;E15,E14-E15,0)</f>
        <v>11925</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2391</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39210</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745969</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706759</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0.05547860020176609</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54</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1020</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1020</v>
      </c>
    </row>
    <row r="35" spans="1:10" ht="16.5" thickTop="1">
      <c r="A35" s="98"/>
      <c r="B35" s="98"/>
      <c r="C35" s="98"/>
      <c r="D35" s="98"/>
      <c r="E35" s="98"/>
      <c r="F35" s="98"/>
      <c r="G35" s="98"/>
      <c r="H35" s="98"/>
      <c r="I35" s="98"/>
      <c r="J35" s="98"/>
    </row>
    <row r="36" spans="1:10" ht="15.7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Czech Moravian Cem</v>
      </c>
      <c r="C1" s="98"/>
      <c r="D1" s="98"/>
      <c r="E1" s="98"/>
      <c r="F1" s="98"/>
      <c r="G1" s="98"/>
      <c r="H1" s="98"/>
      <c r="I1" s="251"/>
      <c r="J1" s="98"/>
    </row>
    <row r="2" spans="1:10" ht="15.75">
      <c r="A2" s="98"/>
      <c r="B2" s="98" t="str">
        <f>inputPrYr!D4</f>
        <v>Marshall County </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966</v>
      </c>
      <c r="D11" s="159">
        <f>IF(E17=0,0,E17-D12-D13-D14)</f>
        <v>47.32</v>
      </c>
      <c r="E11" s="159">
        <f>IF(E19=0,0,E19-E12-E13-E14)</f>
        <v>10.81</v>
      </c>
      <c r="F11" s="159">
        <f>IF(E21=0,0,E21-F12-F13-F14)</f>
        <v>145.4</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966</v>
      </c>
      <c r="D15" s="167">
        <f>SUM(D11:D14)</f>
        <v>47.32</v>
      </c>
      <c r="E15" s="167">
        <f>SUM(E11:E14)</f>
        <v>10.81</v>
      </c>
      <c r="F15" s="167">
        <f>SUM(F11:F14)</f>
        <v>145.4</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47.32</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10.81</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145.4</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0.04898550724637681</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0.011190476190476192</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0.1505175983436853</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Czech Moravian Cem</v>
      </c>
      <c r="B2" s="259"/>
      <c r="C2" s="98"/>
      <c r="D2" s="98"/>
      <c r="E2" s="251"/>
      <c r="F2" s="98"/>
    </row>
    <row r="3" spans="1:6" ht="15.75">
      <c r="A3" s="259" t="str">
        <f>inputPrYr!D4</f>
        <v>Marshall County </v>
      </c>
      <c r="B3" s="259"/>
      <c r="C3" s="98"/>
      <c r="D3" s="98"/>
      <c r="E3" s="251"/>
      <c r="F3" s="98"/>
    </row>
    <row r="4" spans="1:6" ht="15.7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2012-06-12T13:32:01Z</cp:lastPrinted>
  <dcterms:created xsi:type="dcterms:W3CDTF">1999-08-06T13:59:57Z</dcterms:created>
  <dcterms:modified xsi:type="dcterms:W3CDTF">2013-08-15T17:38:48Z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