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906" firstSheet="4" activeTab="4"/>
  </bookViews>
  <sheets>
    <sheet name="instruction" sheetId="1" r:id="rId1"/>
    <sheet name="input" sheetId="2" r:id="rId2"/>
    <sheet name="inputComp" sheetId="3" r:id="rId3"/>
    <sheet name="inputVehicle" sheetId="4" r:id="rId4"/>
    <sheet name="cert2" sheetId="5" r:id="rId5"/>
    <sheet name="Rd Mound 1" sheetId="6" r:id="rId6"/>
    <sheet name="Rd M 1C" sheetId="7" r:id="rId7"/>
    <sheet name="Peru 2" sheetId="8" r:id="rId8"/>
    <sheet name="Peru 2C" sheetId="9" r:id="rId9"/>
    <sheet name="Fairview-Niotaze 3" sheetId="10" r:id="rId10"/>
    <sheet name="F-N 3C" sheetId="11" r:id="rId11"/>
    <sheet name="Lafayette 4" sheetId="12" r:id="rId12"/>
    <sheet name="Lafay 4C" sheetId="13" r:id="rId13"/>
    <sheet name="Caneyville 5" sheetId="14" r:id="rId14"/>
    <sheet name="Caney 5C" sheetId="15" r:id="rId15"/>
    <sheet name="Salt Creek 6" sheetId="16" r:id="rId16"/>
    <sheet name="Salt Ck 6C" sheetId="17" r:id="rId17"/>
    <sheet name="Hendrick 7" sheetId="18" r:id="rId18"/>
    <sheet name="Hend 7C" sheetId="19" r:id="rId19"/>
    <sheet name="Riley-Wash 8" sheetId="20" r:id="rId20"/>
    <sheet name="R-W 8C" sheetId="21" r:id="rId21"/>
    <sheet name="Sedan-Green 9" sheetId="22" r:id="rId22"/>
    <sheet name="S-G Reserve" sheetId="23" r:id="rId23"/>
    <sheet name="S-G 9C" sheetId="24" r:id="rId24"/>
    <sheet name="Elgin 10" sheetId="25" r:id="rId25"/>
    <sheet name="Elgin 10C" sheetId="26" r:id="rId26"/>
    <sheet name="Center 11" sheetId="27" r:id="rId27"/>
    <sheet name="Center 11C" sheetId="28" r:id="rId28"/>
    <sheet name="Spring Ck 12" sheetId="29" r:id="rId29"/>
    <sheet name="Sp Ck 12C" sheetId="30" r:id="rId30"/>
    <sheet name="Oak Hill-CQ 13" sheetId="31" r:id="rId31"/>
    <sheet name="OH-CQ 13C" sheetId="32" r:id="rId32"/>
    <sheet name="ElCado 14" sheetId="33" r:id="rId33"/>
    <sheet name="ElCado14C" sheetId="34" r:id="rId34"/>
    <sheet name="sum2" sheetId="35" r:id="rId35"/>
    <sheet name="End Blank" sheetId="36" r:id="rId36"/>
    <sheet name="Comp15" sheetId="37" r:id="rId37"/>
    <sheet name="Sheet16" sheetId="38" r:id="rId38"/>
    <sheet name="comp16" sheetId="39" r:id="rId39"/>
    <sheet name="Sheet17" sheetId="40" r:id="rId40"/>
    <sheet name="Comp17" sheetId="41" r:id="rId41"/>
    <sheet name="Sheet18" sheetId="42" r:id="rId42"/>
    <sheet name="Comp18" sheetId="43" r:id="rId43"/>
    <sheet name="Sheet19" sheetId="44" r:id="rId44"/>
    <sheet name="Comp19" sheetId="45" r:id="rId45"/>
    <sheet name="Sheet20" sheetId="46" r:id="rId46"/>
    <sheet name="comp20" sheetId="47" r:id="rId47"/>
    <sheet name="Sheet21" sheetId="48" r:id="rId48"/>
    <sheet name="Comp21" sheetId="49" r:id="rId49"/>
    <sheet name="Sheet22" sheetId="50" r:id="rId50"/>
    <sheet name="Comp22" sheetId="51" r:id="rId51"/>
    <sheet name="Sheet23" sheetId="52" r:id="rId52"/>
    <sheet name="Comp23" sheetId="53" r:id="rId53"/>
    <sheet name="Sheet24" sheetId="54" r:id="rId54"/>
    <sheet name="Comp24" sheetId="55" r:id="rId55"/>
    <sheet name="Sheet25" sheetId="56" r:id="rId56"/>
    <sheet name="Comp25" sheetId="57" r:id="rId57"/>
    <sheet name="Sheet26" sheetId="58" r:id="rId58"/>
    <sheet name="Comp26" sheetId="59" r:id="rId59"/>
    <sheet name="Sheet27" sheetId="60" r:id="rId60"/>
    <sheet name="Comp27" sheetId="61" r:id="rId61"/>
    <sheet name="Sheet28" sheetId="62" r:id="rId62"/>
    <sheet name="Comp28" sheetId="63" r:id="rId63"/>
    <sheet name="Sheet29" sheetId="64" r:id="rId64"/>
    <sheet name="Comp29" sheetId="65" r:id="rId65"/>
    <sheet name="sum3" sheetId="66" r:id="rId66"/>
    <sheet name="addtl tax levy" sheetId="67" r:id="rId67"/>
    <sheet name="addtl no tax levy" sheetId="68" r:id="rId68"/>
    <sheet name="nonbudA" sheetId="69" r:id="rId69"/>
    <sheet name="nonbudB" sheetId="70" r:id="rId70"/>
    <sheet name="resolution" sheetId="71" r:id="rId71"/>
    <sheet name="cert3" sheetId="72" r:id="rId72"/>
    <sheet name="legend" sheetId="73" r:id="rId73"/>
  </sheets>
  <definedNames/>
  <calcPr fullCalcOnLoad="1"/>
</workbook>
</file>

<file path=xl/sharedStrings.xml><?xml version="1.0" encoding="utf-8"?>
<sst xmlns="http://schemas.openxmlformats.org/spreadsheetml/2006/main" count="3323" uniqueCount="347">
  <si>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</si>
  <si>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</si>
  <si>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</si>
  <si>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</si>
  <si>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</si>
  <si>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</si>
  <si>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</si>
  <si>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</si>
  <si>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</si>
  <si>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</si>
  <si>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</si>
  <si>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</si>
  <si>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</si>
  <si>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</si>
  <si>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</si>
  <si>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</si>
  <si>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</si>
  <si>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</si>
  <si>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</si>
  <si>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</si>
  <si>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</si>
  <si>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</si>
  <si>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</si>
  <si>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</si>
  <si>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</si>
  <si>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</si>
  <si>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</si>
  <si>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</si>
  <si>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</si>
  <si>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</si>
  <si>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</si>
  <si>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</si>
  <si>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</si>
  <si>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</si>
  <si>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</si>
  <si>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</si>
  <si>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</si>
  <si>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</si>
  <si>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</si>
  <si>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</si>
  <si>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</si>
  <si>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</si>
  <si>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</si>
  <si>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</si>
  <si>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</si>
  <si>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</si>
  <si>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</si>
  <si>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</si>
  <si>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</si>
  <si>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</si>
  <si>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</si>
  <si>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</si>
  <si>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</si>
  <si>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</si>
  <si>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</si>
  <si>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</si>
  <si>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</si>
  <si>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</si>
  <si>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</si>
  <si>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</si>
  <si>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</si>
  <si>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</si>
  <si>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</si>
  <si>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</si>
  <si>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</si>
  <si>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</si>
  <si>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</si>
  <si>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</si>
  <si>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</si>
  <si>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</si>
  <si>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</si>
  <si>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</si>
  <si>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</si>
  <si>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</si>
  <si>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</si>
  <si>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</si>
  <si>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</si>
  <si>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</si>
  <si>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</si>
  <si>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</si>
  <si>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</si>
  <si>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</si>
  <si>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</si>
  <si>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</si>
  <si>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</si>
  <si>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</si>
  <si>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</si>
  <si>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</si>
  <si>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</si>
  <si>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</si>
  <si>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</si>
  <si>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</si>
  <si>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</si>
  <si>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</si>
  <si>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</si>
  <si>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</si>
  <si>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</si>
  <si>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</si>
  <si>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</si>
  <si>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</si>
  <si>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</si>
  <si>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</si>
  <si>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</si>
  <si>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</si>
  <si>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</si>
  <si>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</si>
  <si>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</si>
  <si>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</si>
  <si>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</si>
  <si>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</si>
  <si>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</si>
  <si>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</si>
  <si>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</si>
  <si>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</si>
  <si>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</si>
  <si>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</si>
  <si>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</si>
  <si>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</si>
  <si>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</si>
  <si>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</si>
  <si>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</si>
  <si>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</si>
  <si>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</si>
  <si>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</si>
  <si>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</si>
  <si>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</si>
  <si>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</si>
  <si>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</si>
  <si>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</si>
  <si>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</si>
  <si>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</si>
  <si>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</si>
  <si>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</si>
  <si>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</si>
  <si>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</si>
  <si>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</si>
  <si>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</si>
  <si>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</si>
  <si>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</si>
  <si>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</si>
  <si>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</si>
  <si>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</si>
  <si>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</si>
  <si>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</si>
  <si>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</si>
  <si>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</si>
  <si>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</si>
  <si>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</si>
  <si>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</si>
  <si>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</si>
  <si>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</si>
  <si>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</si>
  <si>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</si>
  <si>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</si>
  <si>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</si>
  <si>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</si>
  <si>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</si>
  <si>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</si>
  <si>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</si>
  <si>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</si>
  <si>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</si>
  <si>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</si>
  <si>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</si>
  <si>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</si>
  <si>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</si>
  <si>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</si>
  <si>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</si>
  <si>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</si>
  <si>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</si>
  <si>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</si>
  <si>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</si>
  <si>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t>the Actual Tax Rate columns and July 1 Estimate Valuations.</t>
  </si>
  <si>
    <t>County Multiple Special District Spreadsheet</t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</si>
  <si>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</si>
  <si>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</si>
  <si>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</si>
  <si>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</si>
  <si>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</si>
  <si>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</si>
  <si>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</si>
  <si>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</si>
  <si>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</si>
  <si>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</si>
  <si>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</si>
  <si>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</si>
  <si>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</si>
  <si>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</si>
  <si>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</si>
  <si>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</si>
  <si>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</si>
  <si>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</si>
  <si>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The following were changed to this spreadsheet on 8/06/2007</t>
  </si>
  <si>
    <t>2. Certificate page removed the top portion about budget</t>
  </si>
  <si>
    <t>3.Certificate page (3) added the computation of mil levy</t>
  </si>
  <si>
    <t>4. Add Slider to all tax levy pages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</si>
  <si>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</si>
  <si>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</si>
  <si>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</si>
  <si>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</si>
  <si>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</si>
  <si>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</si>
  <si>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</si>
  <si>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</si>
  <si>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</si>
  <si>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</si>
  <si>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</si>
  <si>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</si>
  <si>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</si>
  <si>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t xml:space="preserve">Submitting the Budget </t>
  </si>
  <si>
    <t xml:space="preserve">NON-BUDGETED FUNDS </t>
  </si>
  <si>
    <t>Non-Budgeted Funds</t>
  </si>
  <si>
    <t>(1) Fund Name:</t>
  </si>
  <si>
    <t>(2) Fund Name:</t>
  </si>
  <si>
    <t>(3) Fund Name:</t>
  </si>
  <si>
    <t>(4) Fund Name:</t>
  </si>
  <si>
    <t>(5) Fund Name:</t>
  </si>
  <si>
    <t xml:space="preserve">Unencumbered </t>
  </si>
  <si>
    <t>Cash Balance Jan 1</t>
  </si>
  <si>
    <t>Cash Balance Dec 31</t>
  </si>
  <si>
    <t>**</t>
  </si>
  <si>
    <t>** Note: These two block figures should agree.</t>
  </si>
  <si>
    <t>Example:</t>
  </si>
  <si>
    <t>Shawnee County</t>
  </si>
  <si>
    <t>Resolution</t>
  </si>
  <si>
    <t>The following were changed to this spreadsheet on 10/31/2011</t>
  </si>
  <si>
    <t>1. Removed all revision dates</t>
  </si>
  <si>
    <t>2. Non-budgeted pages change to landscape and no color for printing</t>
  </si>
  <si>
    <t>Input for Computation to Determine Limit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</si>
  <si>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</si>
  <si>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</si>
  <si>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</si>
  <si>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</si>
  <si>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</si>
  <si>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</si>
  <si>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</si>
  <si>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</si>
  <si>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</si>
  <si>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</si>
  <si>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</si>
  <si>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</si>
  <si>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</si>
  <si>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</si>
  <si>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</si>
  <si>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</si>
  <si>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</si>
  <si>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</si>
  <si>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</si>
  <si>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</si>
  <si>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</si>
  <si>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</si>
  <si>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</si>
  <si>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</si>
  <si>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</si>
  <si>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</si>
  <si>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</si>
  <si>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</si>
  <si>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</si>
  <si>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MVT Allocation</t>
  </si>
  <si>
    <t>RVT Allocation</t>
  </si>
  <si>
    <t>16/20M Allocation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</si>
  <si>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County name and year on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 </t>
    </r>
  </si>
  <si>
    <t xml:space="preserve">Computation to Determine Levy Limit on inputComp, Vehicle Tax Allocation on inputVehicle, </t>
  </si>
  <si>
    <r>
      <rPr>
        <sz val="12"/>
        <rFont val="Times New Roman"/>
        <family val="1"/>
      </rPr>
      <t xml:space="preserve">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</si>
  <si>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t>Certificate page on tab labeled cert2 and cert3,</t>
  </si>
  <si>
    <t>3. InputVehicle tab, key in ad valorem tax from the previous year, Treasurer estimates for motor,</t>
  </si>
  <si>
    <t>recreational and 16/20M taxes.  This is linked to each special district Sheet tab.</t>
  </si>
  <si>
    <t>2. InputComp tab, key in valuation estimates from the County Clerk.  This informtion</t>
  </si>
  <si>
    <t>is linked to the special district Comp tabs where the max levy amount is computed.</t>
  </si>
  <si>
    <t xml:space="preserve">Once the max is computed, this is compared to ad valorem tax and will indicated on </t>
  </si>
  <si>
    <t>Cert2 tab column heading 'Resolution' either "Yes" or "No" requiring a resolution.</t>
  </si>
  <si>
    <r>
      <t xml:space="preserve">4.On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</si>
  <si>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t>5. Complete a fund sheet for each Special District listed on the Certificate page.  Ensure to number</t>
  </si>
  <si>
    <t xml:space="preserve">5a. If you desire to use the Delinquency Computation % Rate, you must enter % that you want. </t>
  </si>
  <si>
    <r>
      <t xml:space="preserve">5b.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</si>
  <si>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6. Complete a Resoluation for each Special District if the max levy is exceeded as shown on Cert2 and attach to the </t>
  </si>
  <si>
    <t xml:space="preserve">either unchange the changes or replace the special district name with the new one. </t>
  </si>
  <si>
    <r>
      <t xml:space="preserve">7.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</si>
  <si>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t>Resolution for each special district must be attached to the budget for submission.</t>
  </si>
  <si>
    <t xml:space="preserve">budget. These forms must be attached to the County's budget and a  copy of the County's </t>
  </si>
  <si>
    <t>published Notice of Budget Hearing must be attached with the budget.</t>
  </si>
  <si>
    <r>
      <t xml:space="preserve">8. Complete a fund page for "Funds With a Tax Levy"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</si>
  <si>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9. Complete Fund Page for "Funds With No Tax Levy"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</si>
  <si>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10.  Once all needed Special Districts are completed, review the Certificate and Budget Summary </t>
  </si>
  <si>
    <t>11. Ensure either the copies of spreadsheet are included with the County's budget or spreadsheet</t>
  </si>
  <si>
    <t xml:space="preserve">3. Added inputComp tab </t>
  </si>
  <si>
    <t>4. Added inputVehicle tab</t>
  </si>
  <si>
    <t>5. On cert2 tab, added in the Resolution column 'Yes' or 'No' to indicate if a resolution is required</t>
  </si>
  <si>
    <t>6. Removed slider allocation from all tax levy fund pages</t>
  </si>
  <si>
    <t>7. On instrucion tab, added 2 and 3 and renumbered following paragraphs</t>
  </si>
  <si>
    <t xml:space="preserve">Enter the budgeted year be submitted: </t>
  </si>
  <si>
    <t>Chautauqua County</t>
  </si>
  <si>
    <t>Round Mound Cemetery # 1</t>
  </si>
  <si>
    <t>17-1330</t>
  </si>
  <si>
    <t>Peru Cemetery # 2</t>
  </si>
  <si>
    <t>Fairview-Niotaze Cem # 3</t>
  </si>
  <si>
    <t>Lafayette Cemetery # 4</t>
  </si>
  <si>
    <t>Salt Creek Cemetery # 6</t>
  </si>
  <si>
    <t>Hendricks Cemetery # 7</t>
  </si>
  <si>
    <t>Riley-Washington Cem # 8</t>
  </si>
  <si>
    <t>Elgin  Cemetery # 10</t>
  </si>
  <si>
    <t>Center Cemetery# 11</t>
  </si>
  <si>
    <t>Spring Creek Cemetery # 12</t>
  </si>
  <si>
    <t>Oak Hill-Chautauqua Cem # 13</t>
  </si>
  <si>
    <t>El Cado Cemetery # 14</t>
  </si>
  <si>
    <t>Reserves</t>
  </si>
  <si>
    <t>Sale of Lots</t>
  </si>
  <si>
    <t>Mowing</t>
  </si>
  <si>
    <t>Purchase of Equipment</t>
  </si>
  <si>
    <t>Insurance</t>
  </si>
  <si>
    <t>Budget &amp; Pubulications</t>
  </si>
  <si>
    <t>Fuel</t>
  </si>
  <si>
    <t>Repairs</t>
  </si>
  <si>
    <t>Supplies</t>
  </si>
  <si>
    <t>Gravel &amp; Dirt</t>
  </si>
  <si>
    <t>Operations</t>
  </si>
  <si>
    <t>Donations</t>
  </si>
  <si>
    <t>Tree Removal</t>
  </si>
  <si>
    <t>Caneyville Cemetery # 5</t>
  </si>
  <si>
    <t>Repairs &amp; Tree Triming</t>
  </si>
  <si>
    <t xml:space="preserve">Repairs </t>
  </si>
  <si>
    <t>Lot Sales</t>
  </si>
  <si>
    <t>Sedan-Greenwood Cem # 9</t>
  </si>
  <si>
    <t>Miscellaneous</t>
  </si>
  <si>
    <t>Maintenance &amp; Improvements</t>
  </si>
  <si>
    <t>Reserve Account</t>
  </si>
  <si>
    <t>Cemetery Improvements</t>
  </si>
  <si>
    <t>Wages</t>
  </si>
  <si>
    <t>Cutting Brush</t>
  </si>
  <si>
    <t>Equipment</t>
  </si>
  <si>
    <t>Restitution for Damages</t>
  </si>
  <si>
    <t>Legal Fees</t>
  </si>
  <si>
    <t>Improvements</t>
  </si>
  <si>
    <t>Repairs &amp; Labor</t>
  </si>
  <si>
    <t>Tree Removal/Brush</t>
  </si>
  <si>
    <t>Undeposited Tax Distributioin</t>
  </si>
  <si>
    <t>Undeposited Tax Distribuition</t>
  </si>
  <si>
    <t>RESOLUTION NO.____2013-1______________</t>
  </si>
  <si>
    <t>Marking Fee</t>
  </si>
  <si>
    <t>Registure of Deeds</t>
  </si>
  <si>
    <t xml:space="preserve">A resolution expressing the property taxation policy of the Board of Sedan-Greenwood Cem # 9 District with respect to </t>
  </si>
  <si>
    <t>financing the 2014 annual budget for Sedan-Greenwood Cem # 9 District, Chautauqua County(s), Kansas.</t>
  </si>
  <si>
    <t>to finance the 2014 Sedan-Greenwood Cem # 9 District budget exceed the amount levied to finance the 2013 Chautauqua District</t>
  </si>
  <si>
    <t xml:space="preserve">     Whereas, Sedan-Greenwood Cem # 9 District provides essential services to district residents; and</t>
  </si>
  <si>
    <t xml:space="preserve">      NOW, THEREFORE, BE IT RESOLVED by the Board of Sedan-Greenwood Cem # 9 District that is our</t>
  </si>
  <si>
    <t>desire to notify the public of the possibility of increased property taxes to finance the 2014 Sedan-Greenwood Cem # 9</t>
  </si>
  <si>
    <t xml:space="preserve">     Adopted this ________ day of __________, 2013 by the Sedan-Greenwood Cem # 9 District Board, Chautauqua</t>
  </si>
  <si>
    <t>Sedan-Greenwood Cem # 9 DISTRICT BOARD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</si>
</sst>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  <numFmt numFmtId="171" formatCode="_(* #,##0.0_);_(* \(#,##0.0\);_(* &quot;-&quot;??_);_(@_)"/>
    <numFmt numFmtId="172" formatCode="_(* #,##0_);_(* \(#,##0\);_(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164" fontId="1" fillId="34" borderId="0" xfId="0" applyNumberFormat="1" applyFont="1" applyFill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6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3" fontId="16" fillId="34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>
      <alignment vertical="center"/>
    </xf>
    <xf numFmtId="3" fontId="16" fillId="36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25" xfId="0" applyFont="1" applyFill="1" applyBorder="1" applyAlignment="1" applyProtection="1">
      <alignment vertical="center"/>
      <protection locked="0"/>
    </xf>
    <xf numFmtId="3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3" fontId="16" fillId="34" borderId="16" xfId="0" applyNumberFormat="1" applyFont="1" applyFill="1" applyBorder="1" applyAlignment="1" applyProtection="1">
      <alignment horizontal="center" vertical="center"/>
      <protection locked="0"/>
    </xf>
    <xf numFmtId="3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3" fontId="16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 applyProtection="1">
      <alignment vertical="center"/>
      <protection locked="0"/>
    </xf>
    <xf numFmtId="3" fontId="16" fillId="36" borderId="13" xfId="0" applyNumberFormat="1" applyFont="1" applyFill="1" applyBorder="1" applyAlignment="1">
      <alignment horizontal="center" vertical="center"/>
    </xf>
    <xf numFmtId="3" fontId="16" fillId="35" borderId="14" xfId="0" applyNumberFormat="1" applyFont="1" applyFill="1" applyBorder="1" applyAlignment="1">
      <alignment horizontal="center" vertical="center"/>
    </xf>
    <xf numFmtId="3" fontId="17" fillId="35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4" borderId="0" xfId="0" applyFont="1" applyFill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7" fontId="1" fillId="33" borderId="18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7" fontId="1" fillId="38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 horizontal="center" vertical="center"/>
      <protection/>
    </xf>
    <xf numFmtId="37" fontId="1" fillId="38" borderId="14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 horizontal="center"/>
      <protection locked="0"/>
    </xf>
    <xf numFmtId="3" fontId="1" fillId="38" borderId="12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/>
      <protection locked="0"/>
    </xf>
    <xf numFmtId="3" fontId="1" fillId="38" borderId="0" xfId="0" applyNumberFormat="1" applyFont="1" applyFill="1" applyAlignment="1" applyProtection="1">
      <alignment/>
      <protection locked="0"/>
    </xf>
    <xf numFmtId="3" fontId="1" fillId="38" borderId="18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1" fillId="39" borderId="15" xfId="0" applyNumberFormat="1" applyFont="1" applyFill="1" applyBorder="1" applyAlignment="1" applyProtection="1">
      <alignment/>
      <protection locked="0"/>
    </xf>
    <xf numFmtId="3" fontId="1" fillId="39" borderId="23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Alignment="1" applyProtection="1">
      <alignment/>
      <protection locked="0"/>
    </xf>
    <xf numFmtId="3" fontId="1" fillId="39" borderId="24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172" fontId="1" fillId="33" borderId="0" xfId="42" applyNumberFormat="1" applyFont="1" applyFill="1" applyAlignment="1" applyProtection="1">
      <alignment/>
      <protection/>
    </xf>
    <xf numFmtId="172" fontId="1" fillId="33" borderId="0" xfId="42" applyNumberFormat="1" applyFont="1" applyFill="1" applyAlignment="1">
      <alignment/>
    </xf>
    <xf numFmtId="172" fontId="1" fillId="33" borderId="0" xfId="42" applyNumberFormat="1" applyFont="1" applyFill="1" applyAlignment="1">
      <alignment horizontal="centerContinuous"/>
    </xf>
    <xf numFmtId="172" fontId="1" fillId="33" borderId="11" xfId="42" applyNumberFormat="1" applyFont="1" applyFill="1" applyBorder="1" applyAlignment="1">
      <alignment horizontal="center"/>
    </xf>
    <xf numFmtId="172" fontId="1" fillId="33" borderId="13" xfId="42" applyNumberFormat="1" applyFont="1" applyFill="1" applyBorder="1" applyAlignment="1">
      <alignment horizontal="center"/>
    </xf>
    <xf numFmtId="172" fontId="1" fillId="34" borderId="14" xfId="42" applyNumberFormat="1" applyFont="1" applyFill="1" applyBorder="1" applyAlignment="1" applyProtection="1">
      <alignment/>
      <protection locked="0"/>
    </xf>
    <xf numFmtId="172" fontId="1" fillId="33" borderId="14" xfId="42" applyNumberFormat="1" applyFont="1" applyFill="1" applyBorder="1" applyAlignment="1">
      <alignment/>
    </xf>
    <xf numFmtId="172" fontId="1" fillId="0" borderId="0" xfId="42" applyNumberFormat="1" applyFont="1" applyAlignment="1">
      <alignment/>
    </xf>
    <xf numFmtId="37" fontId="1" fillId="33" borderId="0" xfId="0" applyNumberFormat="1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37" fontId="1" fillId="34" borderId="0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fill"/>
      <protection/>
    </xf>
    <xf numFmtId="3" fontId="1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3" fontId="2" fillId="36" borderId="0" xfId="0" applyNumberFormat="1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8" fillId="33" borderId="11" xfId="0" applyNumberFormat="1" applyFont="1" applyFill="1" applyBorder="1" applyAlignment="1" applyProtection="1">
      <alignment horizontal="center" textRotation="180"/>
      <protection/>
    </xf>
    <xf numFmtId="0" fontId="9" fillId="0" borderId="23" xfId="0" applyFont="1" applyBorder="1" applyAlignment="1">
      <alignment horizontal="center" textRotation="180"/>
    </xf>
    <xf numFmtId="0" fontId="9" fillId="0" borderId="13" xfId="0" applyFont="1" applyBorder="1" applyAlignment="1">
      <alignment horizontal="center" textRotation="180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3" fillId="33" borderId="0" xfId="0" applyNumberFormat="1" applyFont="1" applyFill="1" applyAlignment="1" applyProtection="1">
      <alignment horizontal="center"/>
      <protection/>
    </xf>
    <xf numFmtId="37" fontId="1" fillId="34" borderId="0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1" fillId="34" borderId="12" xfId="0" applyNumberFormat="1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1" fillId="39" borderId="17" xfId="0" applyFont="1" applyFill="1" applyBorder="1" applyAlignment="1" applyProtection="1">
      <alignment vertical="center"/>
      <protection locked="0"/>
    </xf>
    <xf numFmtId="0" fontId="1" fillId="39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F108" sqref="F108"/>
    </sheetView>
  </sheetViews>
  <sheetFormatPr defaultColWidth="9.140625" defaultRowHeight="12.75"/>
  <cols>
    <col min="1" max="16384" width="9.140625" style="3" customWidth="1"/>
  </cols>
  <sheetData>
    <row r="1" spans="1:9" ht="15.75">
      <c r="A1" s="294" t="s">
        <v>97</v>
      </c>
      <c r="B1" s="294"/>
      <c r="C1" s="294"/>
      <c r="D1" s="294"/>
      <c r="E1" s="294"/>
      <c r="F1" s="294"/>
      <c r="G1" s="294"/>
      <c r="H1" s="294"/>
      <c r="I1" s="294"/>
    </row>
    <row r="3" ht="15.75">
      <c r="A3" s="3" t="s">
        <v>96</v>
      </c>
    </row>
    <row r="4" ht="15.75">
      <c r="A4" s="3" t="s">
        <v>142</v>
      </c>
    </row>
    <row r="6" ht="15.75">
      <c r="A6" s="3" t="s">
        <v>98</v>
      </c>
    </row>
    <row r="7" ht="15.75">
      <c r="A7" s="3" t="s">
        <v>159</v>
      </c>
    </row>
    <row r="8" ht="15.75">
      <c r="A8" s="3" t="s">
        <v>161</v>
      </c>
    </row>
    <row r="10" ht="15.75">
      <c r="A10" s="3" t="s">
        <v>111</v>
      </c>
    </row>
    <row r="11" ht="15.75">
      <c r="A11" s="3" t="s">
        <v>156</v>
      </c>
    </row>
    <row r="13" ht="15.75">
      <c r="A13" s="3" t="s">
        <v>112</v>
      </c>
    </row>
    <row r="15" spans="1:9" ht="15.75">
      <c r="A15" s="294" t="s">
        <v>208</v>
      </c>
      <c r="B15" s="295"/>
      <c r="C15" s="295"/>
      <c r="D15" s="295"/>
      <c r="E15" s="295"/>
      <c r="F15" s="295"/>
      <c r="G15" s="295"/>
      <c r="H15" s="295"/>
      <c r="I15" s="295"/>
    </row>
    <row r="17" ht="15.75">
      <c r="A17" s="3" t="s">
        <v>113</v>
      </c>
    </row>
    <row r="18" ht="15.75">
      <c r="A18" s="3" t="s">
        <v>157</v>
      </c>
    </row>
    <row r="20" ht="15.75">
      <c r="A20" s="3" t="s">
        <v>114</v>
      </c>
    </row>
    <row r="21" ht="15.75">
      <c r="A21" s="3" t="s">
        <v>115</v>
      </c>
    </row>
    <row r="22" ht="15.75">
      <c r="A22" s="3" t="s">
        <v>116</v>
      </c>
    </row>
    <row r="23" ht="15.75">
      <c r="A23" s="3" t="s">
        <v>117</v>
      </c>
    </row>
    <row r="25" spans="1:9" ht="15.75">
      <c r="A25" s="294" t="s">
        <v>118</v>
      </c>
      <c r="B25" s="295"/>
      <c r="C25" s="295"/>
      <c r="D25" s="295"/>
      <c r="E25" s="295"/>
      <c r="F25" s="295"/>
      <c r="G25" s="295"/>
      <c r="H25" s="295"/>
      <c r="I25" s="295"/>
    </row>
    <row r="27" ht="15.75">
      <c r="A27" s="3" t="s">
        <v>137</v>
      </c>
    </row>
    <row r="28" ht="15.75">
      <c r="A28" s="3" t="s">
        <v>260</v>
      </c>
    </row>
    <row r="29" ht="15.75">
      <c r="A29" s="3" t="s">
        <v>261</v>
      </c>
    </row>
    <row r="30" ht="15.75">
      <c r="A30" s="3" t="s">
        <v>263</v>
      </c>
    </row>
    <row r="31" ht="15.75">
      <c r="A31" s="168" t="s">
        <v>262</v>
      </c>
    </row>
    <row r="32" ht="15.75">
      <c r="A32" s="3" t="s">
        <v>173</v>
      </c>
    </row>
    <row r="33" ht="15.75">
      <c r="A33" s="168" t="s">
        <v>174</v>
      </c>
    </row>
    <row r="34" ht="15.75">
      <c r="A34" s="168" t="s">
        <v>175</v>
      </c>
    </row>
    <row r="36" spans="1:9" ht="15.75">
      <c r="A36" s="150" t="s">
        <v>120</v>
      </c>
      <c r="B36" s="150"/>
      <c r="C36" s="150"/>
      <c r="D36" s="150"/>
      <c r="E36" s="150"/>
      <c r="F36" s="150"/>
      <c r="G36" s="150"/>
      <c r="H36" s="150"/>
      <c r="I36" s="150"/>
    </row>
    <row r="37" spans="1:9" ht="15.75">
      <c r="A37" s="150" t="s">
        <v>121</v>
      </c>
      <c r="B37" s="150"/>
      <c r="C37" s="150"/>
      <c r="D37" s="150"/>
      <c r="E37" s="150"/>
      <c r="F37" s="150"/>
      <c r="G37" s="150"/>
      <c r="H37" s="150"/>
      <c r="I37" s="150"/>
    </row>
    <row r="39" spans="1:9" ht="15.75">
      <c r="A39" s="72" t="s">
        <v>122</v>
      </c>
      <c r="B39" s="72"/>
      <c r="C39" s="72"/>
      <c r="D39" s="72"/>
      <c r="E39" s="72"/>
      <c r="F39" s="72"/>
      <c r="G39" s="72"/>
      <c r="H39" s="72"/>
      <c r="I39" s="72"/>
    </row>
    <row r="40" spans="1:9" ht="15.75">
      <c r="A40" s="72" t="s">
        <v>123</v>
      </c>
      <c r="B40" s="72"/>
      <c r="C40" s="72"/>
      <c r="D40" s="72"/>
      <c r="E40" s="72"/>
      <c r="F40" s="72"/>
      <c r="G40" s="72"/>
      <c r="H40" s="72"/>
      <c r="I40" s="72"/>
    </row>
    <row r="41" spans="1:9" ht="15.75">
      <c r="A41" s="72" t="s">
        <v>124</v>
      </c>
      <c r="B41" s="72"/>
      <c r="C41" s="72"/>
      <c r="D41" s="72"/>
      <c r="E41" s="72"/>
      <c r="F41" s="72"/>
      <c r="G41" s="72"/>
      <c r="H41" s="72"/>
      <c r="I41" s="72"/>
    </row>
    <row r="43" ht="15.75">
      <c r="A43" s="3" t="s">
        <v>125</v>
      </c>
    </row>
    <row r="45" spans="1:9" ht="15.75">
      <c r="A45" s="294" t="s">
        <v>126</v>
      </c>
      <c r="B45" s="295"/>
      <c r="C45" s="295"/>
      <c r="D45" s="295"/>
      <c r="E45" s="295"/>
      <c r="F45" s="295"/>
      <c r="G45" s="295"/>
      <c r="H45" s="295"/>
      <c r="I45" s="295"/>
    </row>
    <row r="47" spans="1:10" ht="15.75">
      <c r="A47" s="292" t="s">
        <v>187</v>
      </c>
      <c r="B47" s="293"/>
      <c r="C47" s="293"/>
      <c r="D47" s="293"/>
      <c r="E47" s="293"/>
      <c r="F47" s="293"/>
      <c r="G47" s="293"/>
      <c r="H47" s="293"/>
      <c r="I47" s="293"/>
      <c r="J47" s="293"/>
    </row>
    <row r="48" spans="1:10" ht="15.75">
      <c r="A48" s="170" t="s">
        <v>182</v>
      </c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 ht="15.75">
      <c r="A49" s="170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 ht="15.75">
      <c r="A50" s="170" t="s">
        <v>266</v>
      </c>
      <c r="B50" s="171"/>
      <c r="C50" s="171"/>
      <c r="D50" s="171"/>
      <c r="E50" s="171"/>
      <c r="F50" s="171"/>
      <c r="G50" s="171"/>
      <c r="H50" s="171"/>
      <c r="I50" s="171"/>
      <c r="J50" s="171"/>
    </row>
    <row r="51" ht="15.75">
      <c r="A51" s="3" t="s">
        <v>267</v>
      </c>
    </row>
    <row r="52" ht="15.75">
      <c r="A52" s="3" t="s">
        <v>268</v>
      </c>
    </row>
    <row r="53" ht="15.75">
      <c r="A53" s="3" t="s">
        <v>269</v>
      </c>
    </row>
    <row r="55" ht="15.75">
      <c r="A55" s="3" t="s">
        <v>264</v>
      </c>
    </row>
    <row r="56" ht="15.75">
      <c r="A56" s="3" t="s">
        <v>265</v>
      </c>
    </row>
    <row r="58" ht="15.75">
      <c r="A58" s="3" t="s">
        <v>270</v>
      </c>
    </row>
    <row r="59" ht="15.75">
      <c r="A59" s="3" t="s">
        <v>186</v>
      </c>
    </row>
    <row r="60" ht="15.75">
      <c r="A60" s="3" t="s">
        <v>185</v>
      </c>
    </row>
    <row r="61" ht="15.75">
      <c r="A61" s="3" t="s">
        <v>144</v>
      </c>
    </row>
    <row r="62" ht="15.75">
      <c r="A62" s="3" t="s">
        <v>145</v>
      </c>
    </row>
    <row r="63" ht="15.75">
      <c r="A63" s="3" t="s">
        <v>176</v>
      </c>
    </row>
    <row r="64" ht="15.75">
      <c r="A64" s="169" t="s">
        <v>127</v>
      </c>
    </row>
    <row r="66" ht="15.75">
      <c r="A66" s="3" t="s">
        <v>271</v>
      </c>
    </row>
    <row r="67" ht="15.75">
      <c r="A67" s="3" t="s">
        <v>177</v>
      </c>
    </row>
    <row r="68" ht="15.75">
      <c r="A68" s="3" t="s">
        <v>272</v>
      </c>
    </row>
    <row r="69" ht="15.75">
      <c r="A69" s="3" t="s">
        <v>183</v>
      </c>
    </row>
    <row r="70" ht="15.75">
      <c r="A70" s="3" t="s">
        <v>184</v>
      </c>
    </row>
    <row r="71" spans="1:10" ht="79.5" customHeight="1">
      <c r="A71" s="290" t="s">
        <v>273</v>
      </c>
      <c r="B71" s="291"/>
      <c r="C71" s="291"/>
      <c r="D71" s="291"/>
      <c r="E71" s="291"/>
      <c r="F71" s="291"/>
      <c r="G71" s="291"/>
      <c r="H71" s="291"/>
      <c r="I71" s="291"/>
      <c r="J71" s="291"/>
    </row>
    <row r="73" ht="15.75">
      <c r="A73" s="3" t="s">
        <v>274</v>
      </c>
    </row>
    <row r="74" ht="15.75">
      <c r="A74" s="3" t="s">
        <v>188</v>
      </c>
    </row>
    <row r="75" ht="15.75">
      <c r="A75" s="3" t="s">
        <v>189</v>
      </c>
    </row>
    <row r="76" ht="15.75">
      <c r="A76" s="172" t="s">
        <v>190</v>
      </c>
    </row>
    <row r="77" ht="15.75">
      <c r="A77" s="3" t="s">
        <v>275</v>
      </c>
    </row>
    <row r="78" ht="15.75">
      <c r="A78" s="3" t="s">
        <v>277</v>
      </c>
    </row>
    <row r="80" ht="15.75">
      <c r="A80" s="3" t="s">
        <v>276</v>
      </c>
    </row>
    <row r="81" ht="15.75">
      <c r="A81" s="3" t="s">
        <v>171</v>
      </c>
    </row>
    <row r="82" ht="15.75">
      <c r="A82" s="3" t="s">
        <v>158</v>
      </c>
    </row>
    <row r="83" ht="15.75">
      <c r="A83" s="3" t="s">
        <v>178</v>
      </c>
    </row>
    <row r="84" ht="15.75">
      <c r="A84" s="3" t="s">
        <v>278</v>
      </c>
    </row>
    <row r="85" ht="15.75">
      <c r="A85" s="3" t="s">
        <v>279</v>
      </c>
    </row>
    <row r="87" ht="15.75">
      <c r="A87" s="3" t="s">
        <v>280</v>
      </c>
    </row>
    <row r="88" ht="15.75">
      <c r="A88" s="3" t="s">
        <v>141</v>
      </c>
    </row>
    <row r="89" ht="15.75">
      <c r="A89" s="3" t="s">
        <v>146</v>
      </c>
    </row>
    <row r="90" ht="15.75">
      <c r="A90" s="3" t="s">
        <v>179</v>
      </c>
    </row>
    <row r="91" ht="15.75">
      <c r="A91" s="3" t="s">
        <v>180</v>
      </c>
    </row>
    <row r="92" ht="15.75">
      <c r="A92" s="3" t="s">
        <v>147</v>
      </c>
    </row>
    <row r="93" ht="15.75">
      <c r="A93" s="3" t="s">
        <v>150</v>
      </c>
    </row>
    <row r="94" ht="15.75">
      <c r="A94" s="3" t="s">
        <v>152</v>
      </c>
    </row>
    <row r="96" ht="15.75">
      <c r="A96" s="3" t="s">
        <v>281</v>
      </c>
    </row>
    <row r="97" ht="15.75">
      <c r="A97" s="3" t="s">
        <v>148</v>
      </c>
    </row>
    <row r="98" ht="15.75">
      <c r="A98" s="3" t="s">
        <v>149</v>
      </c>
    </row>
    <row r="99" ht="15.75">
      <c r="A99" s="3" t="s">
        <v>181</v>
      </c>
    </row>
    <row r="100" ht="15.75">
      <c r="A100" s="3" t="s">
        <v>153</v>
      </c>
    </row>
    <row r="101" ht="15.75">
      <c r="A101" s="3" t="s">
        <v>151</v>
      </c>
    </row>
    <row r="103" ht="15.75">
      <c r="A103" s="3" t="s">
        <v>282</v>
      </c>
    </row>
    <row r="104" ht="15.75">
      <c r="A104" s="3" t="s">
        <v>154</v>
      </c>
    </row>
    <row r="106" ht="15.75">
      <c r="A106" s="3" t="s">
        <v>283</v>
      </c>
    </row>
    <row r="107" ht="15.75">
      <c r="A107" s="3" t="s">
        <v>155</v>
      </c>
    </row>
  </sheetData>
  <sheetProtection sheet="1"/>
  <mergeCells count="6">
    <mergeCell ref="A71:J71"/>
    <mergeCell ref="A47:J47"/>
    <mergeCell ref="A1:I1"/>
    <mergeCell ref="A15:I15"/>
    <mergeCell ref="A25:I25"/>
    <mergeCell ref="A45:I45"/>
  </mergeCells>
  <printOptions/>
  <pageMargins left="0.75" right="0.75" top="1" bottom="1" header="0.5" footer="0.5"/>
  <pageSetup blackAndWhite="1" fitToHeight="2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8" zoomScaleNormal="88" zoomScalePageLayoutView="0" workbookViewId="0" topLeftCell="A1">
      <selection activeCell="F32" sqref="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246" t="str">
        <f>cert2!A12</f>
        <v>Fairview-Niotaze Cem # 3</v>
      </c>
      <c r="D3" s="24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1948</v>
      </c>
      <c r="E9" s="21">
        <f>+D33</f>
        <v>2737</v>
      </c>
      <c r="F9" s="21">
        <f>+E33</f>
        <v>2200</v>
      </c>
    </row>
    <row r="10" spans="1:6" ht="15.75">
      <c r="A10" s="197" t="s">
        <v>14</v>
      </c>
      <c r="B10" s="198"/>
      <c r="C10" s="199"/>
      <c r="D10" s="194">
        <v>4404</v>
      </c>
      <c r="E10" s="37">
        <f>+C48</f>
        <v>4738</v>
      </c>
      <c r="F10" s="20" t="s">
        <v>6</v>
      </c>
    </row>
    <row r="11" spans="1:6" ht="15.75">
      <c r="A11" s="35" t="s">
        <v>15</v>
      </c>
      <c r="B11" s="36"/>
      <c r="C11" s="199"/>
      <c r="D11" s="194">
        <v>227</v>
      </c>
      <c r="E11" s="37"/>
      <c r="F11" s="37"/>
    </row>
    <row r="12" spans="1:6" ht="15.75">
      <c r="A12" s="35" t="s">
        <v>16</v>
      </c>
      <c r="B12" s="36"/>
      <c r="C12" s="199"/>
      <c r="D12" s="194">
        <v>565</v>
      </c>
      <c r="E12" s="37">
        <v>684</v>
      </c>
      <c r="F12" s="21">
        <f>D48</f>
        <v>621</v>
      </c>
    </row>
    <row r="13" spans="1:6" ht="15.75">
      <c r="A13" s="35" t="s">
        <v>17</v>
      </c>
      <c r="B13" s="36"/>
      <c r="C13" s="199"/>
      <c r="D13" s="194">
        <v>13</v>
      </c>
      <c r="E13" s="37">
        <v>18</v>
      </c>
      <c r="F13" s="21">
        <f>E48</f>
        <v>16</v>
      </c>
    </row>
    <row r="14" spans="1:6" ht="15.75">
      <c r="A14" s="35" t="s">
        <v>86</v>
      </c>
      <c r="B14" s="36"/>
      <c r="C14" s="199"/>
      <c r="D14" s="194"/>
      <c r="E14" s="37">
        <v>83</v>
      </c>
      <c r="F14" s="21">
        <f>F48</f>
        <v>59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/>
      <c r="B17" s="39"/>
      <c r="C17" s="200"/>
      <c r="D17" s="194"/>
      <c r="E17" s="37"/>
      <c r="F17" s="37"/>
    </row>
    <row r="18" spans="1:6" ht="15.75">
      <c r="A18" s="41"/>
      <c r="B18" s="42"/>
      <c r="C18" s="200"/>
      <c r="D18" s="194"/>
      <c r="E18" s="37"/>
      <c r="F18" s="37"/>
    </row>
    <row r="19" spans="1:6" ht="15.75">
      <c r="A19" s="41" t="s">
        <v>21</v>
      </c>
      <c r="B19" s="42"/>
      <c r="C19" s="200"/>
      <c r="D19" s="194"/>
      <c r="E19" s="37"/>
      <c r="F19" s="37"/>
    </row>
    <row r="20" spans="1:6" ht="15.75">
      <c r="A20" s="43" t="s">
        <v>22</v>
      </c>
      <c r="B20" s="36"/>
      <c r="C20" s="199"/>
      <c r="D20" s="195">
        <f>SUM(D10:D19)</f>
        <v>5209</v>
      </c>
      <c r="E20" s="181">
        <f>SUM(E10:E19)</f>
        <v>5523</v>
      </c>
      <c r="F20" s="181">
        <f>SUM(F10:F19)</f>
        <v>696</v>
      </c>
    </row>
    <row r="21" spans="1:6" ht="15.75">
      <c r="A21" s="43" t="s">
        <v>23</v>
      </c>
      <c r="B21" s="36"/>
      <c r="C21" s="199"/>
      <c r="D21" s="195">
        <f>+D9+D20</f>
        <v>7157</v>
      </c>
      <c r="E21" s="181">
        <f>+E9+E20</f>
        <v>8260</v>
      </c>
      <c r="F21" s="181">
        <f>+F9+F20</f>
        <v>2896</v>
      </c>
    </row>
    <row r="22" spans="1:6" ht="15.75">
      <c r="A22" s="35" t="s">
        <v>24</v>
      </c>
      <c r="B22" s="36"/>
      <c r="C22" s="199"/>
      <c r="D22" s="103"/>
      <c r="E22" s="21"/>
      <c r="F22" s="21"/>
    </row>
    <row r="23" spans="1:6" ht="15.75">
      <c r="A23" s="41" t="s">
        <v>306</v>
      </c>
      <c r="B23" s="39"/>
      <c r="C23" s="200"/>
      <c r="D23" s="194">
        <v>3900</v>
      </c>
      <c r="E23" s="37">
        <v>4500</v>
      </c>
      <c r="F23" s="37">
        <v>4500</v>
      </c>
    </row>
    <row r="24" spans="1:6" ht="15.75">
      <c r="A24" s="41" t="s">
        <v>307</v>
      </c>
      <c r="B24" s="39"/>
      <c r="C24" s="200"/>
      <c r="D24" s="194"/>
      <c r="E24" s="37"/>
      <c r="F24" s="37"/>
    </row>
    <row r="25" spans="1:6" ht="15.75">
      <c r="A25" s="41" t="s">
        <v>308</v>
      </c>
      <c r="B25" s="39"/>
      <c r="C25" s="200"/>
      <c r="D25" s="194">
        <v>260</v>
      </c>
      <c r="E25" s="37">
        <v>260</v>
      </c>
      <c r="F25" s="37">
        <v>260</v>
      </c>
    </row>
    <row r="26" spans="1:6" ht="15.75">
      <c r="A26" s="41" t="s">
        <v>309</v>
      </c>
      <c r="B26" s="39"/>
      <c r="C26" s="200"/>
      <c r="D26" s="194">
        <v>100</v>
      </c>
      <c r="E26" s="37">
        <v>100</v>
      </c>
      <c r="F26" s="37">
        <v>100</v>
      </c>
    </row>
    <row r="27" spans="1:6" ht="15.75">
      <c r="A27" s="38" t="s">
        <v>310</v>
      </c>
      <c r="B27" s="39"/>
      <c r="C27" s="200"/>
      <c r="D27" s="194"/>
      <c r="E27" s="37"/>
      <c r="F27" s="37"/>
    </row>
    <row r="28" spans="1:6" ht="15.75">
      <c r="A28" s="38" t="s">
        <v>311</v>
      </c>
      <c r="B28" s="39"/>
      <c r="C28" s="200"/>
      <c r="D28" s="194"/>
      <c r="E28" s="37"/>
      <c r="F28" s="37"/>
    </row>
    <row r="29" spans="1:6" ht="15.75">
      <c r="A29" s="38" t="s">
        <v>312</v>
      </c>
      <c r="B29" s="39"/>
      <c r="C29" s="200"/>
      <c r="D29" s="194"/>
      <c r="E29" s="37">
        <v>600</v>
      </c>
      <c r="F29" s="37">
        <f>4742-2564</f>
        <v>2178</v>
      </c>
    </row>
    <row r="30" spans="1:6" ht="15.75">
      <c r="A30" s="38" t="s">
        <v>313</v>
      </c>
      <c r="B30" s="39"/>
      <c r="C30" s="200"/>
      <c r="D30" s="194">
        <v>160</v>
      </c>
      <c r="E30" s="37">
        <v>500</v>
      </c>
      <c r="F30" s="37">
        <v>500</v>
      </c>
    </row>
    <row r="31" spans="1:6" ht="15.75">
      <c r="A31" s="38" t="s">
        <v>314</v>
      </c>
      <c r="B31" s="39"/>
      <c r="C31" s="200"/>
      <c r="D31" s="194"/>
      <c r="E31" s="37">
        <v>100</v>
      </c>
      <c r="F31" s="37">
        <v>100</v>
      </c>
    </row>
    <row r="32" spans="1:6" ht="15.75">
      <c r="A32" s="43" t="s">
        <v>25</v>
      </c>
      <c r="B32" s="36"/>
      <c r="C32" s="199"/>
      <c r="D32" s="195">
        <f>SUM(D23:D31)</f>
        <v>4420</v>
      </c>
      <c r="E32" s="181">
        <f>SUM(E23:E31)</f>
        <v>6060</v>
      </c>
      <c r="F32" s="181">
        <f>SUM(F23:F31)</f>
        <v>7638</v>
      </c>
    </row>
    <row r="33" spans="1:6" ht="15.75">
      <c r="A33" s="35" t="s">
        <v>26</v>
      </c>
      <c r="B33" s="36"/>
      <c r="C33" s="199"/>
      <c r="D33" s="188">
        <f>+D21-D32</f>
        <v>2737</v>
      </c>
      <c r="E33" s="182">
        <f>+E21-E32</f>
        <v>2200</v>
      </c>
      <c r="F33" s="20" t="s">
        <v>6</v>
      </c>
    </row>
    <row r="34" spans="1:7" ht="15.75">
      <c r="A34" s="1"/>
      <c r="B34" s="1"/>
      <c r="C34" s="1"/>
      <c r="D34" s="46"/>
      <c r="E34" s="47" t="s">
        <v>27</v>
      </c>
      <c r="F34" s="17"/>
      <c r="G34" s="192">
        <f>IF(F32/0.95-F32&lt;F34,"Exceeds 5%","")</f>
      </c>
    </row>
    <row r="35" spans="1:6" ht="15.75">
      <c r="A35" s="1"/>
      <c r="B35" s="26"/>
      <c r="C35" s="1"/>
      <c r="D35" s="46"/>
      <c r="E35" s="47" t="s">
        <v>28</v>
      </c>
      <c r="F35" s="21">
        <f>+F32+F34</f>
        <v>7638</v>
      </c>
    </row>
    <row r="36" spans="1:6" ht="15.75">
      <c r="A36" s="1"/>
      <c r="B36" s="1"/>
      <c r="C36" s="1"/>
      <c r="D36" s="1"/>
      <c r="E36" s="4" t="s">
        <v>29</v>
      </c>
      <c r="F36" s="21">
        <f>IF(F35-F21&gt;0,F35-F21,0)</f>
        <v>4742</v>
      </c>
    </row>
    <row r="37" spans="1:6" ht="15.75">
      <c r="A37" s="316" t="s">
        <v>166</v>
      </c>
      <c r="B37" s="317"/>
      <c r="C37" s="317"/>
      <c r="D37" s="317"/>
      <c r="E37" s="187"/>
      <c r="F37" s="21">
        <f>ROUND(IF($E$37&gt;0,($F$36*$E$37),0),0)</f>
        <v>0</v>
      </c>
    </row>
    <row r="38" spans="1:6" ht="15.75">
      <c r="A38" s="1"/>
      <c r="B38" s="1"/>
      <c r="C38" s="1"/>
      <c r="D38" s="1"/>
      <c r="E38" s="4" t="str">
        <f>CONCATENATE("Amount of ",$F$1-1," Ad Valorem Tax")</f>
        <v>Amount of 2013 Ad Valorem Tax</v>
      </c>
      <c r="F38" s="182">
        <f>SUM(F36:F37)</f>
        <v>4742</v>
      </c>
    </row>
    <row r="39" spans="1:6" ht="15.75">
      <c r="A39" s="1"/>
      <c r="B39" s="1"/>
      <c r="C39" s="1"/>
      <c r="D39" s="1"/>
      <c r="E39" s="4"/>
      <c r="F39" s="50"/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28" t="s">
        <v>78</v>
      </c>
      <c r="C44" s="1"/>
      <c r="D44" s="12"/>
      <c r="E44" s="90"/>
      <c r="F44" s="91"/>
    </row>
    <row r="45" spans="1:6" ht="15.75">
      <c r="A45" s="27"/>
      <c r="B45" s="25" t="s">
        <v>19</v>
      </c>
      <c r="C45" s="1"/>
      <c r="D45" s="88"/>
      <c r="E45" s="92" t="str">
        <f>CONCATENATE("Allocation for Year ",$F$1,"")</f>
        <v>Allocation for Year 2014</v>
      </c>
      <c r="F45" s="89"/>
    </row>
    <row r="46" spans="1:6" ht="15.75">
      <c r="A46" s="51" t="s">
        <v>30</v>
      </c>
      <c r="B46" s="52"/>
      <c r="C46" s="160" t="s">
        <v>167</v>
      </c>
      <c r="D46" s="32" t="s">
        <v>79</v>
      </c>
      <c r="E46" s="32" t="s">
        <v>80</v>
      </c>
      <c r="F46" s="32" t="s">
        <v>81</v>
      </c>
    </row>
    <row r="47" spans="1:6" ht="15.75">
      <c r="A47" s="53" t="s">
        <v>31</v>
      </c>
      <c r="B47" s="104"/>
      <c r="C47" s="106" t="str">
        <f>CONCATENATE("for ",$F$1-1,"")</f>
        <v>for 2013</v>
      </c>
      <c r="D47" s="34" t="s">
        <v>32</v>
      </c>
      <c r="E47" s="34" t="s">
        <v>32</v>
      </c>
      <c r="F47" s="34" t="s">
        <v>32</v>
      </c>
    </row>
    <row r="48" spans="1:6" ht="15.75">
      <c r="A48" s="102" t="s">
        <v>33</v>
      </c>
      <c r="B48" s="108"/>
      <c r="C48" s="250">
        <f>inputVehicle!G$5</f>
        <v>4738</v>
      </c>
      <c r="D48" s="125">
        <f>IF(C48&gt;0,ROUND(+C48*D$56,0)," ")</f>
        <v>621</v>
      </c>
      <c r="E48" s="125">
        <f>IF(C48&gt;0,ROUND(+C48*E$57,0)," ")</f>
        <v>16</v>
      </c>
      <c r="F48" s="125">
        <f>IF(C48&gt;0,ROUND(+C48*F$58,0)," ")</f>
        <v>59</v>
      </c>
    </row>
    <row r="49" spans="1:6" ht="15.75">
      <c r="A49" s="54"/>
      <c r="B49" s="101"/>
      <c r="C49" s="107"/>
      <c r="D49" s="125" t="str">
        <f>IF(C49&gt;0,ROUND(+C49*D$56,0)," ")</f>
        <v> </v>
      </c>
      <c r="E49" s="125" t="str">
        <f>IF(C49&gt;0,ROUND(+D49*E$57,0)," ")</f>
        <v> </v>
      </c>
      <c r="F49" s="125" t="str">
        <f>IF(C49&gt;0,ROUND(+E49*F$58,0)," ")</f>
        <v> </v>
      </c>
    </row>
    <row r="50" spans="1:6" ht="15.75">
      <c r="A50" s="35" t="s">
        <v>34</v>
      </c>
      <c r="B50" s="44"/>
      <c r="C50" s="188">
        <f>SUM(C48:C49)</f>
        <v>4738</v>
      </c>
      <c r="D50" s="189">
        <f>SUM(D48:D49)</f>
        <v>621</v>
      </c>
      <c r="E50" s="189">
        <f>SUM(E48:E49)</f>
        <v>16</v>
      </c>
      <c r="F50" s="189">
        <f>SUM(F48:F49)</f>
        <v>59</v>
      </c>
    </row>
    <row r="51" spans="1:6" ht="15.75">
      <c r="A51" s="29"/>
      <c r="B51" s="29"/>
      <c r="C51" s="50"/>
      <c r="D51" s="123"/>
      <c r="E51" s="123"/>
      <c r="F51" s="123"/>
    </row>
    <row r="52" spans="1:6" ht="15.75">
      <c r="A52" s="29" t="s">
        <v>83</v>
      </c>
      <c r="B52" s="29"/>
      <c r="C52" s="50"/>
      <c r="D52" s="251">
        <f>inputVehicle!G$7</f>
        <v>621</v>
      </c>
      <c r="E52" s="123"/>
      <c r="F52" s="123"/>
    </row>
    <row r="53" spans="1:6" ht="15.75">
      <c r="A53" s="29" t="s">
        <v>84</v>
      </c>
      <c r="B53" s="29"/>
      <c r="C53" s="50"/>
      <c r="D53" s="123"/>
      <c r="E53" s="251">
        <f>inputVehicle!G$9</f>
        <v>16</v>
      </c>
      <c r="F53" s="123"/>
    </row>
    <row r="54" spans="1:6" ht="15.75">
      <c r="A54" s="29" t="s">
        <v>85</v>
      </c>
      <c r="B54" s="29"/>
      <c r="C54" s="50"/>
      <c r="D54" s="123"/>
      <c r="E54" s="123"/>
      <c r="F54" s="251">
        <f>inputVehicle!G$11</f>
        <v>59</v>
      </c>
    </row>
    <row r="55" spans="1:6" ht="15.75">
      <c r="A55" s="1"/>
      <c r="B55" s="1"/>
      <c r="C55" s="1"/>
      <c r="D55" s="92"/>
      <c r="E55" s="92"/>
      <c r="F55" s="92"/>
    </row>
    <row r="56" spans="1:6" ht="15.75">
      <c r="A56" s="1"/>
      <c r="B56" s="1"/>
      <c r="C56" s="1" t="s">
        <v>35</v>
      </c>
      <c r="D56" s="124">
        <f>IF(C50=0,0,D52/C50)</f>
        <v>0.13106796116504854</v>
      </c>
      <c r="E56" s="92"/>
      <c r="F56" s="92"/>
    </row>
    <row r="57" spans="1:6" ht="15.75">
      <c r="A57" s="1"/>
      <c r="B57" s="1"/>
      <c r="C57" s="1"/>
      <c r="D57" s="92" t="s">
        <v>36</v>
      </c>
      <c r="E57" s="124">
        <f>IF(C50=0,0,E53/C50)</f>
        <v>0.0033769523005487546</v>
      </c>
      <c r="F57" s="92"/>
    </row>
    <row r="58" spans="1:6" ht="15.75">
      <c r="A58" s="1"/>
      <c r="B58" s="1"/>
      <c r="C58" s="1"/>
      <c r="D58" s="92"/>
      <c r="E58" s="92" t="s">
        <v>82</v>
      </c>
      <c r="F58" s="124">
        <f>IF(C50=0,0,F54/C50)</f>
        <v>0.012452511608273533</v>
      </c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26" t="s">
        <v>37</v>
      </c>
      <c r="C66" s="56"/>
      <c r="D66" s="1"/>
      <c r="E66" s="1"/>
      <c r="F66" s="1"/>
    </row>
  </sheetData>
  <sheetProtection/>
  <mergeCells count="1">
    <mergeCell ref="A37:D37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90" zoomScaleNormal="90" zoomScalePageLayoutView="0" workbookViewId="0" topLeftCell="C26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'Fairview-Niotaze 3'!C3</f>
        <v>Fairview-Niotaze Cem # 3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inputComp!G$5</f>
        <v>4738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5">
        <f>inputComp!G7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4738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inputComp!G9</f>
        <v>18875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inputComp!G11</f>
        <v>85167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5">
        <f>inputComp!G13</f>
        <v>85167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4">
        <f>inputComp!G15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18875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inputComp!G17</f>
        <v>20963647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20944772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0.0009011795401735574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4.269788661342314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4742.269788661342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3">
        <f>inputComp!G19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4742.269788661342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90" zoomScaleNormal="90" zoomScalePageLayoutView="0" workbookViewId="0" topLeftCell="A7">
      <selection activeCell="F12" sqref="F1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cert2!A13</f>
        <v>Lafayette Cemetery # 4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2052</v>
      </c>
      <c r="E9" s="21">
        <f>+D34</f>
        <v>2050</v>
      </c>
      <c r="F9" s="21">
        <f>+E34</f>
        <v>4487</v>
      </c>
    </row>
    <row r="10" spans="1:6" ht="15.75">
      <c r="A10" s="197" t="s">
        <v>14</v>
      </c>
      <c r="B10" s="198"/>
      <c r="C10" s="199"/>
      <c r="D10" s="194">
        <f>-111+2628</f>
        <v>2517</v>
      </c>
      <c r="E10" s="37">
        <f>+C49</f>
        <v>6961</v>
      </c>
      <c r="F10" s="20" t="s">
        <v>6</v>
      </c>
    </row>
    <row r="11" spans="1:6" ht="15.75">
      <c r="A11" s="35" t="s">
        <v>15</v>
      </c>
      <c r="B11" s="36"/>
      <c r="C11" s="199"/>
      <c r="D11" s="194">
        <v>163</v>
      </c>
      <c r="E11" s="37"/>
      <c r="F11" s="37"/>
    </row>
    <row r="12" spans="1:6" ht="15.75">
      <c r="A12" s="35" t="s">
        <v>16</v>
      </c>
      <c r="B12" s="36"/>
      <c r="C12" s="199"/>
      <c r="D12" s="194">
        <v>141</v>
      </c>
      <c r="E12" s="37">
        <v>161</v>
      </c>
      <c r="F12" s="21">
        <f>D49</f>
        <v>216</v>
      </c>
    </row>
    <row r="13" spans="1:6" ht="15.75">
      <c r="A13" s="35" t="s">
        <v>17</v>
      </c>
      <c r="B13" s="36"/>
      <c r="C13" s="199"/>
      <c r="D13" s="194">
        <v>1</v>
      </c>
      <c r="E13" s="37">
        <v>1</v>
      </c>
      <c r="F13" s="21">
        <f>E49</f>
        <v>1</v>
      </c>
    </row>
    <row r="14" spans="1:6" ht="15.75">
      <c r="A14" s="35" t="s">
        <v>86</v>
      </c>
      <c r="B14" s="36"/>
      <c r="C14" s="199"/>
      <c r="D14" s="194"/>
      <c r="E14" s="37">
        <v>69</v>
      </c>
      <c r="F14" s="21">
        <f>F49</f>
        <v>46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315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/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2822</v>
      </c>
      <c r="E21" s="181">
        <f>SUM(E10:E20)</f>
        <v>7192</v>
      </c>
      <c r="F21" s="181">
        <f>SUM(F10:F20)</f>
        <v>263</v>
      </c>
    </row>
    <row r="22" spans="1:6" ht="15.75">
      <c r="A22" s="43" t="s">
        <v>23</v>
      </c>
      <c r="B22" s="36"/>
      <c r="C22" s="199"/>
      <c r="D22" s="195">
        <f>+D9+D21</f>
        <v>4874</v>
      </c>
      <c r="E22" s="181">
        <f>+E9+E21</f>
        <v>9242</v>
      </c>
      <c r="F22" s="181">
        <f>+F9+F21</f>
        <v>4750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2230</v>
      </c>
      <c r="E24" s="37">
        <v>3000</v>
      </c>
      <c r="F24" s="37">
        <v>3000</v>
      </c>
    </row>
    <row r="25" spans="1:6" ht="15.75">
      <c r="A25" s="41" t="s">
        <v>307</v>
      </c>
      <c r="B25" s="39"/>
      <c r="C25" s="200"/>
      <c r="D25" s="194"/>
      <c r="E25" s="37"/>
      <c r="F25" s="37"/>
    </row>
    <row r="26" spans="1:6" ht="15.75">
      <c r="A26" s="41" t="s">
        <v>308</v>
      </c>
      <c r="B26" s="39"/>
      <c r="C26" s="200"/>
      <c r="D26" s="194">
        <v>250</v>
      </c>
      <c r="E26" s="37">
        <v>280</v>
      </c>
      <c r="F26" s="37">
        <v>280</v>
      </c>
    </row>
    <row r="27" spans="1:6" ht="15.75">
      <c r="A27" s="41" t="s">
        <v>309</v>
      </c>
      <c r="B27" s="39"/>
      <c r="C27" s="200"/>
      <c r="D27" s="194">
        <v>120</v>
      </c>
      <c r="E27" s="37">
        <v>125</v>
      </c>
      <c r="F27" s="37">
        <v>125</v>
      </c>
    </row>
    <row r="28" spans="1:6" ht="15.75">
      <c r="A28" s="38" t="s">
        <v>316</v>
      </c>
      <c r="B28" s="39"/>
      <c r="C28" s="200"/>
      <c r="D28" s="194"/>
      <c r="E28" s="37">
        <v>1200</v>
      </c>
      <c r="F28" s="37">
        <v>1200</v>
      </c>
    </row>
    <row r="29" spans="1:6" ht="15.75">
      <c r="A29" s="38" t="s">
        <v>311</v>
      </c>
      <c r="B29" s="39"/>
      <c r="C29" s="200"/>
      <c r="D29" s="194">
        <v>85</v>
      </c>
      <c r="E29" s="37"/>
      <c r="F29" s="37">
        <f>6961+4750-4755</f>
        <v>6956</v>
      </c>
    </row>
    <row r="30" spans="1:6" ht="15.75">
      <c r="A30" s="38" t="s">
        <v>312</v>
      </c>
      <c r="B30" s="39"/>
      <c r="C30" s="200"/>
      <c r="D30" s="194">
        <f>64+75</f>
        <v>139</v>
      </c>
      <c r="E30" s="37">
        <v>150</v>
      </c>
      <c r="F30" s="37">
        <v>150</v>
      </c>
    </row>
    <row r="31" spans="1:6" ht="15.75">
      <c r="A31" s="38" t="s">
        <v>313</v>
      </c>
      <c r="B31" s="39"/>
      <c r="C31" s="200"/>
      <c r="D31" s="194"/>
      <c r="E31" s="37"/>
      <c r="F31" s="37"/>
    </row>
    <row r="32" spans="1:6" ht="15.75">
      <c r="A32" s="38" t="s">
        <v>314</v>
      </c>
      <c r="B32" s="39"/>
      <c r="C32" s="200"/>
      <c r="D32" s="194"/>
      <c r="E32" s="37"/>
      <c r="F32" s="37"/>
    </row>
    <row r="33" spans="1:6" ht="15.75">
      <c r="A33" s="43" t="s">
        <v>25</v>
      </c>
      <c r="B33" s="36"/>
      <c r="C33" s="199"/>
      <c r="D33" s="195">
        <f>SUM(D24:D32)</f>
        <v>2824</v>
      </c>
      <c r="E33" s="181">
        <f>SUM(E24:E32)</f>
        <v>4755</v>
      </c>
      <c r="F33" s="181">
        <f>SUM(F24:F32)</f>
        <v>11711</v>
      </c>
    </row>
    <row r="34" spans="1:6" ht="15.75">
      <c r="A34" s="35" t="s">
        <v>26</v>
      </c>
      <c r="B34" s="36"/>
      <c r="C34" s="199"/>
      <c r="D34" s="188">
        <f>+D22-D33</f>
        <v>2050</v>
      </c>
      <c r="E34" s="182">
        <f>+E22-E33</f>
        <v>4487</v>
      </c>
      <c r="F34" s="20" t="s">
        <v>6</v>
      </c>
    </row>
    <row r="35" spans="1:7" ht="15.75">
      <c r="A35" s="1"/>
      <c r="B35" s="1"/>
      <c r="C35" s="1"/>
      <c r="D35" s="46"/>
      <c r="E35" s="47" t="s">
        <v>27</v>
      </c>
      <c r="F35" s="17"/>
      <c r="G35" s="192">
        <f>IF(F33/0.95-F33&lt;F35,"Exceeds 5%","")</f>
      </c>
    </row>
    <row r="36" spans="1:6" ht="15.75">
      <c r="A36" s="1"/>
      <c r="B36" s="26"/>
      <c r="C36" s="1"/>
      <c r="D36" s="46"/>
      <c r="E36" s="47" t="s">
        <v>28</v>
      </c>
      <c r="F36" s="21">
        <f>+F33+F35</f>
        <v>11711</v>
      </c>
    </row>
    <row r="37" spans="1:6" ht="15.75">
      <c r="A37" s="1"/>
      <c r="B37" s="1"/>
      <c r="C37" s="1"/>
      <c r="D37" s="1"/>
      <c r="E37" s="4" t="s">
        <v>29</v>
      </c>
      <c r="F37" s="182">
        <f>IF(F36-F22&gt;0,F36-F22,0)</f>
        <v>6961</v>
      </c>
    </row>
    <row r="38" spans="1:6" ht="15.75">
      <c r="A38" s="316" t="s">
        <v>166</v>
      </c>
      <c r="B38" s="317"/>
      <c r="C38" s="317"/>
      <c r="D38" s="317"/>
      <c r="E38" s="187"/>
      <c r="F38" s="182">
        <f>ROUND(IF($E$38&gt;0,($F$37*$E$38),0),0)</f>
        <v>0</v>
      </c>
    </row>
    <row r="39" spans="1:6" ht="15.75">
      <c r="A39" s="1"/>
      <c r="B39" s="1"/>
      <c r="C39" s="1"/>
      <c r="D39" s="1"/>
      <c r="E39" s="4" t="str">
        <f>CONCATENATE("Amount of ",$F$1-1," Ad Valorem Tax")</f>
        <v>Amount of 2013 Ad Valorem Tax</v>
      </c>
      <c r="F39" s="182">
        <f>SUM(F37:F38)</f>
        <v>6961</v>
      </c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28" t="s">
        <v>78</v>
      </c>
      <c r="C45" s="1"/>
      <c r="D45" s="12"/>
      <c r="E45" s="90"/>
      <c r="F45" s="91"/>
    </row>
    <row r="46" spans="1:6" ht="15.75">
      <c r="A46" s="27"/>
      <c r="B46" s="25" t="s">
        <v>19</v>
      </c>
      <c r="C46" s="1"/>
      <c r="D46" s="88"/>
      <c r="E46" s="92" t="str">
        <f>CONCATENATE("Allocation for Year ",$F$1,"")</f>
        <v>Allocation for Year 2014</v>
      </c>
      <c r="F46" s="89"/>
    </row>
    <row r="47" spans="1:6" ht="15.75">
      <c r="A47" s="51" t="s">
        <v>30</v>
      </c>
      <c r="B47" s="52"/>
      <c r="C47" s="160" t="s">
        <v>167</v>
      </c>
      <c r="D47" s="32" t="s">
        <v>79</v>
      </c>
      <c r="E47" s="32" t="s">
        <v>80</v>
      </c>
      <c r="F47" s="32" t="s">
        <v>81</v>
      </c>
    </row>
    <row r="48" spans="1:6" ht="15.75">
      <c r="A48" s="53" t="s">
        <v>31</v>
      </c>
      <c r="B48" s="104"/>
      <c r="C48" s="106" t="str">
        <f>CONCATENATE("for ",$F$1-1,"")</f>
        <v>for 2013</v>
      </c>
      <c r="D48" s="34" t="s">
        <v>32</v>
      </c>
      <c r="E48" s="34" t="s">
        <v>32</v>
      </c>
      <c r="F48" s="34" t="s">
        <v>32</v>
      </c>
    </row>
    <row r="49" spans="1:6" ht="15.75">
      <c r="A49" s="102" t="s">
        <v>33</v>
      </c>
      <c r="B49" s="108"/>
      <c r="C49" s="250">
        <f>inputVehicle!H$5</f>
        <v>6961</v>
      </c>
      <c r="D49" s="125">
        <f>IF(C49&gt;0,ROUND(+C49*D$57,0)," ")</f>
        <v>216</v>
      </c>
      <c r="E49" s="125">
        <f>IF(C49&gt;0,ROUND(+C49*E$58,0)," ")</f>
        <v>1</v>
      </c>
      <c r="F49" s="125">
        <f>IF(C49&gt;0,ROUND(+C49*F$59,0)," ")</f>
        <v>46</v>
      </c>
    </row>
    <row r="50" spans="1:6" ht="15.75">
      <c r="A50" s="54"/>
      <c r="B50" s="101"/>
      <c r="C50" s="107"/>
      <c r="D50" s="125" t="str">
        <f>IF(C50&gt;0,ROUND(+C50*D$57,0)," ")</f>
        <v> </v>
      </c>
      <c r="E50" s="125" t="str">
        <f>IF(C50&gt;0,ROUND(+D50*E$58,0)," ")</f>
        <v> </v>
      </c>
      <c r="F50" s="125" t="str">
        <f>IF(C50&gt;0,ROUND(+E50*F$59,0)," ")</f>
        <v> </v>
      </c>
    </row>
    <row r="51" spans="1:6" ht="15.75">
      <c r="A51" s="35" t="s">
        <v>34</v>
      </c>
      <c r="B51" s="44"/>
      <c r="C51" s="188">
        <f>SUM(C49:C50)</f>
        <v>6961</v>
      </c>
      <c r="D51" s="189">
        <f>SUM(D49:D50)</f>
        <v>216</v>
      </c>
      <c r="E51" s="189">
        <f>SUM(E49:E50)</f>
        <v>1</v>
      </c>
      <c r="F51" s="189">
        <f>SUM(F49:F50)</f>
        <v>46</v>
      </c>
    </row>
    <row r="52" spans="1:6" ht="15.75">
      <c r="A52" s="29"/>
      <c r="B52" s="29"/>
      <c r="C52" s="50"/>
      <c r="D52" s="123"/>
      <c r="E52" s="123"/>
      <c r="F52" s="123"/>
    </row>
    <row r="53" spans="1:6" ht="15.75">
      <c r="A53" s="29" t="s">
        <v>83</v>
      </c>
      <c r="B53" s="29"/>
      <c r="C53" s="50"/>
      <c r="D53" s="251">
        <f>inputVehicle!H$7</f>
        <v>216</v>
      </c>
      <c r="E53" s="123"/>
      <c r="F53" s="123"/>
    </row>
    <row r="54" spans="1:6" ht="15.75">
      <c r="A54" s="29" t="s">
        <v>84</v>
      </c>
      <c r="B54" s="29"/>
      <c r="C54" s="50"/>
      <c r="D54" s="123"/>
      <c r="E54" s="251">
        <f>inputVehicle!H$9</f>
        <v>1</v>
      </c>
      <c r="F54" s="123"/>
    </row>
    <row r="55" spans="1:6" ht="15.75">
      <c r="A55" s="29" t="s">
        <v>85</v>
      </c>
      <c r="B55" s="29"/>
      <c r="C55" s="50"/>
      <c r="D55" s="123"/>
      <c r="E55" s="123"/>
      <c r="F55" s="251">
        <f>inputVehicle!H$11</f>
        <v>46</v>
      </c>
    </row>
    <row r="56" spans="1:6" ht="15.75">
      <c r="A56" s="1"/>
      <c r="B56" s="1"/>
      <c r="C56" s="1"/>
      <c r="D56" s="92"/>
      <c r="E56" s="92"/>
      <c r="F56" s="92"/>
    </row>
    <row r="57" spans="1:6" ht="15.75">
      <c r="A57" s="1"/>
      <c r="B57" s="1"/>
      <c r="C57" s="1" t="s">
        <v>35</v>
      </c>
      <c r="D57" s="124">
        <f>IF(C51=0,0,D53/C51)</f>
        <v>0.03103002442177848</v>
      </c>
      <c r="E57" s="92"/>
      <c r="F57" s="92"/>
    </row>
    <row r="58" spans="1:6" ht="15.75">
      <c r="A58" s="1"/>
      <c r="B58" s="1"/>
      <c r="C58" s="1"/>
      <c r="D58" s="92" t="s">
        <v>36</v>
      </c>
      <c r="E58" s="124">
        <f>IF(C51=0,0,E54/C51)</f>
        <v>0.00014365752047119666</v>
      </c>
      <c r="F58" s="92"/>
    </row>
    <row r="59" spans="1:6" ht="15.75">
      <c r="A59" s="1"/>
      <c r="B59" s="1"/>
      <c r="C59" s="1"/>
      <c r="D59" s="92"/>
      <c r="E59" s="92" t="s">
        <v>82</v>
      </c>
      <c r="F59" s="124">
        <f>IF(C51=0,0,F55/C51)</f>
        <v>0.0066082459416750465</v>
      </c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26" t="s">
        <v>37</v>
      </c>
      <c r="C67" s="56"/>
      <c r="D67" s="1"/>
      <c r="E67" s="1"/>
      <c r="F67" s="1"/>
    </row>
  </sheetData>
  <sheetProtection/>
  <mergeCells count="1">
    <mergeCell ref="A38:D38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B19">
      <selection activeCell="C19" sqref="C1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'Lafayette 4'!C3</f>
        <v>Lafayette Cemetery # 4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inputComp!H$5</f>
        <v>6961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inputComp!H$7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6961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inputComp!H$9</f>
        <v>55164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inputComp!H$11</f>
        <v>16538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inputComp!H$13</f>
        <v>48716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inputComp!H15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55164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inputComp!H$17</f>
        <v>1411124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1355960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0.040682616006371866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283.19169002035454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7244.191690020354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inputComp!H$19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7244.191690020354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0" zoomScaleNormal="80" zoomScalePageLayoutView="0" workbookViewId="0" topLeftCell="A22">
      <selection activeCell="F40" sqref="F40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cert2!A14</f>
        <v>Caneyville Cemetery # 5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4171</v>
      </c>
      <c r="E9" s="21">
        <f>+D34</f>
        <v>4771</v>
      </c>
      <c r="F9" s="21">
        <f>+E34</f>
        <v>3180</v>
      </c>
    </row>
    <row r="10" spans="1:6" ht="15.75">
      <c r="A10" s="197" t="s">
        <v>14</v>
      </c>
      <c r="B10" s="198"/>
      <c r="C10" s="199"/>
      <c r="D10" s="194">
        <f>2850-118-197</f>
        <v>2535</v>
      </c>
      <c r="E10" s="37">
        <f>+C49</f>
        <v>2420</v>
      </c>
      <c r="F10" s="20" t="s">
        <v>6</v>
      </c>
    </row>
    <row r="11" spans="1:6" ht="15.75">
      <c r="A11" s="35" t="s">
        <v>15</v>
      </c>
      <c r="B11" s="36"/>
      <c r="C11" s="199"/>
      <c r="D11" s="194">
        <v>118</v>
      </c>
      <c r="E11" s="37"/>
      <c r="F11" s="37"/>
    </row>
    <row r="12" spans="1:6" ht="15.75">
      <c r="A12" s="35" t="s">
        <v>16</v>
      </c>
      <c r="B12" s="36"/>
      <c r="C12" s="199"/>
      <c r="D12" s="194">
        <v>195</v>
      </c>
      <c r="E12" s="37">
        <v>174</v>
      </c>
      <c r="F12" s="21">
        <f>D49</f>
        <v>120</v>
      </c>
    </row>
    <row r="13" spans="1:6" ht="15.75">
      <c r="A13" s="35" t="s">
        <v>17</v>
      </c>
      <c r="B13" s="36"/>
      <c r="C13" s="199"/>
      <c r="D13" s="194">
        <v>2</v>
      </c>
      <c r="E13" s="37">
        <v>1</v>
      </c>
      <c r="F13" s="21">
        <f>E49</f>
        <v>2</v>
      </c>
    </row>
    <row r="14" spans="1:6" ht="15.75">
      <c r="A14" s="35" t="s">
        <v>86</v>
      </c>
      <c r="B14" s="36"/>
      <c r="C14" s="199"/>
      <c r="D14" s="194"/>
      <c r="E14" s="37">
        <v>164</v>
      </c>
      <c r="F14" s="21">
        <f>F49</f>
        <v>123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/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/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2850</v>
      </c>
      <c r="E21" s="181">
        <f>SUM(E10:E20)</f>
        <v>2759</v>
      </c>
      <c r="F21" s="181">
        <f>SUM(F10:F20)</f>
        <v>245</v>
      </c>
    </row>
    <row r="22" spans="1:6" ht="15.75">
      <c r="A22" s="43" t="s">
        <v>23</v>
      </c>
      <c r="B22" s="36"/>
      <c r="C22" s="199"/>
      <c r="D22" s="195">
        <f>+D9+D21</f>
        <v>7021</v>
      </c>
      <c r="E22" s="181">
        <f>+E9+E21</f>
        <v>7530</v>
      </c>
      <c r="F22" s="181">
        <f>+F9+F21</f>
        <v>3425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1900</v>
      </c>
      <c r="E24" s="37">
        <v>2000</v>
      </c>
      <c r="F24" s="37">
        <v>2000</v>
      </c>
    </row>
    <row r="25" spans="1:6" ht="15.75">
      <c r="A25" s="41" t="s">
        <v>307</v>
      </c>
      <c r="B25" s="39"/>
      <c r="C25" s="200"/>
      <c r="D25" s="194"/>
      <c r="E25" s="37"/>
      <c r="F25" s="37"/>
    </row>
    <row r="26" spans="1:6" ht="15.75">
      <c r="A26" s="41" t="s">
        <v>308</v>
      </c>
      <c r="B26" s="39"/>
      <c r="C26" s="200"/>
      <c r="D26" s="194">
        <v>250</v>
      </c>
      <c r="E26" s="37">
        <v>250</v>
      </c>
      <c r="F26" s="37">
        <v>250</v>
      </c>
    </row>
    <row r="27" spans="1:6" ht="15.75">
      <c r="A27" s="41" t="s">
        <v>309</v>
      </c>
      <c r="B27" s="39"/>
      <c r="C27" s="200"/>
      <c r="D27" s="194">
        <v>100</v>
      </c>
      <c r="E27" s="37">
        <v>100</v>
      </c>
      <c r="F27" s="37">
        <v>100</v>
      </c>
    </row>
    <row r="28" spans="1:6" ht="15.75">
      <c r="A28" s="38" t="s">
        <v>310</v>
      </c>
      <c r="B28" s="39"/>
      <c r="C28" s="200"/>
      <c r="D28" s="194"/>
      <c r="E28" s="37"/>
      <c r="F28" s="37"/>
    </row>
    <row r="29" spans="1:6" ht="15.75">
      <c r="A29" s="38" t="s">
        <v>318</v>
      </c>
      <c r="B29" s="39"/>
      <c r="C29" s="200"/>
      <c r="D29" s="194"/>
      <c r="E29" s="37">
        <v>2000</v>
      </c>
      <c r="F29" s="37">
        <f>3425+2420-2600</f>
        <v>3245</v>
      </c>
    </row>
    <row r="30" spans="1:6" ht="15.75">
      <c r="A30" s="38" t="s">
        <v>312</v>
      </c>
      <c r="B30" s="39"/>
      <c r="C30" s="200"/>
      <c r="D30" s="194"/>
      <c r="E30" s="37"/>
      <c r="F30" s="37"/>
    </row>
    <row r="31" spans="1:6" ht="15.75">
      <c r="A31" s="38" t="s">
        <v>313</v>
      </c>
      <c r="B31" s="39"/>
      <c r="C31" s="200"/>
      <c r="D31" s="194"/>
      <c r="E31" s="37"/>
      <c r="F31" s="37">
        <v>250</v>
      </c>
    </row>
    <row r="32" spans="1:6" ht="15.75">
      <c r="A32" s="38" t="s">
        <v>314</v>
      </c>
      <c r="B32" s="39"/>
      <c r="C32" s="200"/>
      <c r="D32" s="194"/>
      <c r="E32" s="37"/>
      <c r="F32" s="37"/>
    </row>
    <row r="33" spans="1:6" ht="15.75">
      <c r="A33" s="43" t="s">
        <v>25</v>
      </c>
      <c r="B33" s="36"/>
      <c r="C33" s="199"/>
      <c r="D33" s="195">
        <f>SUM(D24:D32)</f>
        <v>2250</v>
      </c>
      <c r="E33" s="181">
        <f>SUM(E24:E32)</f>
        <v>4350</v>
      </c>
      <c r="F33" s="181">
        <f>SUM(F24:F32)</f>
        <v>5845</v>
      </c>
    </row>
    <row r="34" spans="1:6" ht="15.75">
      <c r="A34" s="35" t="s">
        <v>26</v>
      </c>
      <c r="B34" s="36"/>
      <c r="C34" s="199"/>
      <c r="D34" s="188">
        <f>+D22-D33</f>
        <v>4771</v>
      </c>
      <c r="E34" s="182">
        <f>+E22-E33</f>
        <v>3180</v>
      </c>
      <c r="F34" s="20" t="s">
        <v>6</v>
      </c>
    </row>
    <row r="35" spans="1:7" ht="15.75">
      <c r="A35" s="1"/>
      <c r="B35" s="1"/>
      <c r="C35" s="1"/>
      <c r="D35" s="46"/>
      <c r="E35" s="47" t="s">
        <v>27</v>
      </c>
      <c r="F35" s="17"/>
      <c r="G35" s="192">
        <f>IF(F33/0.95-F33&lt;F35,"Exceeds 5%","")</f>
      </c>
    </row>
    <row r="36" spans="1:6" ht="15.75">
      <c r="A36" s="1"/>
      <c r="B36" s="26"/>
      <c r="C36" s="1"/>
      <c r="D36" s="46"/>
      <c r="E36" s="47" t="s">
        <v>28</v>
      </c>
      <c r="F36" s="21">
        <f>+F33+F35</f>
        <v>5845</v>
      </c>
    </row>
    <row r="37" spans="1:6" ht="15.75">
      <c r="A37" s="1"/>
      <c r="B37" s="1"/>
      <c r="C37" s="1"/>
      <c r="D37" s="1"/>
      <c r="E37" s="4" t="s">
        <v>29</v>
      </c>
      <c r="F37" s="182">
        <f>IF(F36-F22&gt;0,F36-F22,0)</f>
        <v>2420</v>
      </c>
    </row>
    <row r="38" spans="1:6" ht="15.75">
      <c r="A38" s="316" t="s">
        <v>166</v>
      </c>
      <c r="B38" s="317"/>
      <c r="C38" s="317"/>
      <c r="D38" s="317"/>
      <c r="E38" s="187"/>
      <c r="F38" s="182">
        <f>ROUND(IF($E$38&gt;0,($F$37*$E$38),0),0)</f>
        <v>0</v>
      </c>
    </row>
    <row r="39" spans="1:6" ht="15.75">
      <c r="A39" s="1"/>
      <c r="B39" s="1"/>
      <c r="C39" s="1"/>
      <c r="D39" s="1"/>
      <c r="E39" s="4" t="str">
        <f>CONCATENATE("Amount of ",$F$1-1," Ad Valorem Tax")</f>
        <v>Amount of 2013 Ad Valorem Tax</v>
      </c>
      <c r="F39" s="182">
        <f>SUM(F37:F38)</f>
        <v>2420</v>
      </c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28" t="s">
        <v>78</v>
      </c>
      <c r="C45" s="1"/>
      <c r="D45" s="12"/>
      <c r="E45" s="90"/>
      <c r="F45" s="91"/>
    </row>
    <row r="46" spans="1:6" ht="15.75">
      <c r="A46" s="27"/>
      <c r="B46" s="25" t="s">
        <v>19</v>
      </c>
      <c r="C46" s="1"/>
      <c r="D46" s="88"/>
      <c r="E46" s="92" t="str">
        <f>CONCATENATE("Allocation for Year ",$F$1,"")</f>
        <v>Allocation for Year 2014</v>
      </c>
      <c r="F46" s="89"/>
    </row>
    <row r="47" spans="1:6" ht="15.75">
      <c r="A47" s="51" t="s">
        <v>30</v>
      </c>
      <c r="B47" s="52"/>
      <c r="C47" s="160" t="s">
        <v>167</v>
      </c>
      <c r="D47" s="32" t="s">
        <v>79</v>
      </c>
      <c r="E47" s="32" t="s">
        <v>80</v>
      </c>
      <c r="F47" s="32" t="s">
        <v>81</v>
      </c>
    </row>
    <row r="48" spans="1:6" ht="15.75">
      <c r="A48" s="53" t="s">
        <v>31</v>
      </c>
      <c r="B48" s="104"/>
      <c r="C48" s="106" t="str">
        <f>CONCATENATE("for ",$F$1-1,"")</f>
        <v>for 2013</v>
      </c>
      <c r="D48" s="34" t="s">
        <v>32</v>
      </c>
      <c r="E48" s="34" t="s">
        <v>32</v>
      </c>
      <c r="F48" s="34" t="s">
        <v>32</v>
      </c>
    </row>
    <row r="49" spans="1:6" ht="15.75">
      <c r="A49" s="102" t="s">
        <v>33</v>
      </c>
      <c r="B49" s="108"/>
      <c r="C49" s="250">
        <f>inputVehicle!I$5</f>
        <v>2420</v>
      </c>
      <c r="D49" s="125">
        <f>IF(C49&gt;0,ROUND(+C49*D$57,0)," ")</f>
        <v>120</v>
      </c>
      <c r="E49" s="125">
        <f>IF(C49&gt;0,ROUND(+C49*E$58,0)," ")</f>
        <v>2</v>
      </c>
      <c r="F49" s="125">
        <f>IF(C49&gt;0,ROUND(+C49*F$59,0)," ")</f>
        <v>123</v>
      </c>
    </row>
    <row r="50" spans="1:6" ht="15.75">
      <c r="A50" s="54"/>
      <c r="B50" s="101"/>
      <c r="C50" s="107"/>
      <c r="D50" s="125" t="str">
        <f>IF(C50&gt;0,ROUND(+C50*D$57,0)," ")</f>
        <v> </v>
      </c>
      <c r="E50" s="125" t="str">
        <f>IF(C50&gt;0,ROUND(+D50*E$58,0)," ")</f>
        <v> </v>
      </c>
      <c r="F50" s="125" t="str">
        <f>IF(C50&gt;0,ROUND(+E50*F$59,0)," ")</f>
        <v> </v>
      </c>
    </row>
    <row r="51" spans="1:6" ht="15.75">
      <c r="A51" s="35" t="s">
        <v>34</v>
      </c>
      <c r="B51" s="44"/>
      <c r="C51" s="188">
        <f>SUM(C49:C50)</f>
        <v>2420</v>
      </c>
      <c r="D51" s="189">
        <f>SUM(D49:D50)</f>
        <v>120</v>
      </c>
      <c r="E51" s="189">
        <f>SUM(E49:E50)</f>
        <v>2</v>
      </c>
      <c r="F51" s="189">
        <f>SUM(F49:F50)</f>
        <v>123</v>
      </c>
    </row>
    <row r="52" spans="1:6" ht="15.75">
      <c r="A52" s="29"/>
      <c r="B52" s="29"/>
      <c r="C52" s="50"/>
      <c r="D52" s="123"/>
      <c r="E52" s="123"/>
      <c r="F52" s="123"/>
    </row>
    <row r="53" spans="1:6" ht="15.75">
      <c r="A53" s="29" t="s">
        <v>83</v>
      </c>
      <c r="B53" s="29"/>
      <c r="C53" s="50"/>
      <c r="D53" s="251">
        <f>inputVehicle!I$7</f>
        <v>120</v>
      </c>
      <c r="E53" s="123"/>
      <c r="F53" s="123"/>
    </row>
    <row r="54" spans="1:6" ht="15.75">
      <c r="A54" s="29" t="s">
        <v>84</v>
      </c>
      <c r="B54" s="29"/>
      <c r="C54" s="50"/>
      <c r="D54" s="123"/>
      <c r="E54" s="251">
        <f>inputVehicle!I$9</f>
        <v>2</v>
      </c>
      <c r="F54" s="123"/>
    </row>
    <row r="55" spans="1:6" ht="15.75">
      <c r="A55" s="29" t="s">
        <v>85</v>
      </c>
      <c r="B55" s="29"/>
      <c r="C55" s="50"/>
      <c r="D55" s="123"/>
      <c r="E55" s="123"/>
      <c r="F55" s="251">
        <f>inputVehicle!I$11</f>
        <v>123</v>
      </c>
    </row>
    <row r="56" spans="1:6" ht="15.75">
      <c r="A56" s="1"/>
      <c r="B56" s="1"/>
      <c r="C56" s="1"/>
      <c r="D56" s="92"/>
      <c r="E56" s="92"/>
      <c r="F56" s="92"/>
    </row>
    <row r="57" spans="1:6" ht="15.75">
      <c r="A57" s="1"/>
      <c r="B57" s="1"/>
      <c r="C57" s="1" t="s">
        <v>35</v>
      </c>
      <c r="D57" s="124">
        <f>IF(C51=0,0,D53/C51)</f>
        <v>0.049586776859504134</v>
      </c>
      <c r="E57" s="92"/>
      <c r="F57" s="92"/>
    </row>
    <row r="58" spans="1:6" ht="15.75">
      <c r="A58" s="1"/>
      <c r="B58" s="1"/>
      <c r="C58" s="1"/>
      <c r="D58" s="92" t="s">
        <v>36</v>
      </c>
      <c r="E58" s="124">
        <f>IF(C51=0,0,E54/C51)</f>
        <v>0.0008264462809917355</v>
      </c>
      <c r="F58" s="92"/>
    </row>
    <row r="59" spans="1:6" ht="15.75">
      <c r="A59" s="1"/>
      <c r="B59" s="1"/>
      <c r="C59" s="1"/>
      <c r="D59" s="92"/>
      <c r="E59" s="92" t="s">
        <v>82</v>
      </c>
      <c r="F59" s="124">
        <f>IF(C51=0,0,F55/C51)</f>
        <v>0.050826446280991734</v>
      </c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26" t="s">
        <v>37</v>
      </c>
      <c r="C67" s="56"/>
      <c r="D67" s="1"/>
      <c r="E67" s="1"/>
      <c r="F67" s="1"/>
    </row>
  </sheetData>
  <sheetProtection/>
  <mergeCells count="1">
    <mergeCell ref="A38:D38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9">
      <selection activeCell="J5" sqref="J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'Caneyville 5'!C3</f>
        <v>Caneyville Cemetery # 5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inputComp!$I$5</f>
        <v>2420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inputComp!$I$7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2420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inputComp!$I$9</f>
        <v>21952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inputComp!$I$11</f>
        <v>16538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inputComp!$I$13</f>
        <v>16538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inputComp!$I$15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21952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inputComp!$I$17</f>
        <v>1828882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1806930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0.01214878274199886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29.400054235637242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2449.400054235637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inputComp!$I$19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2449.400054235637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99" zoomScaleNormal="99" zoomScalePageLayoutView="0" workbookViewId="0" topLeftCell="A1">
      <selection activeCell="E4" sqref="E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cert2!A15</f>
        <v>Salt Creek Cemetery # 6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6894</v>
      </c>
      <c r="E9" s="21">
        <f>+D33</f>
        <v>7867</v>
      </c>
      <c r="F9" s="21">
        <f>+E33</f>
        <v>7517</v>
      </c>
    </row>
    <row r="10" spans="1:6" ht="15.75">
      <c r="A10" s="197" t="s">
        <v>14</v>
      </c>
      <c r="B10" s="198"/>
      <c r="C10" s="199"/>
      <c r="D10" s="194">
        <v>2425</v>
      </c>
      <c r="E10" s="37">
        <f>+C48</f>
        <v>2499</v>
      </c>
      <c r="F10" s="20" t="s">
        <v>6</v>
      </c>
    </row>
    <row r="11" spans="1:6" ht="15.75">
      <c r="A11" s="35" t="s">
        <v>15</v>
      </c>
      <c r="B11" s="36"/>
      <c r="C11" s="199"/>
      <c r="D11" s="194">
        <v>16</v>
      </c>
      <c r="E11" s="37"/>
      <c r="F11" s="37"/>
    </row>
    <row r="12" spans="1:6" ht="15.75">
      <c r="A12" s="35" t="s">
        <v>16</v>
      </c>
      <c r="B12" s="36"/>
      <c r="C12" s="199"/>
      <c r="D12" s="194">
        <v>191</v>
      </c>
      <c r="E12" s="37">
        <v>182</v>
      </c>
      <c r="F12" s="21">
        <f>D48</f>
        <v>199</v>
      </c>
    </row>
    <row r="13" spans="1:6" ht="15.75">
      <c r="A13" s="35" t="s">
        <v>17</v>
      </c>
      <c r="B13" s="36"/>
      <c r="C13" s="199"/>
      <c r="D13" s="194">
        <v>3</v>
      </c>
      <c r="E13" s="37">
        <v>3</v>
      </c>
      <c r="F13" s="21">
        <f>E48</f>
        <v>3</v>
      </c>
    </row>
    <row r="14" spans="1:6" ht="15.75">
      <c r="A14" s="35" t="s">
        <v>86</v>
      </c>
      <c r="B14" s="36"/>
      <c r="C14" s="199"/>
      <c r="D14" s="194" t="s">
        <v>19</v>
      </c>
      <c r="E14" s="37">
        <v>41</v>
      </c>
      <c r="F14" s="21">
        <f>F48</f>
        <v>42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/>
      <c r="B17" s="39"/>
      <c r="C17" s="200"/>
      <c r="D17" s="194"/>
      <c r="E17" s="37" t="s">
        <v>19</v>
      </c>
      <c r="F17" s="37" t="s">
        <v>19</v>
      </c>
    </row>
    <row r="18" spans="1:6" ht="15.75">
      <c r="A18" s="41"/>
      <c r="B18" s="42"/>
      <c r="C18" s="200"/>
      <c r="D18" s="194"/>
      <c r="E18" s="37"/>
      <c r="F18" s="37"/>
    </row>
    <row r="19" spans="1:6" ht="15.75">
      <c r="A19" s="41" t="s">
        <v>21</v>
      </c>
      <c r="B19" s="42"/>
      <c r="C19" s="200"/>
      <c r="D19" s="194"/>
      <c r="E19" s="37"/>
      <c r="F19" s="37"/>
    </row>
    <row r="20" spans="1:6" ht="15.75">
      <c r="A20" s="43" t="s">
        <v>22</v>
      </c>
      <c r="B20" s="36"/>
      <c r="C20" s="199"/>
      <c r="D20" s="195">
        <f>SUM(D10:D19)</f>
        <v>2635</v>
      </c>
      <c r="E20" s="181">
        <f>SUM(E10:E19)</f>
        <v>2725</v>
      </c>
      <c r="F20" s="181">
        <f>SUM(F10:F19)</f>
        <v>244</v>
      </c>
    </row>
    <row r="21" spans="1:6" ht="15.75">
      <c r="A21" s="43" t="s">
        <v>23</v>
      </c>
      <c r="B21" s="36"/>
      <c r="C21" s="199"/>
      <c r="D21" s="195">
        <f>+D9+D20</f>
        <v>9529</v>
      </c>
      <c r="E21" s="181">
        <f>+E9+E20</f>
        <v>10592</v>
      </c>
      <c r="F21" s="181">
        <f>+F9+F20</f>
        <v>7761</v>
      </c>
    </row>
    <row r="22" spans="1:6" ht="15.75">
      <c r="A22" s="35" t="s">
        <v>24</v>
      </c>
      <c r="B22" s="36"/>
      <c r="C22" s="199"/>
      <c r="D22" s="103"/>
      <c r="E22" s="21"/>
      <c r="F22" s="21"/>
    </row>
    <row r="23" spans="1:6" ht="15.75">
      <c r="A23" s="41" t="s">
        <v>306</v>
      </c>
      <c r="B23" s="39"/>
      <c r="C23" s="200"/>
      <c r="D23" s="194">
        <v>1360</v>
      </c>
      <c r="E23" s="37">
        <v>2000</v>
      </c>
      <c r="F23" s="37">
        <v>2000</v>
      </c>
    </row>
    <row r="24" spans="1:6" ht="15.75">
      <c r="A24" s="41" t="s">
        <v>307</v>
      </c>
      <c r="B24" s="39"/>
      <c r="C24" s="200"/>
      <c r="D24" s="194"/>
      <c r="E24" s="37"/>
      <c r="F24" s="37"/>
    </row>
    <row r="25" spans="1:6" ht="15.75">
      <c r="A25" s="41" t="s">
        <v>308</v>
      </c>
      <c r="B25" s="39"/>
      <c r="C25" s="200"/>
      <c r="D25" s="194"/>
      <c r="E25" s="37"/>
      <c r="F25" s="37"/>
    </row>
    <row r="26" spans="1:6" ht="15.75">
      <c r="A26" s="41" t="s">
        <v>309</v>
      </c>
      <c r="B26" s="39"/>
      <c r="C26" s="200"/>
      <c r="D26" s="194">
        <v>113</v>
      </c>
      <c r="E26" s="37">
        <v>125</v>
      </c>
      <c r="F26" s="37">
        <v>125</v>
      </c>
    </row>
    <row r="27" spans="1:6" ht="15.75">
      <c r="A27" s="38" t="s">
        <v>310</v>
      </c>
      <c r="B27" s="39"/>
      <c r="C27" s="200"/>
      <c r="D27" s="194"/>
      <c r="E27" s="37"/>
      <c r="F27" s="37"/>
    </row>
    <row r="28" spans="1:6" ht="15.75">
      <c r="A28" s="38" t="s">
        <v>319</v>
      </c>
      <c r="B28" s="39"/>
      <c r="C28" s="200"/>
      <c r="D28" s="194">
        <v>15</v>
      </c>
      <c r="E28" s="37">
        <v>500</v>
      </c>
      <c r="F28" s="37">
        <v>500</v>
      </c>
    </row>
    <row r="29" spans="1:6" ht="15.75">
      <c r="A29" s="38" t="s">
        <v>312</v>
      </c>
      <c r="B29" s="39"/>
      <c r="C29" s="200"/>
      <c r="D29" s="194">
        <v>159</v>
      </c>
      <c r="E29" s="37">
        <v>250</v>
      </c>
      <c r="F29" s="37">
        <v>250</v>
      </c>
    </row>
    <row r="30" spans="1:6" ht="15.75">
      <c r="A30" s="38" t="s">
        <v>313</v>
      </c>
      <c r="B30" s="39"/>
      <c r="C30" s="200"/>
      <c r="D30" s="194"/>
      <c r="E30" s="37"/>
      <c r="F30" s="37">
        <f>7761+2537-3075</f>
        <v>7223</v>
      </c>
    </row>
    <row r="31" spans="1:6" ht="15.75">
      <c r="A31" s="38" t="s">
        <v>316</v>
      </c>
      <c r="B31" s="39"/>
      <c r="C31" s="200"/>
      <c r="D31" s="194">
        <v>15</v>
      </c>
      <c r="E31" s="37">
        <v>200</v>
      </c>
      <c r="F31" s="37">
        <v>200</v>
      </c>
    </row>
    <row r="32" spans="1:6" ht="15.75">
      <c r="A32" s="43" t="s">
        <v>25</v>
      </c>
      <c r="B32" s="36"/>
      <c r="C32" s="199"/>
      <c r="D32" s="201">
        <f>SUM(D23:D31)</f>
        <v>1662</v>
      </c>
      <c r="E32" s="45">
        <f>SUM(E23:E31)</f>
        <v>3075</v>
      </c>
      <c r="F32" s="45">
        <f>SUM(F23:F31)</f>
        <v>10298</v>
      </c>
    </row>
    <row r="33" spans="1:6" ht="15.75">
      <c r="A33" s="35" t="s">
        <v>26</v>
      </c>
      <c r="B33" s="36"/>
      <c r="C33" s="199"/>
      <c r="D33" s="188">
        <f>+D21-D32</f>
        <v>7867</v>
      </c>
      <c r="E33" s="182">
        <f>+E21-E32</f>
        <v>7517</v>
      </c>
      <c r="F33" s="20" t="s">
        <v>6</v>
      </c>
    </row>
    <row r="34" spans="1:7" ht="15.75">
      <c r="A34" s="1"/>
      <c r="B34" s="1"/>
      <c r="C34" s="1"/>
      <c r="D34" s="46"/>
      <c r="E34" s="47" t="s">
        <v>27</v>
      </c>
      <c r="F34" s="17"/>
      <c r="G34" s="192">
        <f>IF(F32/0.95-F32&lt;F34,"Exceeds 5%","")</f>
      </c>
    </row>
    <row r="35" spans="1:6" ht="15.75">
      <c r="A35" s="1"/>
      <c r="B35" s="26"/>
      <c r="C35" s="1"/>
      <c r="D35" s="46"/>
      <c r="E35" s="47" t="s">
        <v>28</v>
      </c>
      <c r="F35" s="21">
        <f>+F32+F34</f>
        <v>10298</v>
      </c>
    </row>
    <row r="36" spans="1:6" ht="15.75">
      <c r="A36" s="1"/>
      <c r="B36" s="1"/>
      <c r="C36" s="1"/>
      <c r="D36" s="1"/>
      <c r="E36" s="4" t="s">
        <v>29</v>
      </c>
      <c r="F36" s="182">
        <f>IF(F35-F21&gt;0,F35-F21,0)</f>
        <v>2537</v>
      </c>
    </row>
    <row r="37" spans="1:6" ht="15.75">
      <c r="A37" s="316" t="s">
        <v>166</v>
      </c>
      <c r="B37" s="317"/>
      <c r="C37" s="317"/>
      <c r="D37" s="317"/>
      <c r="E37" s="187"/>
      <c r="F37" s="182">
        <f>ROUND(IF($E$37&gt;0,($F$36*$E$37),0),0)</f>
        <v>0</v>
      </c>
    </row>
    <row r="38" spans="1:6" ht="15.75">
      <c r="A38" s="1"/>
      <c r="B38" s="1"/>
      <c r="C38" s="1"/>
      <c r="D38" s="1"/>
      <c r="E38" s="4" t="str">
        <f>CONCATENATE("Amount of ",$F$1-1," Ad Valorem Tax")</f>
        <v>Amount of 2013 Ad Valorem Tax</v>
      </c>
      <c r="F38" s="182">
        <f>+F36-F37</f>
        <v>2537</v>
      </c>
    </row>
    <row r="39" spans="1:6" ht="15.75">
      <c r="A39" s="1"/>
      <c r="B39" s="1"/>
      <c r="C39" s="1"/>
      <c r="D39" s="1"/>
      <c r="E39" s="4"/>
      <c r="F39" s="50"/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28" t="s">
        <v>78</v>
      </c>
      <c r="C44" s="1"/>
      <c r="D44" s="12"/>
      <c r="E44" s="90"/>
      <c r="F44" s="91"/>
    </row>
    <row r="45" spans="1:6" ht="15.75">
      <c r="A45" s="27"/>
      <c r="B45" s="25" t="s">
        <v>19</v>
      </c>
      <c r="C45" s="1"/>
      <c r="D45" s="88"/>
      <c r="E45" s="92" t="str">
        <f>CONCATENATE("Allocation for Year ",$F$1,"")</f>
        <v>Allocation for Year 2014</v>
      </c>
      <c r="F45" s="89"/>
    </row>
    <row r="46" spans="1:6" ht="15.75">
      <c r="A46" s="51" t="s">
        <v>30</v>
      </c>
      <c r="B46" s="52"/>
      <c r="C46" s="160" t="s">
        <v>167</v>
      </c>
      <c r="D46" s="32" t="s">
        <v>79</v>
      </c>
      <c r="E46" s="32" t="s">
        <v>80</v>
      </c>
      <c r="F46" s="32" t="s">
        <v>81</v>
      </c>
    </row>
    <row r="47" spans="1:6" ht="15.75">
      <c r="A47" s="53" t="s">
        <v>31</v>
      </c>
      <c r="B47" s="104"/>
      <c r="C47" s="106" t="str">
        <f>CONCATENATE("for ",$F$1-1,"")</f>
        <v>for 2013</v>
      </c>
      <c r="D47" s="34" t="s">
        <v>32</v>
      </c>
      <c r="E47" s="34" t="s">
        <v>32</v>
      </c>
      <c r="F47" s="34" t="s">
        <v>32</v>
      </c>
    </row>
    <row r="48" spans="1:6" ht="15.75">
      <c r="A48" s="102" t="s">
        <v>33</v>
      </c>
      <c r="B48" s="108"/>
      <c r="C48" s="250">
        <f>inputVehicle!J$5</f>
        <v>2499</v>
      </c>
      <c r="D48" s="125">
        <f>IF(C48&gt;0,ROUND(+C48*D$56,0)," ")</f>
        <v>199</v>
      </c>
      <c r="E48" s="125">
        <f>IF(C48&gt;0,ROUND(+C48*E$57,0)," ")</f>
        <v>3</v>
      </c>
      <c r="F48" s="125">
        <f>IF(C48&gt;0,ROUND(+C48*F$58,0)," ")</f>
        <v>42</v>
      </c>
    </row>
    <row r="49" spans="1:6" ht="15.75">
      <c r="A49" s="54"/>
      <c r="B49" s="101"/>
      <c r="C49" s="107"/>
      <c r="D49" s="125" t="str">
        <f>IF(C49&gt;0,ROUND(+C49*D$56,0)," ")</f>
        <v> </v>
      </c>
      <c r="E49" s="125" t="str">
        <f>IF(C49&gt;0,ROUND(+D49*E$57,0)," ")</f>
        <v> </v>
      </c>
      <c r="F49" s="125" t="str">
        <f>IF(C49&gt;0,ROUND(+E49*F$58,0)," ")</f>
        <v> </v>
      </c>
    </row>
    <row r="50" spans="1:6" ht="15.75">
      <c r="A50" s="35" t="s">
        <v>34</v>
      </c>
      <c r="B50" s="44"/>
      <c r="C50" s="188">
        <f>SUM(C48:C49)</f>
        <v>2499</v>
      </c>
      <c r="D50" s="189">
        <f>SUM(D48:D49)</f>
        <v>199</v>
      </c>
      <c r="E50" s="189">
        <f>SUM(E48:E49)</f>
        <v>3</v>
      </c>
      <c r="F50" s="189">
        <f>SUM(F48:F49)</f>
        <v>42</v>
      </c>
    </row>
    <row r="51" spans="1:6" ht="15.75">
      <c r="A51" s="29"/>
      <c r="B51" s="29"/>
      <c r="C51" s="50"/>
      <c r="D51" s="123"/>
      <c r="E51" s="123"/>
      <c r="F51" s="123"/>
    </row>
    <row r="52" spans="1:6" ht="15.75">
      <c r="A52" s="29" t="s">
        <v>83</v>
      </c>
      <c r="B52" s="29"/>
      <c r="C52" s="50"/>
      <c r="D52" s="251">
        <f>inputVehicle!J$7</f>
        <v>199</v>
      </c>
      <c r="E52" s="123"/>
      <c r="F52" s="123"/>
    </row>
    <row r="53" spans="1:6" ht="15.75">
      <c r="A53" s="29" t="s">
        <v>84</v>
      </c>
      <c r="B53" s="29"/>
      <c r="C53" s="50"/>
      <c r="D53" s="123"/>
      <c r="E53" s="251">
        <f>inputVehicle!J$9</f>
        <v>3</v>
      </c>
      <c r="F53" s="123"/>
    </row>
    <row r="54" spans="1:6" ht="15.75">
      <c r="A54" s="29" t="s">
        <v>85</v>
      </c>
      <c r="B54" s="29"/>
      <c r="C54" s="50"/>
      <c r="D54" s="123"/>
      <c r="E54" s="123"/>
      <c r="F54" s="251">
        <f>inputVehicle!J$11</f>
        <v>42</v>
      </c>
    </row>
    <row r="55" spans="1:6" ht="15.75">
      <c r="A55" s="1"/>
      <c r="B55" s="1"/>
      <c r="C55" s="1"/>
      <c r="D55" s="92"/>
      <c r="E55" s="92"/>
      <c r="F55" s="92"/>
    </row>
    <row r="56" spans="1:6" ht="15.75">
      <c r="A56" s="1"/>
      <c r="B56" s="1"/>
      <c r="C56" s="1" t="s">
        <v>35</v>
      </c>
      <c r="D56" s="124">
        <f>IF(C50=0,0,D52/C50)</f>
        <v>0.07963185274109644</v>
      </c>
      <c r="E56" s="92"/>
      <c r="F56" s="92"/>
    </row>
    <row r="57" spans="1:6" ht="15.75">
      <c r="A57" s="1"/>
      <c r="B57" s="1"/>
      <c r="C57" s="1"/>
      <c r="D57" s="92" t="s">
        <v>36</v>
      </c>
      <c r="E57" s="124">
        <f>IF(C50=0,0,E53/C50)</f>
        <v>0.0012004801920768306</v>
      </c>
      <c r="F57" s="92"/>
    </row>
    <row r="58" spans="1:6" ht="15.75">
      <c r="A58" s="1"/>
      <c r="B58" s="1"/>
      <c r="C58" s="1"/>
      <c r="D58" s="92"/>
      <c r="E58" s="92" t="s">
        <v>82</v>
      </c>
      <c r="F58" s="124">
        <f>IF(C50=0,0,F54/C50)</f>
        <v>0.01680672268907563</v>
      </c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26" t="s">
        <v>37</v>
      </c>
      <c r="C66" s="56"/>
      <c r="D66" s="1"/>
      <c r="E66" s="1"/>
      <c r="F66" s="1"/>
    </row>
  </sheetData>
  <sheetProtection/>
  <mergeCells count="1">
    <mergeCell ref="A37:D37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6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'Salt Creek 6'!C3</f>
        <v>Salt Creek Cemetery # 6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inputComp!$J$5</f>
        <v>2499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inputComp!$J$7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2499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inputComp!$J$9</f>
        <v>24431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inputComp!$J$11</f>
        <v>23691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inputComp!$J$13</f>
        <v>23691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inputComp!$J$15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24431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inputComp!$J$17</f>
        <v>1624501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1600070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0.01526870699406901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38.15649877817845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2537.1564987781785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inputComp!$J$19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2537.1564987781785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 you must")</f>
        <v>If the 2014 budget includes tax levies exceeding the total on line 14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 
County Special District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3" zoomScaleNormal="83" zoomScalePageLayoutView="0" workbookViewId="0" topLeftCell="A6">
      <selection activeCell="F34" sqref="F34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cert2!A16</f>
        <v>Hendricks Cemetery # 7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902</v>
      </c>
      <c r="E9" s="21">
        <f>+D34</f>
        <v>664</v>
      </c>
      <c r="F9" s="21">
        <f>+E34</f>
        <v>176</v>
      </c>
    </row>
    <row r="10" spans="1:6" ht="15.75">
      <c r="A10" s="197" t="s">
        <v>14</v>
      </c>
      <c r="B10" s="198"/>
      <c r="C10" s="199"/>
      <c r="D10" s="194">
        <v>3396</v>
      </c>
      <c r="E10" s="37">
        <f>+C49</f>
        <v>3406</v>
      </c>
      <c r="F10" s="20" t="s">
        <v>6</v>
      </c>
    </row>
    <row r="11" spans="1:6" ht="15.75">
      <c r="A11" s="35" t="s">
        <v>15</v>
      </c>
      <c r="B11" s="36"/>
      <c r="C11" s="199"/>
      <c r="D11" s="194">
        <v>28</v>
      </c>
      <c r="E11" s="37"/>
      <c r="F11" s="37"/>
    </row>
    <row r="12" spans="1:6" ht="15.75">
      <c r="A12" s="35" t="s">
        <v>16</v>
      </c>
      <c r="B12" s="36"/>
      <c r="C12" s="199"/>
      <c r="D12" s="194">
        <v>154</v>
      </c>
      <c r="E12" s="37">
        <v>122</v>
      </c>
      <c r="F12" s="21">
        <f>D49</f>
        <v>63</v>
      </c>
    </row>
    <row r="13" spans="1:6" ht="15.75">
      <c r="A13" s="35" t="s">
        <v>17</v>
      </c>
      <c r="B13" s="36"/>
      <c r="C13" s="199"/>
      <c r="D13" s="194">
        <v>6</v>
      </c>
      <c r="E13" s="37">
        <v>4</v>
      </c>
      <c r="F13" s="21">
        <f>E49</f>
        <v>2</v>
      </c>
    </row>
    <row r="14" spans="1:6" ht="15.75">
      <c r="A14" s="35" t="s">
        <v>86</v>
      </c>
      <c r="B14" s="36"/>
      <c r="C14" s="199"/>
      <c r="D14" s="194"/>
      <c r="E14" s="37">
        <v>59</v>
      </c>
      <c r="F14" s="21">
        <f>F49</f>
        <v>58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320</v>
      </c>
      <c r="B17" s="39"/>
      <c r="C17" s="200"/>
      <c r="D17" s="194">
        <v>50</v>
      </c>
      <c r="E17" s="37"/>
      <c r="F17" s="37" t="s">
        <v>19</v>
      </c>
    </row>
    <row r="18" spans="1:6" ht="15.75">
      <c r="A18" s="38" t="s">
        <v>315</v>
      </c>
      <c r="B18" s="39"/>
      <c r="C18" s="200"/>
      <c r="D18" s="194">
        <v>275</v>
      </c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>
        <v>1</v>
      </c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3910</v>
      </c>
      <c r="E21" s="181">
        <f>SUM(E10:E20)</f>
        <v>3591</v>
      </c>
      <c r="F21" s="181">
        <f>SUM(F10:F20)</f>
        <v>123</v>
      </c>
    </row>
    <row r="22" spans="1:6" ht="15.75">
      <c r="A22" s="43" t="s">
        <v>23</v>
      </c>
      <c r="B22" s="36"/>
      <c r="C22" s="199"/>
      <c r="D22" s="195">
        <f>+D9+D21</f>
        <v>4812</v>
      </c>
      <c r="E22" s="181">
        <f>+E9+E21</f>
        <v>4255</v>
      </c>
      <c r="F22" s="181">
        <f>+F9+F21</f>
        <v>299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2800</v>
      </c>
      <c r="E24" s="37">
        <v>2800</v>
      </c>
      <c r="F24" s="37">
        <v>3200</v>
      </c>
    </row>
    <row r="25" spans="1:6" ht="15.75">
      <c r="A25" s="41" t="s">
        <v>307</v>
      </c>
      <c r="B25" s="39"/>
      <c r="C25" s="200"/>
      <c r="D25" s="194">
        <v>366</v>
      </c>
      <c r="E25" s="37">
        <v>500</v>
      </c>
      <c r="F25" s="37">
        <v>500</v>
      </c>
    </row>
    <row r="26" spans="1:6" ht="15.75">
      <c r="A26" s="41" t="s">
        <v>308</v>
      </c>
      <c r="B26" s="39"/>
      <c r="C26" s="200"/>
      <c r="D26" s="194">
        <v>160</v>
      </c>
      <c r="E26" s="37">
        <v>150</v>
      </c>
      <c r="F26" s="37">
        <v>160</v>
      </c>
    </row>
    <row r="27" spans="1:6" ht="15.75">
      <c r="A27" s="41" t="s">
        <v>309</v>
      </c>
      <c r="B27" s="39"/>
      <c r="C27" s="200"/>
      <c r="D27" s="194">
        <v>125</v>
      </c>
      <c r="E27" s="37">
        <v>100</v>
      </c>
      <c r="F27" s="37">
        <v>100</v>
      </c>
    </row>
    <row r="28" spans="1:6" ht="15.75">
      <c r="A28" s="38" t="s">
        <v>310</v>
      </c>
      <c r="B28" s="39"/>
      <c r="C28" s="200"/>
      <c r="D28" s="194"/>
      <c r="E28" s="37"/>
      <c r="F28" s="37"/>
    </row>
    <row r="29" spans="1:6" ht="15.75">
      <c r="A29" s="38" t="s">
        <v>319</v>
      </c>
      <c r="B29" s="39"/>
      <c r="C29" s="200"/>
      <c r="D29" s="194">
        <v>515</v>
      </c>
      <c r="E29" s="37">
        <v>346</v>
      </c>
      <c r="F29" s="37">
        <v>500</v>
      </c>
    </row>
    <row r="30" spans="1:6" ht="15.75">
      <c r="A30" s="38" t="s">
        <v>312</v>
      </c>
      <c r="B30" s="39"/>
      <c r="C30" s="200"/>
      <c r="D30" s="194">
        <v>182</v>
      </c>
      <c r="E30" s="37">
        <v>183</v>
      </c>
      <c r="F30" s="37">
        <f>4374-4161</f>
        <v>213</v>
      </c>
    </row>
    <row r="31" spans="1:6" ht="15.75">
      <c r="A31" s="38" t="s">
        <v>313</v>
      </c>
      <c r="B31" s="39"/>
      <c r="C31" s="200"/>
      <c r="D31" s="194"/>
      <c r="E31" s="37"/>
      <c r="F31" s="37"/>
    </row>
    <row r="32" spans="1:6" ht="15.75">
      <c r="A32" s="38" t="s">
        <v>316</v>
      </c>
      <c r="B32" s="39"/>
      <c r="C32" s="200"/>
      <c r="D32" s="194"/>
      <c r="E32" s="37"/>
      <c r="F32" s="37"/>
    </row>
    <row r="33" spans="1:6" ht="15.75">
      <c r="A33" s="43" t="s">
        <v>25</v>
      </c>
      <c r="B33" s="36"/>
      <c r="C33" s="199"/>
      <c r="D33" s="195">
        <f>SUM(D24:D32)</f>
        <v>4148</v>
      </c>
      <c r="E33" s="181">
        <f>SUM(E24:E32)</f>
        <v>4079</v>
      </c>
      <c r="F33" s="181">
        <f>SUM(F24:F32)</f>
        <v>4673</v>
      </c>
    </row>
    <row r="34" spans="1:6" ht="15.75">
      <c r="A34" s="35" t="s">
        <v>26</v>
      </c>
      <c r="B34" s="36"/>
      <c r="C34" s="199"/>
      <c r="D34" s="188">
        <f>+D22-D33</f>
        <v>664</v>
      </c>
      <c r="E34" s="182">
        <f>+E22-E33</f>
        <v>176</v>
      </c>
      <c r="F34" s="20" t="s">
        <v>6</v>
      </c>
    </row>
    <row r="35" spans="1:7" ht="15.75">
      <c r="A35" s="1"/>
      <c r="B35" s="1"/>
      <c r="C35" s="1"/>
      <c r="D35" s="46"/>
      <c r="E35" s="47" t="s">
        <v>27</v>
      </c>
      <c r="F35" s="17"/>
      <c r="G35" s="192">
        <f>IF(F33/0.95-F33&lt;F35,"Exceeds 5%","")</f>
      </c>
    </row>
    <row r="36" spans="1:6" ht="15.75">
      <c r="A36" s="1"/>
      <c r="B36" s="26"/>
      <c r="C36" s="1"/>
      <c r="D36" s="46"/>
      <c r="E36" s="47" t="s">
        <v>28</v>
      </c>
      <c r="F36" s="21">
        <f>+F33+F35</f>
        <v>4673</v>
      </c>
    </row>
    <row r="37" spans="1:6" ht="15.75">
      <c r="A37" s="1"/>
      <c r="B37" s="1"/>
      <c r="C37" s="1"/>
      <c r="D37" s="1"/>
      <c r="E37" s="4" t="s">
        <v>29</v>
      </c>
      <c r="F37" s="182">
        <f>IF(F36-F22&gt;0,F36-F22,0)</f>
        <v>4374</v>
      </c>
    </row>
    <row r="38" spans="1:6" ht="15.75">
      <c r="A38" s="316" t="s">
        <v>166</v>
      </c>
      <c r="B38" s="317"/>
      <c r="C38" s="317"/>
      <c r="D38" s="317"/>
      <c r="E38" s="187"/>
      <c r="F38" s="182">
        <f>ROUND(IF($E$38&gt;0,($F$37*$E$38),0),0)</f>
        <v>0</v>
      </c>
    </row>
    <row r="39" spans="1:6" ht="15.75">
      <c r="A39" s="1"/>
      <c r="B39" s="1"/>
      <c r="C39" s="1"/>
      <c r="D39" s="1"/>
      <c r="E39" s="4" t="str">
        <f>CONCATENATE("Amount of ",$F$1-1," Ad Valorem Tax")</f>
        <v>Amount of 2013 Ad Valorem Tax</v>
      </c>
      <c r="F39" s="182">
        <f>SUM(F37:F38)</f>
        <v>4374</v>
      </c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28" t="s">
        <v>78</v>
      </c>
      <c r="C45" s="1"/>
      <c r="D45" s="12"/>
      <c r="E45" s="90"/>
      <c r="F45" s="91"/>
    </row>
    <row r="46" spans="1:6" ht="15.75">
      <c r="A46" s="27"/>
      <c r="B46" s="25" t="s">
        <v>19</v>
      </c>
      <c r="C46" s="1"/>
      <c r="D46" s="88"/>
      <c r="E46" s="92" t="str">
        <f>CONCATENATE("Allocation for Year ",$F$1,"")</f>
        <v>Allocation for Year 2014</v>
      </c>
      <c r="F46" s="89"/>
    </row>
    <row r="47" spans="1:6" ht="15.75">
      <c r="A47" s="51" t="s">
        <v>30</v>
      </c>
      <c r="B47" s="52"/>
      <c r="C47" s="160" t="s">
        <v>167</v>
      </c>
      <c r="D47" s="32" t="s">
        <v>79</v>
      </c>
      <c r="E47" s="32" t="s">
        <v>80</v>
      </c>
      <c r="F47" s="32" t="s">
        <v>81</v>
      </c>
    </row>
    <row r="48" spans="1:6" ht="15.75">
      <c r="A48" s="53" t="s">
        <v>31</v>
      </c>
      <c r="B48" s="104"/>
      <c r="C48" s="106" t="str">
        <f>CONCATENATE("for ",$F$1-1,"")</f>
        <v>for 2013</v>
      </c>
      <c r="D48" s="34" t="s">
        <v>32</v>
      </c>
      <c r="E48" s="34" t="s">
        <v>32</v>
      </c>
      <c r="F48" s="34" t="s">
        <v>32</v>
      </c>
    </row>
    <row r="49" spans="1:6" ht="15.75">
      <c r="A49" s="102" t="s">
        <v>33</v>
      </c>
      <c r="B49" s="108"/>
      <c r="C49" s="250">
        <f>inputVehicle!K$5</f>
        <v>3406</v>
      </c>
      <c r="D49" s="125">
        <f>IF(C49&gt;0,ROUND(+C49*D$57,0)," ")</f>
        <v>63</v>
      </c>
      <c r="E49" s="125">
        <f>IF(C49&gt;0,ROUND(+C49*E$58,0)," ")</f>
        <v>2</v>
      </c>
      <c r="F49" s="125">
        <f>IF(C49&gt;0,ROUND(+C49*F$59,0)," ")</f>
        <v>58</v>
      </c>
    </row>
    <row r="50" spans="1:6" ht="15.75">
      <c r="A50" s="54"/>
      <c r="B50" s="101"/>
      <c r="C50" s="107"/>
      <c r="D50" s="125" t="str">
        <f>IF(C50&gt;0,ROUND(+C50*D$57,0)," ")</f>
        <v> </v>
      </c>
      <c r="E50" s="125" t="str">
        <f>IF(C50&gt;0,ROUND(+D50*E$58,0)," ")</f>
        <v> </v>
      </c>
      <c r="F50" s="125" t="str">
        <f>IF(C50&gt;0,ROUND(+E50*F$59,0)," ")</f>
        <v> </v>
      </c>
    </row>
    <row r="51" spans="1:6" ht="15.75">
      <c r="A51" s="35" t="s">
        <v>34</v>
      </c>
      <c r="B51" s="44"/>
      <c r="C51" s="188">
        <f>SUM(C49:C50)</f>
        <v>3406</v>
      </c>
      <c r="D51" s="189">
        <f>SUM(D49:D50)</f>
        <v>63</v>
      </c>
      <c r="E51" s="189">
        <f>SUM(E49:E50)</f>
        <v>2</v>
      </c>
      <c r="F51" s="189">
        <f>SUM(F49:F50)</f>
        <v>58</v>
      </c>
    </row>
    <row r="52" spans="1:6" ht="15.75">
      <c r="A52" s="29"/>
      <c r="B52" s="29"/>
      <c r="C52" s="50"/>
      <c r="D52" s="123"/>
      <c r="E52" s="123"/>
      <c r="F52" s="123"/>
    </row>
    <row r="53" spans="1:6" ht="15.75">
      <c r="A53" s="29" t="s">
        <v>83</v>
      </c>
      <c r="B53" s="29"/>
      <c r="C53" s="50"/>
      <c r="D53" s="251">
        <f>inputVehicle!K$7</f>
        <v>63</v>
      </c>
      <c r="E53" s="123"/>
      <c r="F53" s="123"/>
    </row>
    <row r="54" spans="1:6" ht="15.75">
      <c r="A54" s="29" t="s">
        <v>84</v>
      </c>
      <c r="B54" s="29"/>
      <c r="C54" s="50"/>
      <c r="D54" s="123"/>
      <c r="E54" s="251">
        <f>inputVehicle!K$9</f>
        <v>2</v>
      </c>
      <c r="F54" s="123"/>
    </row>
    <row r="55" spans="1:6" ht="15.75">
      <c r="A55" s="29" t="s">
        <v>85</v>
      </c>
      <c r="B55" s="29"/>
      <c r="C55" s="50"/>
      <c r="D55" s="123"/>
      <c r="E55" s="123"/>
      <c r="F55" s="251">
        <f>inputVehicle!K$11</f>
        <v>58</v>
      </c>
    </row>
    <row r="56" spans="1:6" ht="15.75">
      <c r="A56" s="1"/>
      <c r="B56" s="1"/>
      <c r="C56" s="1"/>
      <c r="D56" s="92"/>
      <c r="E56" s="92"/>
      <c r="F56" s="92"/>
    </row>
    <row r="57" spans="1:6" ht="15.75">
      <c r="A57" s="1"/>
      <c r="B57" s="1"/>
      <c r="C57" s="1" t="s">
        <v>35</v>
      </c>
      <c r="D57" s="124">
        <f>IF(C51=0,0,D53/C51)</f>
        <v>0.01849677040516735</v>
      </c>
      <c r="E57" s="92"/>
      <c r="F57" s="92"/>
    </row>
    <row r="58" spans="1:6" ht="15.75">
      <c r="A58" s="1"/>
      <c r="B58" s="1"/>
      <c r="C58" s="1"/>
      <c r="D58" s="92" t="s">
        <v>36</v>
      </c>
      <c r="E58" s="124">
        <f>IF(C51=0,0,E54/C51)</f>
        <v>0.0005871990604815032</v>
      </c>
      <c r="F58" s="92"/>
    </row>
    <row r="59" spans="1:6" ht="15.75">
      <c r="A59" s="1"/>
      <c r="B59" s="1"/>
      <c r="C59" s="1"/>
      <c r="D59" s="92"/>
      <c r="E59" s="92" t="s">
        <v>82</v>
      </c>
      <c r="F59" s="124">
        <f>IF(C51=0,0,F55/C51)</f>
        <v>0.017028772753963594</v>
      </c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26" t="s">
        <v>37</v>
      </c>
      <c r="C67" s="56"/>
      <c r="D67" s="1"/>
      <c r="E67" s="1"/>
      <c r="F67" s="1"/>
    </row>
  </sheetData>
  <sheetProtection/>
  <mergeCells count="1">
    <mergeCell ref="A38:D38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6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'Hendrick 7'!C3</f>
        <v>Hendricks Cemetery # 7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inputComp!$K$5</f>
        <v>3374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inputComp!$K$7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3374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inputComp!$K$9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inputComp!$K$11</f>
        <v>14471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inputComp!$K$13</f>
        <v>14471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inputComp!$K$15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inputComp!$K$17</f>
        <v>1454921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1454921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3374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inputComp!$K$19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3374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6384" width="9.140625" style="3" customWidth="1"/>
  </cols>
  <sheetData>
    <row r="3" spans="2:9" ht="15.75">
      <c r="B3" s="296" t="s">
        <v>172</v>
      </c>
      <c r="C3" s="297"/>
      <c r="D3" s="297"/>
      <c r="E3" s="297"/>
      <c r="F3" s="297"/>
      <c r="G3" s="297"/>
      <c r="H3" s="297"/>
      <c r="I3" s="297"/>
    </row>
    <row r="4" spans="2:9" ht="15.75">
      <c r="B4" s="265"/>
      <c r="C4" s="265"/>
      <c r="D4" s="265"/>
      <c r="E4" s="265"/>
      <c r="F4" s="265"/>
      <c r="G4" s="265"/>
      <c r="H4" s="265"/>
      <c r="I4" s="265"/>
    </row>
    <row r="5" spans="2:9" ht="15.75">
      <c r="B5" s="265" t="s">
        <v>163</v>
      </c>
      <c r="C5" s="265"/>
      <c r="D5" s="265"/>
      <c r="E5" s="265"/>
      <c r="F5" s="173" t="s">
        <v>290</v>
      </c>
      <c r="G5" s="174"/>
      <c r="H5" s="174"/>
      <c r="I5" s="265"/>
    </row>
    <row r="6" spans="2:9" ht="15.75">
      <c r="B6" s="265"/>
      <c r="C6" s="265"/>
      <c r="D6" s="265"/>
      <c r="E6" s="265" t="s">
        <v>221</v>
      </c>
      <c r="F6" s="265" t="s">
        <v>222</v>
      </c>
      <c r="G6" s="265"/>
      <c r="H6" s="266"/>
      <c r="I6" s="265"/>
    </row>
    <row r="7" spans="2:9" ht="15.75">
      <c r="B7" s="265"/>
      <c r="C7" s="265"/>
      <c r="D7" s="265"/>
      <c r="E7" s="265"/>
      <c r="F7" s="265"/>
      <c r="G7" s="265"/>
      <c r="H7" s="265"/>
      <c r="I7" s="265"/>
    </row>
    <row r="8" spans="2:9" ht="15.75">
      <c r="B8" s="265" t="s">
        <v>289</v>
      </c>
      <c r="C8" s="265"/>
      <c r="D8" s="265"/>
      <c r="E8" s="265"/>
      <c r="F8" s="175">
        <v>2014</v>
      </c>
      <c r="G8" s="265"/>
      <c r="H8" s="265"/>
      <c r="I8" s="265"/>
    </row>
    <row r="9" spans="2:9" ht="15.75">
      <c r="B9" s="265"/>
      <c r="C9" s="265"/>
      <c r="D9" s="265"/>
      <c r="E9" s="265" t="s">
        <v>221</v>
      </c>
      <c r="F9" s="265" t="s">
        <v>203</v>
      </c>
      <c r="G9" s="265"/>
      <c r="H9" s="265"/>
      <c r="I9" s="265"/>
    </row>
    <row r="10" spans="2:9" ht="15.75">
      <c r="B10" s="265"/>
      <c r="C10" s="265"/>
      <c r="D10" s="265"/>
      <c r="E10" s="265"/>
      <c r="F10" s="265"/>
      <c r="G10" s="265"/>
      <c r="H10" s="265"/>
      <c r="I10" s="265"/>
    </row>
  </sheetData>
  <sheetProtection sheet="1"/>
  <mergeCells count="1">
    <mergeCell ref="B3:I3"/>
  </mergeCells>
  <printOptions/>
  <pageMargins left="0.75" right="0.75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7" zoomScaleNormal="87" zoomScalePageLayoutView="0" workbookViewId="0" topLeftCell="A1">
      <selection activeCell="E39" sqref="E3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cert2!A17</f>
        <v>Riley-Washington Cem # 8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1675</v>
      </c>
      <c r="E9" s="21">
        <f>+D34</f>
        <v>1209</v>
      </c>
      <c r="F9" s="21">
        <f>+E34</f>
        <v>685</v>
      </c>
    </row>
    <row r="10" spans="1:6" ht="15.75">
      <c r="A10" s="197" t="s">
        <v>14</v>
      </c>
      <c r="B10" s="198"/>
      <c r="C10" s="199"/>
      <c r="D10" s="194">
        <v>2524</v>
      </c>
      <c r="E10" s="37">
        <f>+C49</f>
        <v>2624</v>
      </c>
      <c r="F10" s="20" t="s">
        <v>6</v>
      </c>
    </row>
    <row r="11" spans="1:6" ht="15.75">
      <c r="A11" s="35" t="s">
        <v>15</v>
      </c>
      <c r="B11" s="36"/>
      <c r="C11" s="199"/>
      <c r="D11" s="194">
        <v>37</v>
      </c>
      <c r="E11" s="37"/>
      <c r="F11" s="37"/>
    </row>
    <row r="12" spans="1:6" ht="15.75">
      <c r="A12" s="35" t="s">
        <v>16</v>
      </c>
      <c r="B12" s="36"/>
      <c r="C12" s="199"/>
      <c r="D12" s="194">
        <v>267</v>
      </c>
      <c r="E12" s="37">
        <v>201</v>
      </c>
      <c r="F12" s="21">
        <f>D49</f>
        <v>240</v>
      </c>
    </row>
    <row r="13" spans="1:6" ht="15.75">
      <c r="A13" s="35" t="s">
        <v>17</v>
      </c>
      <c r="B13" s="36"/>
      <c r="C13" s="199"/>
      <c r="D13" s="194">
        <v>6</v>
      </c>
      <c r="E13" s="37">
        <v>6</v>
      </c>
      <c r="F13" s="21">
        <f>E49</f>
        <v>6</v>
      </c>
    </row>
    <row r="14" spans="1:6" ht="15.75">
      <c r="A14" s="35" t="s">
        <v>86</v>
      </c>
      <c r="B14" s="36"/>
      <c r="C14" s="199"/>
      <c r="D14" s="194"/>
      <c r="E14" s="37">
        <v>103</v>
      </c>
      <c r="F14" s="21">
        <f>F49</f>
        <v>88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315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/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2834</v>
      </c>
      <c r="E21" s="181">
        <f>SUM(E10:E20)</f>
        <v>2934</v>
      </c>
      <c r="F21" s="181">
        <f>SUM(F10:F20)</f>
        <v>334</v>
      </c>
    </row>
    <row r="22" spans="1:6" ht="15.75">
      <c r="A22" s="43" t="s">
        <v>23</v>
      </c>
      <c r="B22" s="36"/>
      <c r="C22" s="199"/>
      <c r="D22" s="195">
        <f>+D9+D21</f>
        <v>4509</v>
      </c>
      <c r="E22" s="181">
        <f>+E9+E21</f>
        <v>4143</v>
      </c>
      <c r="F22" s="181">
        <f>+F9+F21</f>
        <v>1019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3200</v>
      </c>
      <c r="E24" s="37">
        <v>3200</v>
      </c>
      <c r="F24" s="37">
        <v>2800</v>
      </c>
    </row>
    <row r="25" spans="1:6" ht="15.75">
      <c r="A25" s="41" t="s">
        <v>307</v>
      </c>
      <c r="B25" s="39"/>
      <c r="C25" s="200"/>
      <c r="D25" s="194"/>
      <c r="E25" s="37"/>
      <c r="F25" s="37"/>
    </row>
    <row r="26" spans="1:6" ht="15.75">
      <c r="A26" s="41" t="s">
        <v>308</v>
      </c>
      <c r="B26" s="39"/>
      <c r="C26" s="200"/>
      <c r="D26" s="194"/>
      <c r="E26" s="37"/>
      <c r="F26" s="37"/>
    </row>
    <row r="27" spans="1:6" ht="15.75">
      <c r="A27" s="41" t="s">
        <v>309</v>
      </c>
      <c r="B27" s="39"/>
      <c r="C27" s="200"/>
      <c r="D27" s="194">
        <v>100</v>
      </c>
      <c r="E27" s="37">
        <v>100</v>
      </c>
      <c r="F27" s="37">
        <v>100</v>
      </c>
    </row>
    <row r="28" spans="1:6" ht="15.75">
      <c r="A28" s="38" t="s">
        <v>310</v>
      </c>
      <c r="B28" s="39"/>
      <c r="C28" s="200"/>
      <c r="D28" s="194"/>
      <c r="E28" s="37"/>
      <c r="F28" s="37"/>
    </row>
    <row r="29" spans="1:6" ht="15.75">
      <c r="A29" s="38" t="s">
        <v>319</v>
      </c>
      <c r="B29" s="39"/>
      <c r="C29" s="200"/>
      <c r="D29" s="194"/>
      <c r="E29" s="37"/>
      <c r="F29" s="37"/>
    </row>
    <row r="30" spans="1:6" ht="15.75">
      <c r="A30" s="38" t="s">
        <v>312</v>
      </c>
      <c r="B30" s="39"/>
      <c r="C30" s="200"/>
      <c r="D30" s="194"/>
      <c r="E30" s="37"/>
      <c r="F30" s="37"/>
    </row>
    <row r="31" spans="1:6" ht="15.75">
      <c r="A31" s="38" t="s">
        <v>313</v>
      </c>
      <c r="B31" s="39"/>
      <c r="C31" s="200"/>
      <c r="D31" s="194"/>
      <c r="E31" s="37">
        <v>158</v>
      </c>
      <c r="F31" s="37">
        <v>750</v>
      </c>
    </row>
    <row r="32" spans="1:6" ht="15.75">
      <c r="A32" s="38" t="s">
        <v>316</v>
      </c>
      <c r="B32" s="39"/>
      <c r="C32" s="200"/>
      <c r="D32" s="194"/>
      <c r="E32" s="37"/>
      <c r="F32" s="37"/>
    </row>
    <row r="33" spans="1:6" ht="15.75">
      <c r="A33" s="43" t="s">
        <v>25</v>
      </c>
      <c r="B33" s="36"/>
      <c r="C33" s="199"/>
      <c r="D33" s="195">
        <f>SUM(D24:D32)</f>
        <v>3300</v>
      </c>
      <c r="E33" s="181">
        <f>SUM(E24:E32)</f>
        <v>3458</v>
      </c>
      <c r="F33" s="181">
        <f>SUM(F24:F32)</f>
        <v>3650</v>
      </c>
    </row>
    <row r="34" spans="1:6" ht="15.75">
      <c r="A34" s="35" t="s">
        <v>26</v>
      </c>
      <c r="B34" s="36"/>
      <c r="C34" s="199"/>
      <c r="D34" s="188">
        <f>+D22-D33</f>
        <v>1209</v>
      </c>
      <c r="E34" s="182">
        <f>+E22-E33</f>
        <v>685</v>
      </c>
      <c r="F34" s="20" t="s">
        <v>6</v>
      </c>
    </row>
    <row r="35" spans="1:7" ht="15.75">
      <c r="A35" s="1"/>
      <c r="B35" s="1"/>
      <c r="C35" s="1"/>
      <c r="D35" s="46"/>
      <c r="E35" s="47" t="s">
        <v>27</v>
      </c>
      <c r="F35" s="17"/>
      <c r="G35" s="192">
        <f>IF(F33/0.95-F33&lt;F35,"Exceeds 5%","")</f>
      </c>
    </row>
    <row r="36" spans="1:6" ht="15.75">
      <c r="A36" s="1"/>
      <c r="B36" s="26"/>
      <c r="C36" s="1"/>
      <c r="D36" s="46"/>
      <c r="E36" s="47" t="s">
        <v>28</v>
      </c>
      <c r="F36" s="21">
        <f>+F33+F35</f>
        <v>3650</v>
      </c>
    </row>
    <row r="37" spans="1:6" ht="15.75">
      <c r="A37" s="1"/>
      <c r="B37" s="1"/>
      <c r="C37" s="1"/>
      <c r="D37" s="1"/>
      <c r="E37" s="4" t="s">
        <v>29</v>
      </c>
      <c r="F37" s="182">
        <f>IF(F36-F22&gt;0,F36-F22,0)</f>
        <v>2631</v>
      </c>
    </row>
    <row r="38" spans="1:6" ht="15.75">
      <c r="A38" s="316" t="s">
        <v>166</v>
      </c>
      <c r="B38" s="317"/>
      <c r="C38" s="317"/>
      <c r="D38" s="317"/>
      <c r="E38" s="187"/>
      <c r="F38" s="182">
        <f>ROUND(IF($E$38&gt;0,($F$37*$E$38),0),0)</f>
        <v>0</v>
      </c>
    </row>
    <row r="39" spans="1:6" ht="15.75">
      <c r="A39" s="1"/>
      <c r="B39" s="1"/>
      <c r="C39" s="1"/>
      <c r="D39" s="1"/>
      <c r="E39" s="4" t="str">
        <f>CONCATENATE("Amount of ",$F$1-1," Ad Valorem Tax")</f>
        <v>Amount of 2013 Ad Valorem Tax</v>
      </c>
      <c r="F39" s="182">
        <f>SUM(F37:F38)</f>
        <v>2631</v>
      </c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28" t="s">
        <v>78</v>
      </c>
      <c r="C45" s="1"/>
      <c r="D45" s="12"/>
      <c r="E45" s="90"/>
      <c r="F45" s="91"/>
    </row>
    <row r="46" spans="1:6" ht="15.75">
      <c r="A46" s="27"/>
      <c r="B46" s="25" t="s">
        <v>19</v>
      </c>
      <c r="C46" s="1"/>
      <c r="D46" s="88"/>
      <c r="E46" s="92" t="str">
        <f>CONCATENATE("Allocation for Year ",$F$1,"")</f>
        <v>Allocation for Year 2014</v>
      </c>
      <c r="F46" s="89"/>
    </row>
    <row r="47" spans="1:6" ht="15.75">
      <c r="A47" s="51" t="s">
        <v>30</v>
      </c>
      <c r="B47" s="52"/>
      <c r="C47" s="160" t="s">
        <v>167</v>
      </c>
      <c r="D47" s="32" t="s">
        <v>79</v>
      </c>
      <c r="E47" s="32" t="s">
        <v>80</v>
      </c>
      <c r="F47" s="32" t="s">
        <v>81</v>
      </c>
    </row>
    <row r="48" spans="1:6" ht="15.75">
      <c r="A48" s="53" t="s">
        <v>31</v>
      </c>
      <c r="B48" s="104"/>
      <c r="C48" s="106" t="str">
        <f>CONCATENATE("for ",$F$1-1,"")</f>
        <v>for 2013</v>
      </c>
      <c r="D48" s="34" t="s">
        <v>32</v>
      </c>
      <c r="E48" s="34" t="s">
        <v>32</v>
      </c>
      <c r="F48" s="34" t="s">
        <v>32</v>
      </c>
    </row>
    <row r="49" spans="1:6" ht="15.75">
      <c r="A49" s="102" t="s">
        <v>33</v>
      </c>
      <c r="B49" s="108"/>
      <c r="C49" s="250">
        <f>inputVehicle!L$5</f>
        <v>2624</v>
      </c>
      <c r="D49" s="125">
        <f>IF(C49&gt;0,ROUND(+C49*D$57,0)," ")</f>
        <v>240</v>
      </c>
      <c r="E49" s="125">
        <f>IF(C49&gt;0,ROUND(+C49*E$58,0)," ")</f>
        <v>6</v>
      </c>
      <c r="F49" s="125">
        <f>IF(C49&gt;0,ROUND(+C49*F$59,0)," ")</f>
        <v>88</v>
      </c>
    </row>
    <row r="50" spans="1:6" ht="15.75">
      <c r="A50" s="54"/>
      <c r="B50" s="101"/>
      <c r="C50" s="107"/>
      <c r="D50" s="125" t="str">
        <f>IF(C50&gt;0,ROUND(+C50*D$57,0)," ")</f>
        <v> </v>
      </c>
      <c r="E50" s="125" t="str">
        <f>IF(C50&gt;0,ROUND(+D50*E$58,0)," ")</f>
        <v> </v>
      </c>
      <c r="F50" s="125" t="str">
        <f>IF(C50&gt;0,ROUND(+E50*F$59,0)," ")</f>
        <v> </v>
      </c>
    </row>
    <row r="51" spans="1:6" ht="15.75">
      <c r="A51" s="35" t="s">
        <v>34</v>
      </c>
      <c r="B51" s="44"/>
      <c r="C51" s="188">
        <f>SUM(C49:C50)</f>
        <v>2624</v>
      </c>
      <c r="D51" s="189">
        <f>SUM(D49:D50)</f>
        <v>240</v>
      </c>
      <c r="E51" s="189">
        <f>SUM(E49:E50)</f>
        <v>6</v>
      </c>
      <c r="F51" s="189">
        <f>SUM(F49:F50)</f>
        <v>88</v>
      </c>
    </row>
    <row r="52" spans="1:6" ht="15.75">
      <c r="A52" s="29"/>
      <c r="B52" s="29"/>
      <c r="C52" s="50"/>
      <c r="D52" s="123"/>
      <c r="E52" s="123"/>
      <c r="F52" s="123"/>
    </row>
    <row r="53" spans="1:6" ht="15.75">
      <c r="A53" s="29" t="s">
        <v>83</v>
      </c>
      <c r="B53" s="29"/>
      <c r="C53" s="50"/>
      <c r="D53" s="251">
        <f>inputVehicle!L$7</f>
        <v>240</v>
      </c>
      <c r="E53" s="123"/>
      <c r="F53" s="123"/>
    </row>
    <row r="54" spans="1:6" ht="15.75">
      <c r="A54" s="29" t="s">
        <v>84</v>
      </c>
      <c r="B54" s="29"/>
      <c r="C54" s="50"/>
      <c r="D54" s="123"/>
      <c r="E54" s="251">
        <f>inputVehicle!L$9</f>
        <v>6</v>
      </c>
      <c r="F54" s="123"/>
    </row>
    <row r="55" spans="1:6" ht="15.75">
      <c r="A55" s="29" t="s">
        <v>85</v>
      </c>
      <c r="B55" s="29"/>
      <c r="C55" s="50"/>
      <c r="D55" s="123"/>
      <c r="E55" s="123"/>
      <c r="F55" s="251">
        <f>inputVehicle!L$11</f>
        <v>88</v>
      </c>
    </row>
    <row r="56" spans="1:6" ht="15.75">
      <c r="A56" s="1"/>
      <c r="B56" s="1"/>
      <c r="C56" s="1"/>
      <c r="D56" s="92"/>
      <c r="E56" s="92"/>
      <c r="F56" s="92"/>
    </row>
    <row r="57" spans="1:6" ht="15.75">
      <c r="A57" s="1"/>
      <c r="B57" s="1"/>
      <c r="C57" s="1" t="s">
        <v>35</v>
      </c>
      <c r="D57" s="124">
        <f>IF(C51=0,0,D53/C51)</f>
        <v>0.09146341463414634</v>
      </c>
      <c r="E57" s="92"/>
      <c r="F57" s="92"/>
    </row>
    <row r="58" spans="1:6" ht="15.75">
      <c r="A58" s="1"/>
      <c r="B58" s="1"/>
      <c r="C58" s="1"/>
      <c r="D58" s="92" t="s">
        <v>36</v>
      </c>
      <c r="E58" s="124">
        <f>IF(C51=0,0,E54/C51)</f>
        <v>0.0022865853658536584</v>
      </c>
      <c r="F58" s="92"/>
    </row>
    <row r="59" spans="1:6" ht="15.75">
      <c r="A59" s="1"/>
      <c r="B59" s="1"/>
      <c r="C59" s="1"/>
      <c r="D59" s="92"/>
      <c r="E59" s="92" t="s">
        <v>82</v>
      </c>
      <c r="F59" s="124">
        <f>IF(C51=0,0,F55/C51)</f>
        <v>0.03353658536585366</v>
      </c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26" t="s">
        <v>37</v>
      </c>
      <c r="C67" s="56"/>
      <c r="D67" s="1"/>
      <c r="E67" s="1"/>
      <c r="F67" s="1"/>
    </row>
  </sheetData>
  <sheetProtection/>
  <mergeCells count="1">
    <mergeCell ref="A38:D38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">
      <selection activeCell="E39" sqref="E39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'Riley-Wash 8'!C3</f>
        <v>Riley-Washington Cem # 8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inputComp!$L$5</f>
        <v>2624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inputComp!$L$7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2624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inputComp!$L$9</f>
        <v>2513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inputComp!$L$11</f>
        <v>21944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inputComp!$L$13</f>
        <v>21944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inputComp!$L$15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2513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inputComp!$L$17</f>
        <v>1013410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1010897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0.0024859110275329732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6.523030536246522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2630.5230305362466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inputComp!$L$19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2630.5230305362466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6" zoomScaleNormal="86" zoomScalePageLayoutView="0" workbookViewId="0" topLeftCell="A19">
      <selection activeCell="F42" sqref="F4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cert2!A18</f>
        <v>Sedan-Greenwood Cem # 9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5248</v>
      </c>
      <c r="E9" s="21">
        <f>+D37</f>
        <v>2849</v>
      </c>
      <c r="F9" s="21">
        <f>+E37</f>
        <v>618</v>
      </c>
    </row>
    <row r="10" spans="1:6" ht="15.75">
      <c r="A10" s="197" t="s">
        <v>14</v>
      </c>
      <c r="B10" s="198"/>
      <c r="C10" s="199"/>
      <c r="D10" s="194">
        <v>12280</v>
      </c>
      <c r="E10" s="37">
        <f>+C52</f>
        <v>13183</v>
      </c>
      <c r="F10" s="20" t="s">
        <v>6</v>
      </c>
    </row>
    <row r="11" spans="1:6" ht="15.75">
      <c r="A11" s="35" t="s">
        <v>15</v>
      </c>
      <c r="B11" s="36"/>
      <c r="C11" s="199"/>
      <c r="D11" s="194">
        <v>558</v>
      </c>
      <c r="E11" s="37"/>
      <c r="F11" s="37"/>
    </row>
    <row r="12" spans="1:6" ht="15.75">
      <c r="A12" s="35" t="s">
        <v>16</v>
      </c>
      <c r="B12" s="36"/>
      <c r="C12" s="199"/>
      <c r="D12" s="194">
        <v>2311</v>
      </c>
      <c r="E12" s="37">
        <v>2578</v>
      </c>
      <c r="F12" s="21">
        <f>D52</f>
        <v>2365</v>
      </c>
    </row>
    <row r="13" spans="1:6" ht="15.75">
      <c r="A13" s="35" t="s">
        <v>17</v>
      </c>
      <c r="B13" s="36"/>
      <c r="C13" s="199"/>
      <c r="D13" s="194">
        <v>45</v>
      </c>
      <c r="E13" s="37">
        <v>50</v>
      </c>
      <c r="F13" s="21">
        <f>E52</f>
        <v>43</v>
      </c>
    </row>
    <row r="14" spans="1:6" ht="15.75">
      <c r="A14" s="35" t="s">
        <v>86</v>
      </c>
      <c r="B14" s="36"/>
      <c r="C14" s="199"/>
      <c r="D14" s="194"/>
      <c r="E14" s="37">
        <v>74</v>
      </c>
      <c r="F14" s="21">
        <f>F52</f>
        <v>58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305</v>
      </c>
      <c r="B17" s="39"/>
      <c r="C17" s="200"/>
      <c r="D17" s="194">
        <v>1064</v>
      </c>
      <c r="E17" s="37">
        <v>1000</v>
      </c>
      <c r="F17" s="37">
        <v>1000</v>
      </c>
    </row>
    <row r="18" spans="1:6" ht="15.75">
      <c r="A18" s="40" t="s">
        <v>337</v>
      </c>
      <c r="B18" s="39"/>
      <c r="C18" s="200"/>
      <c r="D18" s="194">
        <v>1810</v>
      </c>
      <c r="E18" s="37">
        <v>2000</v>
      </c>
      <c r="F18" s="37">
        <v>2000</v>
      </c>
    </row>
    <row r="19" spans="1:6" ht="15.75">
      <c r="A19" s="40" t="s">
        <v>315</v>
      </c>
      <c r="B19" s="39"/>
      <c r="C19" s="200"/>
      <c r="D19" s="194">
        <v>62</v>
      </c>
      <c r="E19" s="37"/>
      <c r="F19" s="37"/>
    </row>
    <row r="20" spans="1:6" ht="15.75">
      <c r="A20" s="38" t="s">
        <v>322</v>
      </c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>
        <v>385</v>
      </c>
      <c r="E22" s="37">
        <v>400</v>
      </c>
      <c r="F22" s="37">
        <v>400</v>
      </c>
    </row>
    <row r="23" spans="1:6" ht="15.75">
      <c r="A23" s="43" t="s">
        <v>22</v>
      </c>
      <c r="B23" s="36"/>
      <c r="C23" s="199"/>
      <c r="D23" s="195">
        <f>SUM(D10:D22)</f>
        <v>18515</v>
      </c>
      <c r="E23" s="181">
        <f>SUM(E10:E22)</f>
        <v>19285</v>
      </c>
      <c r="F23" s="181">
        <f>SUM(F10:F22)</f>
        <v>5866</v>
      </c>
    </row>
    <row r="24" spans="1:6" ht="15.75">
      <c r="A24" s="43" t="s">
        <v>23</v>
      </c>
      <c r="B24" s="36"/>
      <c r="C24" s="199"/>
      <c r="D24" s="195">
        <f>+D9+D23</f>
        <v>23763</v>
      </c>
      <c r="E24" s="181">
        <f>+E9+E23</f>
        <v>22134</v>
      </c>
      <c r="F24" s="181">
        <f>+F9+F23</f>
        <v>6484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 t="s">
        <v>306</v>
      </c>
      <c r="B26" s="39"/>
      <c r="C26" s="200"/>
      <c r="D26" s="194">
        <f>21400-624</f>
        <v>20776</v>
      </c>
      <c r="E26" s="37">
        <v>21350</v>
      </c>
      <c r="F26" s="37">
        <f>6484+13297-200+6303</f>
        <v>25884</v>
      </c>
    </row>
    <row r="27" spans="1:6" ht="15.75">
      <c r="A27" s="41" t="s">
        <v>307</v>
      </c>
      <c r="B27" s="39"/>
      <c r="C27" s="200"/>
      <c r="D27" s="194"/>
      <c r="E27" s="37"/>
      <c r="F27" s="37"/>
    </row>
    <row r="28" spans="1:6" ht="15.75">
      <c r="A28" s="41" t="s">
        <v>308</v>
      </c>
      <c r="B28" s="39"/>
      <c r="C28" s="200"/>
      <c r="D28" s="194"/>
      <c r="E28" s="37"/>
      <c r="F28" s="37"/>
    </row>
    <row r="29" spans="1:6" ht="15.75">
      <c r="A29" s="41" t="s">
        <v>309</v>
      </c>
      <c r="B29" s="39"/>
      <c r="C29" s="200"/>
      <c r="D29" s="194">
        <v>138</v>
      </c>
      <c r="E29" s="37">
        <v>100</v>
      </c>
      <c r="F29" s="37">
        <v>100</v>
      </c>
    </row>
    <row r="30" spans="1:6" ht="15.75">
      <c r="A30" s="38" t="s">
        <v>319</v>
      </c>
      <c r="B30" s="39"/>
      <c r="C30" s="200"/>
      <c r="D30" s="194"/>
      <c r="E30" s="37"/>
      <c r="F30" s="37"/>
    </row>
    <row r="31" spans="1:6" ht="15.75">
      <c r="A31" s="38" t="s">
        <v>312</v>
      </c>
      <c r="B31" s="39"/>
      <c r="C31" s="200"/>
      <c r="D31" s="194"/>
      <c r="E31" s="37"/>
      <c r="F31" s="37"/>
    </row>
    <row r="32" spans="1:6" ht="15.75">
      <c r="A32" s="38" t="s">
        <v>313</v>
      </c>
      <c r="B32" s="39"/>
      <c r="C32" s="200"/>
      <c r="D32" s="194"/>
      <c r="E32" s="37"/>
      <c r="F32" s="37"/>
    </row>
    <row r="33" spans="1:6" ht="15.75">
      <c r="A33" s="38" t="s">
        <v>338</v>
      </c>
      <c r="B33" s="39"/>
      <c r="C33" s="200"/>
      <c r="D33" s="194"/>
      <c r="E33" s="37">
        <v>66</v>
      </c>
      <c r="F33" s="37">
        <v>100</v>
      </c>
    </row>
    <row r="34" spans="1:6" ht="15.75">
      <c r="A34" s="38" t="s">
        <v>323</v>
      </c>
      <c r="B34" s="39"/>
      <c r="C34" s="200"/>
      <c r="D34" s="194"/>
      <c r="E34" s="37"/>
      <c r="F34" s="37"/>
    </row>
    <row r="35" spans="1:6" ht="15.75">
      <c r="A35" s="38" t="s">
        <v>314</v>
      </c>
      <c r="B35" s="39"/>
      <c r="C35" s="200"/>
      <c r="D35" s="194"/>
      <c r="E35" s="37"/>
      <c r="F35" s="37"/>
    </row>
    <row r="36" spans="1:6" ht="15.75">
      <c r="A36" s="43" t="s">
        <v>25</v>
      </c>
      <c r="B36" s="36"/>
      <c r="C36" s="199"/>
      <c r="D36" s="195">
        <f>SUM(D26:D35)</f>
        <v>20914</v>
      </c>
      <c r="E36" s="181">
        <f>SUM(E26:E35)</f>
        <v>21516</v>
      </c>
      <c r="F36" s="181">
        <f>SUM(F26:F35)</f>
        <v>26084</v>
      </c>
    </row>
    <row r="37" spans="1:6" ht="15.75">
      <c r="A37" s="35" t="s">
        <v>26</v>
      </c>
      <c r="B37" s="36"/>
      <c r="C37" s="199"/>
      <c r="D37" s="188">
        <f>+D24-D36</f>
        <v>2849</v>
      </c>
      <c r="E37" s="182">
        <f>+E24-E36</f>
        <v>618</v>
      </c>
      <c r="F37" s="20" t="s">
        <v>6</v>
      </c>
    </row>
    <row r="38" spans="1:7" ht="15.75">
      <c r="A38" s="1"/>
      <c r="B38" s="1"/>
      <c r="C38" s="1"/>
      <c r="D38" s="46"/>
      <c r="E38" s="47" t="s">
        <v>27</v>
      </c>
      <c r="F38" s="17"/>
      <c r="G38" s="192">
        <f>IF(F36/0.95-F36&lt;F38,"Exceeds 5%","")</f>
      </c>
    </row>
    <row r="39" spans="1:6" ht="15.75">
      <c r="A39" s="1"/>
      <c r="B39" s="26"/>
      <c r="C39" s="1"/>
      <c r="D39" s="46"/>
      <c r="E39" s="47" t="s">
        <v>28</v>
      </c>
      <c r="F39" s="21">
        <f>+F36+F38</f>
        <v>26084</v>
      </c>
    </row>
    <row r="40" spans="1:6" ht="15.75">
      <c r="A40" s="1"/>
      <c r="B40" s="1"/>
      <c r="C40" s="1"/>
      <c r="D40" s="1"/>
      <c r="E40" s="4" t="s">
        <v>29</v>
      </c>
      <c r="F40" s="182">
        <f>IF(F39-F24&gt;0,F39-F24,0)</f>
        <v>19600</v>
      </c>
    </row>
    <row r="41" spans="1:6" ht="15.75">
      <c r="A41" s="316" t="s">
        <v>166</v>
      </c>
      <c r="B41" s="317"/>
      <c r="C41" s="317"/>
      <c r="D41" s="317"/>
      <c r="E41" s="187"/>
      <c r="F41" s="182">
        <f>ROUND(IF($E$41&gt;0,($F$40*$E$41),0),0)</f>
        <v>0</v>
      </c>
    </row>
    <row r="42" spans="1:6" ht="15.75">
      <c r="A42" s="1"/>
      <c r="B42" s="1"/>
      <c r="C42" s="1"/>
      <c r="D42" s="1"/>
      <c r="E42" s="4" t="str">
        <f>CONCATENATE("Amount of ",$F$1-1," Ad Valorem Tax")</f>
        <v>Amount of 2013 Ad Valorem Tax</v>
      </c>
      <c r="F42" s="182">
        <f>SUM(F40:F41)</f>
        <v>19600</v>
      </c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1"/>
      <c r="C47" s="1"/>
      <c r="D47" s="1"/>
      <c r="E47" s="4"/>
      <c r="F47" s="50"/>
    </row>
    <row r="48" spans="1:6" ht="15.75">
      <c r="A48" s="1"/>
      <c r="B48" s="28" t="s">
        <v>78</v>
      </c>
      <c r="C48" s="1"/>
      <c r="D48" s="12"/>
      <c r="E48" s="90"/>
      <c r="F48" s="91"/>
    </row>
    <row r="49" spans="1:6" ht="15.75">
      <c r="A49" s="27"/>
      <c r="B49" s="25" t="s">
        <v>19</v>
      </c>
      <c r="C49" s="1"/>
      <c r="D49" s="88"/>
      <c r="E49" s="92" t="str">
        <f>CONCATENATE("Allocation for Year ",$F$1,"")</f>
        <v>Allocation for Year 2014</v>
      </c>
      <c r="F49" s="89"/>
    </row>
    <row r="50" spans="1:6" ht="15.75">
      <c r="A50" s="51" t="s">
        <v>30</v>
      </c>
      <c r="B50" s="52"/>
      <c r="C50" s="160" t="s">
        <v>167</v>
      </c>
      <c r="D50" s="32" t="s">
        <v>79</v>
      </c>
      <c r="E50" s="32" t="s">
        <v>80</v>
      </c>
      <c r="F50" s="32" t="s">
        <v>81</v>
      </c>
    </row>
    <row r="51" spans="1:6" ht="15.75">
      <c r="A51" s="53" t="s">
        <v>31</v>
      </c>
      <c r="B51" s="104"/>
      <c r="C51" s="106" t="str">
        <f>CONCATENATE("for ",$F$1-1,"")</f>
        <v>for 2013</v>
      </c>
      <c r="D51" s="34" t="s">
        <v>32</v>
      </c>
      <c r="E51" s="34" t="s">
        <v>32</v>
      </c>
      <c r="F51" s="34" t="s">
        <v>32</v>
      </c>
    </row>
    <row r="52" spans="1:6" ht="15.75">
      <c r="A52" s="102" t="s">
        <v>33</v>
      </c>
      <c r="B52" s="108"/>
      <c r="C52" s="250">
        <f>inputVehicle!M$5</f>
        <v>13183</v>
      </c>
      <c r="D52" s="125">
        <f>IF(C52&gt;0,ROUND(+C52*D$60,0)," ")</f>
        <v>2365</v>
      </c>
      <c r="E52" s="125">
        <f>IF(C52&gt;0,ROUND(+C52*E$61,0)," ")</f>
        <v>43</v>
      </c>
      <c r="F52" s="125">
        <f>IF(C52&gt;0,ROUND(+C52*F$62,0)," ")</f>
        <v>58</v>
      </c>
    </row>
    <row r="53" spans="1:6" ht="15.75">
      <c r="A53" s="54"/>
      <c r="B53" s="101"/>
      <c r="C53" s="107"/>
      <c r="D53" s="125" t="str">
        <f>IF(C53&gt;0,ROUND(+C53*D$60,0)," ")</f>
        <v> </v>
      </c>
      <c r="E53" s="125" t="str">
        <f>IF(C53&gt;0,ROUND(+D53*E$61,0)," ")</f>
        <v> </v>
      </c>
      <c r="F53" s="125" t="str">
        <f>IF(C53&gt;0,ROUND(+E53*F$62,0)," ")</f>
        <v> </v>
      </c>
    </row>
    <row r="54" spans="1:6" ht="15.75">
      <c r="A54" s="35" t="s">
        <v>34</v>
      </c>
      <c r="B54" s="44"/>
      <c r="C54" s="188">
        <f>SUM(C52:C53)</f>
        <v>13183</v>
      </c>
      <c r="D54" s="189">
        <f>SUM(D52:D53)</f>
        <v>2365</v>
      </c>
      <c r="E54" s="189">
        <f>SUM(E52:E53)</f>
        <v>43</v>
      </c>
      <c r="F54" s="189">
        <f>SUM(F52:F53)</f>
        <v>58</v>
      </c>
    </row>
    <row r="55" spans="1:6" ht="15.75">
      <c r="A55" s="29"/>
      <c r="B55" s="29"/>
      <c r="C55" s="50"/>
      <c r="D55" s="123"/>
      <c r="E55" s="123"/>
      <c r="F55" s="123"/>
    </row>
    <row r="56" spans="1:6" ht="15.75">
      <c r="A56" s="29" t="s">
        <v>83</v>
      </c>
      <c r="B56" s="29"/>
      <c r="C56" s="50"/>
      <c r="D56" s="251">
        <f>inputVehicle!M$7</f>
        <v>2365</v>
      </c>
      <c r="E56" s="123"/>
      <c r="F56" s="123"/>
    </row>
    <row r="57" spans="1:6" ht="15.75">
      <c r="A57" s="29" t="s">
        <v>84</v>
      </c>
      <c r="B57" s="29"/>
      <c r="C57" s="50"/>
      <c r="D57" s="123"/>
      <c r="E57" s="251">
        <f>inputVehicle!M$9</f>
        <v>43</v>
      </c>
      <c r="F57" s="123"/>
    </row>
    <row r="58" spans="1:6" ht="15.75">
      <c r="A58" s="29" t="s">
        <v>85</v>
      </c>
      <c r="B58" s="29"/>
      <c r="C58" s="50"/>
      <c r="D58" s="123"/>
      <c r="E58" s="123"/>
      <c r="F58" s="251">
        <f>inputVehicle!M$11</f>
        <v>58</v>
      </c>
    </row>
    <row r="59" spans="1:6" ht="15.75">
      <c r="A59" s="1"/>
      <c r="B59" s="1"/>
      <c r="C59" s="1"/>
      <c r="D59" s="92"/>
      <c r="E59" s="92"/>
      <c r="F59" s="92"/>
    </row>
    <row r="60" spans="1:6" ht="15.75">
      <c r="A60" s="1"/>
      <c r="B60" s="1"/>
      <c r="C60" s="1" t="s">
        <v>35</v>
      </c>
      <c r="D60" s="124">
        <f>IF(C54=0,0,D56/C54)</f>
        <v>0.17939770917090192</v>
      </c>
      <c r="E60" s="92"/>
      <c r="F60" s="92"/>
    </row>
    <row r="61" spans="1:6" ht="15.75">
      <c r="A61" s="1"/>
      <c r="B61" s="1"/>
      <c r="C61" s="1"/>
      <c r="D61" s="92" t="s">
        <v>36</v>
      </c>
      <c r="E61" s="124">
        <f>IF(C54=0,0,E57/C54)</f>
        <v>0.0032617765303800347</v>
      </c>
      <c r="F61" s="92"/>
    </row>
    <row r="62" spans="1:6" ht="15.75">
      <c r="A62" s="1"/>
      <c r="B62" s="1"/>
      <c r="C62" s="1"/>
      <c r="D62" s="92"/>
      <c r="E62" s="92" t="s">
        <v>82</v>
      </c>
      <c r="F62" s="124">
        <f>IF(C54=0,0,F58/C54)</f>
        <v>0.004399605552605629</v>
      </c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26" t="s">
        <v>37</v>
      </c>
      <c r="C70" s="56"/>
      <c r="D70" s="1"/>
      <c r="E70" s="1"/>
      <c r="F70" s="1"/>
    </row>
  </sheetData>
  <sheetProtection/>
  <mergeCells count="1">
    <mergeCell ref="A41:D41"/>
  </mergeCells>
  <printOptions/>
  <pageMargins left="0.75" right="0.75" top="1" bottom="1" header="0.5" footer="0.5"/>
  <pageSetup blackAndWhite="1" fitToHeight="1" fitToWidth="1" horizontalDpi="300" verticalDpi="300" orientation="portrait" scale="60" r:id="rId1"/>
  <headerFooter alignWithMargins="0">
    <oddHeader>&amp;RState of Kansas
County Special District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PageLayoutView="0" workbookViewId="0" topLeftCell="A1">
      <selection activeCell="A36" sqref="A36:D70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2"/>
      <c r="B1" s="72"/>
      <c r="C1" s="72"/>
      <c r="D1" s="1">
        <f>input!$F$8</f>
        <v>2014</v>
      </c>
    </row>
    <row r="2" spans="1:4" ht="15.75">
      <c r="A2" s="130" t="s">
        <v>38</v>
      </c>
      <c r="B2" s="320" t="str">
        <f>input!F5</f>
        <v>Chautauqua County</v>
      </c>
      <c r="C2" s="320"/>
      <c r="D2" s="136"/>
    </row>
    <row r="3" spans="1:4" ht="15.75">
      <c r="A3" s="130" t="s">
        <v>140</v>
      </c>
      <c r="B3" s="321" t="s">
        <v>321</v>
      </c>
      <c r="C3" s="321"/>
      <c r="D3" s="4"/>
    </row>
    <row r="4" spans="1:4" ht="15.75">
      <c r="A4" s="1"/>
      <c r="B4" s="1"/>
      <c r="C4" s="1"/>
      <c r="D4" s="4"/>
    </row>
    <row r="5" spans="1:4" ht="15.75">
      <c r="A5" s="28" t="s">
        <v>138</v>
      </c>
      <c r="B5" s="126"/>
      <c r="C5" s="126"/>
      <c r="D5" s="80"/>
    </row>
    <row r="6" spans="1:4" ht="15.75">
      <c r="A6" s="1"/>
      <c r="B6" s="81"/>
      <c r="C6" s="81"/>
      <c r="D6" s="81"/>
    </row>
    <row r="7" spans="1:4" ht="15.75">
      <c r="A7" s="5" t="s">
        <v>130</v>
      </c>
      <c r="B7" s="118" t="s">
        <v>10</v>
      </c>
      <c r="C7" s="9" t="s">
        <v>11</v>
      </c>
      <c r="D7" s="9" t="s">
        <v>12</v>
      </c>
    </row>
    <row r="8" spans="1:4" ht="15.75">
      <c r="A8" s="119" t="s">
        <v>324</v>
      </c>
      <c r="B8" s="34" t="str">
        <f>CONCATENATE("Actual ",'Rd Mound 1'!$F$1-2,"")</f>
        <v>Actual 2012</v>
      </c>
      <c r="C8" s="34" t="str">
        <f>CONCATENATE("Estimate ",'Rd Mound 1'!$F$1-1,"")</f>
        <v>Estimate 2013</v>
      </c>
      <c r="D8" s="34" t="str">
        <f>CONCATENATE("Year ",'Rd Mound 1'!$F$1,"")</f>
        <v>Year 2014</v>
      </c>
    </row>
    <row r="9" spans="1:4" ht="15.75">
      <c r="A9" s="19" t="s">
        <v>131</v>
      </c>
      <c r="B9" s="127">
        <v>22401</v>
      </c>
      <c r="C9" s="49">
        <f>B21</f>
        <v>17644</v>
      </c>
      <c r="D9" s="49">
        <f>C21</f>
        <v>17644</v>
      </c>
    </row>
    <row r="10" spans="1:4" ht="15.75">
      <c r="A10" s="54"/>
      <c r="B10" s="127"/>
      <c r="C10" s="127"/>
      <c r="D10" s="127"/>
    </row>
    <row r="11" spans="1:4" ht="15.75">
      <c r="A11" s="54"/>
      <c r="B11" s="127"/>
      <c r="C11" s="127"/>
      <c r="D11" s="127"/>
    </row>
    <row r="12" spans="1:4" ht="15.75">
      <c r="A12" s="129" t="s">
        <v>21</v>
      </c>
      <c r="B12" s="127"/>
      <c r="C12" s="127"/>
      <c r="D12" s="127"/>
    </row>
    <row r="13" spans="1:4" ht="15.75">
      <c r="A13" s="121" t="s">
        <v>22</v>
      </c>
      <c r="B13" s="180">
        <f>SUM(B10:B12)</f>
        <v>0</v>
      </c>
      <c r="C13" s="180">
        <f>SUM(C10:C12)</f>
        <v>0</v>
      </c>
      <c r="D13" s="180">
        <f>SUM(D10:D12)</f>
        <v>0</v>
      </c>
    </row>
    <row r="14" spans="1:4" ht="15.75">
      <c r="A14" s="121" t="s">
        <v>23</v>
      </c>
      <c r="B14" s="180">
        <f>B9+B13</f>
        <v>22401</v>
      </c>
      <c r="C14" s="180">
        <f>C9+C13</f>
        <v>17644</v>
      </c>
      <c r="D14" s="180">
        <f>D9+D13</f>
        <v>17644</v>
      </c>
    </row>
    <row r="15" spans="1:4" ht="15.75">
      <c r="A15" s="19" t="s">
        <v>24</v>
      </c>
      <c r="B15" s="16"/>
      <c r="C15" s="16"/>
      <c r="D15" s="16"/>
    </row>
    <row r="16" spans="1:4" ht="15.75">
      <c r="A16" s="54"/>
      <c r="B16" s="127"/>
      <c r="C16" s="127"/>
      <c r="D16" s="127"/>
    </row>
    <row r="17" spans="1:4" ht="15.75">
      <c r="A17" s="54" t="s">
        <v>332</v>
      </c>
      <c r="B17" s="127">
        <v>4757</v>
      </c>
      <c r="C17" s="127"/>
      <c r="D17" s="127"/>
    </row>
    <row r="18" spans="1:4" ht="15.75">
      <c r="A18" s="54"/>
      <c r="B18" s="127"/>
      <c r="C18" s="127"/>
      <c r="D18" s="127"/>
    </row>
    <row r="19" spans="1:4" ht="15.75">
      <c r="A19" s="54"/>
      <c r="B19" s="127"/>
      <c r="C19" s="127"/>
      <c r="D19" s="127"/>
    </row>
    <row r="20" spans="1:4" ht="15.75">
      <c r="A20" s="121" t="s">
        <v>25</v>
      </c>
      <c r="B20" s="180">
        <f>SUM(B16:B19)</f>
        <v>4757</v>
      </c>
      <c r="C20" s="180">
        <f>SUM(C16:C19)</f>
        <v>0</v>
      </c>
      <c r="D20" s="180">
        <f>SUM(D16:D19)</f>
        <v>0</v>
      </c>
    </row>
    <row r="21" spans="1:4" ht="15.75">
      <c r="A21" s="19" t="s">
        <v>135</v>
      </c>
      <c r="B21" s="179">
        <f>B14-B20</f>
        <v>17644</v>
      </c>
      <c r="C21" s="179">
        <f>C14-C20</f>
        <v>17644</v>
      </c>
      <c r="D21" s="179">
        <f>D14-D20</f>
        <v>17644</v>
      </c>
    </row>
    <row r="22" spans="1:4" ht="15.75">
      <c r="A22" s="1"/>
      <c r="B22" s="1"/>
      <c r="C22" s="47"/>
      <c r="D22" s="66"/>
    </row>
    <row r="23" spans="1:4" ht="15.75">
      <c r="A23" s="47" t="s">
        <v>136</v>
      </c>
      <c r="B23" s="143"/>
      <c r="C23" s="47"/>
      <c r="D23" s="66"/>
    </row>
    <row r="24" spans="1:4" ht="15.75">
      <c r="A24" s="1"/>
      <c r="B24" s="1"/>
      <c r="C24" s="47"/>
      <c r="D24" s="66"/>
    </row>
    <row r="25" spans="1:4" ht="15.75">
      <c r="A25" s="131"/>
      <c r="B25" s="131"/>
      <c r="C25" s="132"/>
      <c r="D25" s="133"/>
    </row>
    <row r="26" spans="1:4" ht="15.75">
      <c r="A26" s="131"/>
      <c r="B26" s="131"/>
      <c r="C26" s="132"/>
      <c r="D26" s="133"/>
    </row>
    <row r="27" spans="1:4" ht="15.75">
      <c r="A27" s="131"/>
      <c r="B27" s="131"/>
      <c r="C27" s="132"/>
      <c r="D27" s="133"/>
    </row>
    <row r="28" spans="1:4" ht="15.75">
      <c r="A28" s="131"/>
      <c r="B28" s="131"/>
      <c r="C28" s="132"/>
      <c r="D28" s="133"/>
    </row>
    <row r="29" spans="1:4" ht="15.75">
      <c r="A29" s="131"/>
      <c r="B29" s="131"/>
      <c r="C29" s="132"/>
      <c r="D29" s="133"/>
    </row>
    <row r="30" spans="1:4" ht="15.75">
      <c r="A30" s="131"/>
      <c r="B30" s="131"/>
      <c r="C30" s="132"/>
      <c r="D30" s="133"/>
    </row>
    <row r="31" spans="1:4" ht="15.75">
      <c r="A31" s="131"/>
      <c r="B31" s="131"/>
      <c r="C31" s="132"/>
      <c r="D31" s="133"/>
    </row>
    <row r="32" spans="1:4" ht="15.75">
      <c r="A32" s="131"/>
      <c r="B32" s="131"/>
      <c r="C32" s="132"/>
      <c r="D32" s="133"/>
    </row>
    <row r="33" spans="1:4" ht="15.75">
      <c r="A33" s="1"/>
      <c r="B33" s="1"/>
      <c r="C33" s="47"/>
      <c r="D33" s="1"/>
    </row>
    <row r="34" spans="1:4" ht="15.75">
      <c r="A34" s="1"/>
      <c r="B34" s="1"/>
      <c r="C34" s="47"/>
      <c r="D34" s="66"/>
    </row>
    <row r="35" spans="1:4" ht="15.75">
      <c r="A35" s="1"/>
      <c r="B35" s="322"/>
      <c r="C35" s="322"/>
      <c r="D35" s="66"/>
    </row>
    <row r="36" spans="1:4" ht="15.75">
      <c r="A36" s="30"/>
      <c r="B36" s="323"/>
      <c r="C36" s="323"/>
      <c r="D36" s="275"/>
    </row>
    <row r="37" spans="1:4" ht="15.75">
      <c r="A37" s="30"/>
      <c r="B37" s="123"/>
      <c r="C37" s="123"/>
      <c r="D37" s="275"/>
    </row>
    <row r="38" spans="1:4" ht="15.75">
      <c r="A38" s="276"/>
      <c r="B38" s="123"/>
      <c r="C38" s="123"/>
      <c r="D38" s="275"/>
    </row>
    <row r="39" spans="1:4" ht="15.75">
      <c r="A39" s="30"/>
      <c r="B39" s="123"/>
      <c r="C39" s="123"/>
      <c r="D39" s="275"/>
    </row>
    <row r="40" spans="1:4" ht="15.75">
      <c r="A40" s="96"/>
      <c r="B40" s="277"/>
      <c r="C40" s="123"/>
      <c r="D40" s="123"/>
    </row>
    <row r="41" spans="1:4" ht="15.75">
      <c r="A41" s="278"/>
      <c r="B41" s="123"/>
      <c r="C41" s="123"/>
      <c r="D41" s="123"/>
    </row>
    <row r="42" spans="1:4" ht="15.75">
      <c r="A42" s="96"/>
      <c r="B42" s="279"/>
      <c r="C42" s="66"/>
      <c r="D42" s="66"/>
    </row>
    <row r="43" spans="1:4" ht="15.75">
      <c r="A43" s="29"/>
      <c r="B43" s="50"/>
      <c r="C43" s="50"/>
      <c r="D43" s="50"/>
    </row>
    <row r="44" spans="1:4" ht="15.75">
      <c r="A44" s="96"/>
      <c r="B44" s="279"/>
      <c r="C44" s="279"/>
      <c r="D44" s="280"/>
    </row>
    <row r="45" spans="1:4" ht="15.75">
      <c r="A45" s="96"/>
      <c r="B45" s="279"/>
      <c r="C45" s="279"/>
      <c r="D45" s="279"/>
    </row>
    <row r="46" spans="1:4" ht="15.75">
      <c r="A46" s="96"/>
      <c r="B46" s="279"/>
      <c r="C46" s="279"/>
      <c r="D46" s="281"/>
    </row>
    <row r="47" spans="1:4" ht="15.75">
      <c r="A47" s="96"/>
      <c r="B47" s="279"/>
      <c r="C47" s="279"/>
      <c r="D47" s="281"/>
    </row>
    <row r="48" spans="1:4" ht="15.75">
      <c r="A48" s="50"/>
      <c r="B48" s="279"/>
      <c r="C48" s="279"/>
      <c r="D48" s="281"/>
    </row>
    <row r="49" spans="1:4" ht="15.75">
      <c r="A49" s="282"/>
      <c r="B49" s="279"/>
      <c r="C49" s="279"/>
      <c r="D49" s="279"/>
    </row>
    <row r="50" spans="1:4" ht="15.75">
      <c r="A50" s="282"/>
      <c r="B50" s="279"/>
      <c r="C50" s="279"/>
      <c r="D50" s="279"/>
    </row>
    <row r="51" spans="1:4" ht="15.75">
      <c r="A51" s="282"/>
      <c r="B51" s="279"/>
      <c r="C51" s="279"/>
      <c r="D51" s="279"/>
    </row>
    <row r="52" spans="1:4" ht="15.75">
      <c r="A52" s="282"/>
      <c r="B52" s="279"/>
      <c r="C52" s="279"/>
      <c r="D52" s="279"/>
    </row>
    <row r="53" spans="1:4" ht="15.75">
      <c r="A53" s="283"/>
      <c r="B53" s="279"/>
      <c r="C53" s="279"/>
      <c r="D53" s="279"/>
    </row>
    <row r="54" spans="1:4" ht="15.75">
      <c r="A54" s="154"/>
      <c r="B54" s="284"/>
      <c r="C54" s="284"/>
      <c r="D54" s="284"/>
    </row>
    <row r="55" spans="1:4" ht="15.75">
      <c r="A55" s="154"/>
      <c r="B55" s="284"/>
      <c r="C55" s="284"/>
      <c r="D55" s="284"/>
    </row>
    <row r="56" spans="1:4" ht="15.75">
      <c r="A56" s="96"/>
      <c r="B56" s="30"/>
      <c r="C56" s="30"/>
      <c r="D56" s="30"/>
    </row>
    <row r="57" spans="1:4" ht="15.75">
      <c r="A57" s="282"/>
      <c r="B57" s="279"/>
      <c r="C57" s="279"/>
      <c r="D57" s="279"/>
    </row>
    <row r="58" spans="1:4" ht="15.75">
      <c r="A58" s="282"/>
      <c r="B58" s="279"/>
      <c r="C58" s="279"/>
      <c r="D58" s="279"/>
    </row>
    <row r="59" spans="1:4" ht="15.75">
      <c r="A59" s="282"/>
      <c r="B59" s="279"/>
      <c r="C59" s="279"/>
      <c r="D59" s="279"/>
    </row>
    <row r="60" spans="1:4" ht="15.75">
      <c r="A60" s="282"/>
      <c r="B60" s="279"/>
      <c r="C60" s="279"/>
      <c r="D60" s="279"/>
    </row>
    <row r="61" spans="1:4" ht="15.75">
      <c r="A61" s="154"/>
      <c r="B61" s="284"/>
      <c r="C61" s="284"/>
      <c r="D61" s="284"/>
    </row>
    <row r="62" spans="1:4" ht="15.75">
      <c r="A62" s="96"/>
      <c r="B62" s="285"/>
      <c r="C62" s="285"/>
      <c r="D62" s="280"/>
    </row>
    <row r="63" spans="1:5" ht="15.75">
      <c r="A63" s="30"/>
      <c r="B63" s="66"/>
      <c r="C63" s="286"/>
      <c r="D63" s="279"/>
      <c r="E63" s="193">
        <f>IF(D61/0.95-D61&lt;D63,"Exceeds 5%","")</f>
      </c>
    </row>
    <row r="64" spans="1:4" ht="15.75">
      <c r="A64" s="30"/>
      <c r="B64" s="66"/>
      <c r="C64" s="286"/>
      <c r="D64" s="66"/>
    </row>
    <row r="65" spans="1:4" ht="15.75">
      <c r="A65" s="30"/>
      <c r="B65" s="30"/>
      <c r="C65" s="286"/>
      <c r="D65" s="285"/>
    </row>
    <row r="66" spans="1:4" ht="15.75">
      <c r="A66" s="324"/>
      <c r="B66" s="325"/>
      <c r="C66" s="287"/>
      <c r="D66" s="66"/>
    </row>
    <row r="67" spans="1:4" ht="15.75">
      <c r="A67" s="30"/>
      <c r="B67" s="30"/>
      <c r="C67" s="286"/>
      <c r="D67" s="285"/>
    </row>
    <row r="68" spans="1:4" ht="15.75">
      <c r="A68" s="30"/>
      <c r="B68" s="30"/>
      <c r="C68" s="288"/>
      <c r="D68" s="66"/>
    </row>
    <row r="69" spans="1:4" ht="15.75">
      <c r="A69" s="286"/>
      <c r="B69" s="289"/>
      <c r="C69" s="30"/>
      <c r="D69" s="30"/>
    </row>
    <row r="70" spans="1:4" ht="15.75">
      <c r="A70" s="164"/>
      <c r="B70" s="164"/>
      <c r="C70" s="164"/>
      <c r="D70" s="164"/>
    </row>
  </sheetData>
  <sheetProtection/>
  <mergeCells count="5">
    <mergeCell ref="B2:C2"/>
    <mergeCell ref="B3:C3"/>
    <mergeCell ref="B35:C35"/>
    <mergeCell ref="B36:C36"/>
    <mergeCell ref="A66:B66"/>
  </mergeCells>
  <printOptions/>
  <pageMargins left="0.7" right="0.7" top="0.75" bottom="0.75" header="0.3" footer="0.3"/>
  <pageSetup blackAndWhite="1" fitToHeight="1" fitToWidth="1" horizontalDpi="300" verticalDpi="300" orientation="portrait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'Sedan-Green 9'!C3</f>
        <v>Sedan-Greenwood Cem # 9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inputComp!$M$5</f>
        <v>13183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inputComp!$M$7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13183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inputComp!$M$9</f>
        <v>54243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inputComp!$M$11</f>
        <v>284222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inputComp!$M$13</f>
        <v>284222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inputComp!$M$15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54243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inputComp!$M$17</f>
        <v>6303735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6249492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0.008679585476707547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114.4229753394356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13297.422975339436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inputComp!$M$19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13297.422975339436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87" zoomScaleNormal="87" zoomScalePageLayoutView="0" workbookViewId="0" topLeftCell="A1">
      <selection activeCell="C6" sqref="C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cert2!A19</f>
        <v>Elgin  Cemetery # 10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5969</v>
      </c>
      <c r="E9" s="21">
        <f>+D35</f>
        <v>4061</v>
      </c>
      <c r="F9" s="21">
        <f>+E35</f>
        <v>3451</v>
      </c>
    </row>
    <row r="10" spans="1:6" ht="15.75">
      <c r="A10" s="197" t="s">
        <v>14</v>
      </c>
      <c r="B10" s="198"/>
      <c r="C10" s="199"/>
      <c r="D10" s="194">
        <v>4946</v>
      </c>
      <c r="E10" s="37">
        <f>+C50</f>
        <v>5308</v>
      </c>
      <c r="F10" s="20" t="s">
        <v>6</v>
      </c>
    </row>
    <row r="11" spans="1:6" ht="15.75">
      <c r="A11" s="35" t="s">
        <v>15</v>
      </c>
      <c r="B11" s="36"/>
      <c r="C11" s="199"/>
      <c r="D11" s="194">
        <v>136</v>
      </c>
      <c r="E11" s="37"/>
      <c r="F11" s="37"/>
    </row>
    <row r="12" spans="1:6" ht="15.75">
      <c r="A12" s="35" t="s">
        <v>16</v>
      </c>
      <c r="B12" s="36"/>
      <c r="C12" s="199"/>
      <c r="D12" s="194">
        <v>320</v>
      </c>
      <c r="E12" s="37">
        <v>608</v>
      </c>
      <c r="F12" s="21">
        <f>D50</f>
        <v>450</v>
      </c>
    </row>
    <row r="13" spans="1:6" ht="15.75">
      <c r="A13" s="35" t="s">
        <v>17</v>
      </c>
      <c r="B13" s="36"/>
      <c r="C13" s="199"/>
      <c r="D13" s="194">
        <v>7</v>
      </c>
      <c r="E13" s="37">
        <v>7</v>
      </c>
      <c r="F13" s="21">
        <f>E50</f>
        <v>10</v>
      </c>
    </row>
    <row r="14" spans="1:6" ht="15.75">
      <c r="A14" s="35" t="s">
        <v>86</v>
      </c>
      <c r="B14" s="36"/>
      <c r="C14" s="199"/>
      <c r="D14" s="194"/>
      <c r="E14" s="37">
        <v>33</v>
      </c>
      <c r="F14" s="21">
        <f>F50</f>
        <v>43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315</v>
      </c>
      <c r="B17" s="39"/>
      <c r="C17" s="200"/>
      <c r="D17" s="194"/>
      <c r="E17" s="37">
        <v>1000</v>
      </c>
      <c r="F17" s="37" t="s">
        <v>19</v>
      </c>
    </row>
    <row r="18" spans="1:6" ht="15.75">
      <c r="A18" s="40" t="s">
        <v>320</v>
      </c>
      <c r="B18" s="39"/>
      <c r="C18" s="200"/>
      <c r="D18" s="194">
        <v>100</v>
      </c>
      <c r="E18" s="37">
        <v>100</v>
      </c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/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5509</v>
      </c>
      <c r="E21" s="181">
        <f>SUM(E10:E20)</f>
        <v>7056</v>
      </c>
      <c r="F21" s="181">
        <f>SUM(F10:F20)</f>
        <v>503</v>
      </c>
    </row>
    <row r="22" spans="1:6" ht="15.75">
      <c r="A22" s="43" t="s">
        <v>23</v>
      </c>
      <c r="B22" s="36"/>
      <c r="C22" s="199"/>
      <c r="D22" s="195">
        <f>+D9+D21</f>
        <v>11478</v>
      </c>
      <c r="E22" s="181">
        <f>+E9+E21</f>
        <v>11117</v>
      </c>
      <c r="F22" s="181">
        <f>+F9+F21</f>
        <v>3954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2100</v>
      </c>
      <c r="E24" s="37">
        <v>3800</v>
      </c>
      <c r="F24" s="37">
        <v>3800</v>
      </c>
    </row>
    <row r="25" spans="1:6" ht="15.75">
      <c r="A25" s="41" t="s">
        <v>307</v>
      </c>
      <c r="B25" s="39"/>
      <c r="C25" s="200"/>
      <c r="D25" s="194"/>
      <c r="E25" s="37"/>
      <c r="F25" s="37"/>
    </row>
    <row r="26" spans="1:6" ht="15.75">
      <c r="A26" s="41" t="s">
        <v>308</v>
      </c>
      <c r="B26" s="39"/>
      <c r="C26" s="200"/>
      <c r="D26" s="194"/>
      <c r="E26" s="37"/>
      <c r="F26" s="37"/>
    </row>
    <row r="27" spans="1:6" ht="15.75">
      <c r="A27" s="41" t="s">
        <v>309</v>
      </c>
      <c r="B27" s="39"/>
      <c r="C27" s="200"/>
      <c r="D27" s="194">
        <v>100</v>
      </c>
      <c r="E27" s="37">
        <v>100</v>
      </c>
      <c r="F27" s="37">
        <v>100</v>
      </c>
    </row>
    <row r="28" spans="1:6" ht="15.75">
      <c r="A28" s="38" t="s">
        <v>330</v>
      </c>
      <c r="B28" s="39"/>
      <c r="C28" s="200"/>
      <c r="D28" s="194">
        <v>4377</v>
      </c>
      <c r="E28" s="37">
        <v>2500</v>
      </c>
      <c r="F28" s="37">
        <f>5322-1212</f>
        <v>4110</v>
      </c>
    </row>
    <row r="29" spans="1:6" ht="15.75">
      <c r="A29" s="38" t="s">
        <v>319</v>
      </c>
      <c r="B29" s="39"/>
      <c r="C29" s="200"/>
      <c r="D29" s="194">
        <v>250</v>
      </c>
      <c r="E29" s="37">
        <v>500</v>
      </c>
      <c r="F29" s="37">
        <v>500</v>
      </c>
    </row>
    <row r="30" spans="1:6" ht="15.75">
      <c r="A30" s="38" t="s">
        <v>312</v>
      </c>
      <c r="B30" s="39"/>
      <c r="C30" s="200"/>
      <c r="D30" s="194">
        <v>500</v>
      </c>
      <c r="E30" s="37"/>
      <c r="F30" s="37"/>
    </row>
    <row r="31" spans="1:6" ht="15.75">
      <c r="A31" s="38" t="s">
        <v>313</v>
      </c>
      <c r="B31" s="39"/>
      <c r="C31" s="200"/>
      <c r="D31" s="194"/>
      <c r="E31" s="37">
        <v>766</v>
      </c>
      <c r="F31" s="37">
        <v>766</v>
      </c>
    </row>
    <row r="32" spans="1:6" ht="15.75">
      <c r="A32" s="38" t="s">
        <v>325</v>
      </c>
      <c r="B32" s="39"/>
      <c r="C32" s="200"/>
      <c r="D32" s="194"/>
      <c r="E32" s="37"/>
      <c r="F32" s="37"/>
    </row>
    <row r="33" spans="1:6" ht="15.75">
      <c r="A33" s="38" t="s">
        <v>333</v>
      </c>
      <c r="B33" s="39"/>
      <c r="C33" s="200"/>
      <c r="D33" s="194">
        <v>90</v>
      </c>
      <c r="E33" s="37"/>
      <c r="F33" s="37"/>
    </row>
    <row r="34" spans="1:6" ht="15.75">
      <c r="A34" s="43" t="s">
        <v>25</v>
      </c>
      <c r="B34" s="36"/>
      <c r="C34" s="199"/>
      <c r="D34" s="195">
        <f>SUM(D24:D33)</f>
        <v>7417</v>
      </c>
      <c r="E34" s="181">
        <f>SUM(E24:E33)</f>
        <v>7666</v>
      </c>
      <c r="F34" s="181">
        <f>SUM(F24:F33)</f>
        <v>9276</v>
      </c>
    </row>
    <row r="35" spans="1:6" ht="15.75">
      <c r="A35" s="35" t="s">
        <v>26</v>
      </c>
      <c r="B35" s="36"/>
      <c r="C35" s="199"/>
      <c r="D35" s="188">
        <f>+D22-D34</f>
        <v>4061</v>
      </c>
      <c r="E35" s="182">
        <f>+E22-E34</f>
        <v>3451</v>
      </c>
      <c r="F35" s="20" t="s">
        <v>6</v>
      </c>
    </row>
    <row r="36" spans="1:7" ht="15.75">
      <c r="A36" s="1"/>
      <c r="B36" s="1"/>
      <c r="C36" s="1"/>
      <c r="D36" s="46"/>
      <c r="E36" s="47" t="s">
        <v>27</v>
      </c>
      <c r="F36" s="17"/>
      <c r="G36" s="192">
        <f>IF(F34/0.95-F34&lt;F36,"Exceeds 5%","")</f>
      </c>
    </row>
    <row r="37" spans="1:6" ht="15.75">
      <c r="A37" s="1"/>
      <c r="B37" s="26"/>
      <c r="C37" s="1"/>
      <c r="D37" s="46"/>
      <c r="E37" s="47" t="s">
        <v>28</v>
      </c>
      <c r="F37" s="21">
        <f>+F34+F36</f>
        <v>9276</v>
      </c>
    </row>
    <row r="38" spans="1:6" ht="15.75">
      <c r="A38" s="1"/>
      <c r="B38" s="1"/>
      <c r="C38" s="1"/>
      <c r="D38" s="1"/>
      <c r="E38" s="4" t="s">
        <v>29</v>
      </c>
      <c r="F38" s="182">
        <f>IF(F37-F22&gt;0,F37-F22,0)</f>
        <v>5322</v>
      </c>
    </row>
    <row r="39" spans="1:6" ht="15.75">
      <c r="A39" s="316" t="s">
        <v>166</v>
      </c>
      <c r="B39" s="317"/>
      <c r="C39" s="317"/>
      <c r="D39" s="317"/>
      <c r="E39" s="187"/>
      <c r="F39" s="182">
        <f>ROUND(IF($E$39&gt;0,($F$38*$E$39),0),0)</f>
        <v>0</v>
      </c>
    </row>
    <row r="40" spans="1:6" ht="15.75">
      <c r="A40" s="1"/>
      <c r="B40" s="1"/>
      <c r="C40" s="1"/>
      <c r="D40" s="1"/>
      <c r="E40" s="4" t="str">
        <f>CONCATENATE("Amount of ",$F$1-1," Ad Valorem Tax")</f>
        <v>Amount of 2013 Ad Valorem Tax</v>
      </c>
      <c r="F40" s="182">
        <f>SUM(F38:F39)</f>
        <v>5322</v>
      </c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28" t="s">
        <v>78</v>
      </c>
      <c r="C46" s="1"/>
      <c r="D46" s="12"/>
      <c r="E46" s="90"/>
      <c r="F46" s="91"/>
    </row>
    <row r="47" spans="1:6" ht="15.75">
      <c r="A47" s="27"/>
      <c r="B47" s="25" t="s">
        <v>19</v>
      </c>
      <c r="C47" s="1"/>
      <c r="D47" s="88"/>
      <c r="E47" s="92" t="str">
        <f>CONCATENATE("Allocation for Year ",$F$1,"")</f>
        <v>Allocation for Year 2014</v>
      </c>
      <c r="F47" s="89"/>
    </row>
    <row r="48" spans="1:6" ht="15.75">
      <c r="A48" s="51" t="s">
        <v>30</v>
      </c>
      <c r="B48" s="52"/>
      <c r="C48" s="160" t="s">
        <v>167</v>
      </c>
      <c r="D48" s="32" t="s">
        <v>79</v>
      </c>
      <c r="E48" s="32" t="s">
        <v>80</v>
      </c>
      <c r="F48" s="32" t="s">
        <v>81</v>
      </c>
    </row>
    <row r="49" spans="1:6" ht="15.75">
      <c r="A49" s="53" t="s">
        <v>31</v>
      </c>
      <c r="B49" s="104"/>
      <c r="C49" s="106" t="str">
        <f>CONCATENATE("for ",$F$1-1,"")</f>
        <v>for 2013</v>
      </c>
      <c r="D49" s="34" t="s">
        <v>32</v>
      </c>
      <c r="E49" s="34" t="s">
        <v>32</v>
      </c>
      <c r="F49" s="34" t="s">
        <v>32</v>
      </c>
    </row>
    <row r="50" spans="1:6" ht="15.75">
      <c r="A50" s="102" t="s">
        <v>33</v>
      </c>
      <c r="B50" s="108"/>
      <c r="C50" s="250">
        <f>inputVehicle!N$5</f>
        <v>5308</v>
      </c>
      <c r="D50" s="125">
        <f>IF(C50&gt;0,ROUND(+C50*D$58,0)," ")</f>
        <v>450</v>
      </c>
      <c r="E50" s="125">
        <f>IF(C50&gt;0,ROUND(+C50*E$59,0)," ")</f>
        <v>10</v>
      </c>
      <c r="F50" s="125">
        <f>IF(C50&gt;0,ROUND(+C50*F$60,0)," ")</f>
        <v>43</v>
      </c>
    </row>
    <row r="51" spans="1:6" ht="15.75">
      <c r="A51" s="54"/>
      <c r="B51" s="101"/>
      <c r="C51" s="107"/>
      <c r="D51" s="125" t="str">
        <f>IF(C51&gt;0,ROUND(+C51*D$58,0)," ")</f>
        <v> </v>
      </c>
      <c r="E51" s="125" t="str">
        <f>IF(C51&gt;0,ROUND(+D51*E$59,0)," ")</f>
        <v> </v>
      </c>
      <c r="F51" s="125" t="str">
        <f>IF(C51&gt;0,ROUND(+E51*F$60,0)," ")</f>
        <v> </v>
      </c>
    </row>
    <row r="52" spans="1:6" ht="15.75">
      <c r="A52" s="35" t="s">
        <v>34</v>
      </c>
      <c r="B52" s="44"/>
      <c r="C52" s="188">
        <f>SUM(C50:C51)</f>
        <v>5308</v>
      </c>
      <c r="D52" s="189">
        <f>SUM(D50:D51)</f>
        <v>450</v>
      </c>
      <c r="E52" s="189">
        <f>SUM(E50:E51)</f>
        <v>10</v>
      </c>
      <c r="F52" s="189">
        <f>SUM(F50:F51)</f>
        <v>43</v>
      </c>
    </row>
    <row r="53" spans="1:6" ht="15.75">
      <c r="A53" s="29"/>
      <c r="B53" s="29"/>
      <c r="C53" s="50"/>
      <c r="D53" s="123"/>
      <c r="E53" s="123"/>
      <c r="F53" s="123"/>
    </row>
    <row r="54" spans="1:6" ht="15.75">
      <c r="A54" s="29" t="s">
        <v>83</v>
      </c>
      <c r="B54" s="29"/>
      <c r="C54" s="50"/>
      <c r="D54" s="251">
        <f>inputVehicle!N$7</f>
        <v>450</v>
      </c>
      <c r="E54" s="123"/>
      <c r="F54" s="123"/>
    </row>
    <row r="55" spans="1:6" ht="15.75">
      <c r="A55" s="29" t="s">
        <v>84</v>
      </c>
      <c r="B55" s="29"/>
      <c r="C55" s="50"/>
      <c r="D55" s="123"/>
      <c r="E55" s="251">
        <f>inputVehicle!N$9</f>
        <v>10</v>
      </c>
      <c r="F55" s="123"/>
    </row>
    <row r="56" spans="1:6" ht="15.75">
      <c r="A56" s="29" t="s">
        <v>85</v>
      </c>
      <c r="B56" s="29"/>
      <c r="C56" s="50"/>
      <c r="D56" s="123"/>
      <c r="E56" s="123"/>
      <c r="F56" s="251">
        <f>inputVehicle!N$11</f>
        <v>43</v>
      </c>
    </row>
    <row r="57" spans="1:6" ht="15.75">
      <c r="A57" s="1"/>
      <c r="B57" s="1"/>
      <c r="C57" s="1"/>
      <c r="D57" s="92"/>
      <c r="E57" s="92"/>
      <c r="F57" s="92"/>
    </row>
    <row r="58" spans="1:6" ht="15.75">
      <c r="A58" s="1"/>
      <c r="B58" s="1"/>
      <c r="C58" s="1" t="s">
        <v>35</v>
      </c>
      <c r="D58" s="124">
        <f>IF(C52=0,0,D54/C52)</f>
        <v>0.08477769404672193</v>
      </c>
      <c r="E58" s="92"/>
      <c r="F58" s="92"/>
    </row>
    <row r="59" spans="1:6" ht="15.75">
      <c r="A59" s="1"/>
      <c r="B59" s="1"/>
      <c r="C59" s="1"/>
      <c r="D59" s="92" t="s">
        <v>36</v>
      </c>
      <c r="E59" s="124">
        <f>IF(C52=0,0,E55/C52)</f>
        <v>0.0018839487565938207</v>
      </c>
      <c r="F59" s="92"/>
    </row>
    <row r="60" spans="1:6" ht="15.75">
      <c r="A60" s="1"/>
      <c r="B60" s="1"/>
      <c r="C60" s="1"/>
      <c r="D60" s="92"/>
      <c r="E60" s="92" t="s">
        <v>82</v>
      </c>
      <c r="F60" s="124">
        <f>IF(C52=0,0,F56/C52)</f>
        <v>0.008100979653353428</v>
      </c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26" t="s">
        <v>37</v>
      </c>
      <c r="C68" s="56"/>
      <c r="D68" s="1"/>
      <c r="E68" s="1"/>
      <c r="F68" s="1"/>
    </row>
  </sheetData>
  <sheetProtection/>
  <mergeCells count="1">
    <mergeCell ref="A39:D39"/>
  </mergeCells>
  <printOptions/>
  <pageMargins left="0.75" right="0.75" top="1" bottom="1" header="0.5" footer="0.5"/>
  <pageSetup blackAndWhite="1" fitToHeight="1" fitToWidth="1" horizontalDpi="300" verticalDpi="300" orientation="portrait" scale="61" r:id="rId1"/>
  <headerFooter alignWithMargins="0">
    <oddHeader>&amp;RState of Kansas
County Special District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0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'Elgin 10'!C3</f>
        <v>Elgin  Cemetery # 10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inputComp!$N$5</f>
        <v>5308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inputComp!$N$7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5308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inputComp!$N$9</f>
        <v>2755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inputComp!$N$11</f>
        <v>21558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inputComp!$N$13</f>
        <v>21558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inputComp!$N$15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2755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inputComp!$N$17</f>
        <v>1051022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1048267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0.0026281472182182594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13.950205434302521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5321.950205434303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inputComp!$N$19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5321.950205434303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8" zoomScaleNormal="88" zoomScalePageLayoutView="0" workbookViewId="0" topLeftCell="A1">
      <selection activeCell="F32" sqref="F32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cert2!A20</f>
        <v>Center Cemetery# 11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1586</v>
      </c>
      <c r="E9" s="21">
        <f>+D34</f>
        <v>2225</v>
      </c>
      <c r="F9" s="21">
        <f>+E34</f>
        <v>1711</v>
      </c>
    </row>
    <row r="10" spans="1:6" ht="15.75">
      <c r="A10" s="197" t="s">
        <v>14</v>
      </c>
      <c r="B10" s="198"/>
      <c r="C10" s="199"/>
      <c r="D10" s="194">
        <v>2051</v>
      </c>
      <c r="E10" s="37">
        <f>+C49</f>
        <v>2101</v>
      </c>
      <c r="F10" s="20" t="s">
        <v>6</v>
      </c>
    </row>
    <row r="11" spans="1:6" ht="15.75">
      <c r="A11" s="35" t="s">
        <v>15</v>
      </c>
      <c r="B11" s="36"/>
      <c r="C11" s="199"/>
      <c r="D11" s="194">
        <v>6</v>
      </c>
      <c r="E11" s="37"/>
      <c r="F11" s="37"/>
    </row>
    <row r="12" spans="1:6" ht="15.75">
      <c r="A12" s="35" t="s">
        <v>16</v>
      </c>
      <c r="B12" s="36"/>
      <c r="C12" s="199"/>
      <c r="D12" s="194">
        <v>42</v>
      </c>
      <c r="E12" s="37">
        <v>51</v>
      </c>
      <c r="F12" s="21">
        <f>D49</f>
        <v>47</v>
      </c>
    </row>
    <row r="13" spans="1:6" ht="15.75">
      <c r="A13" s="35" t="s">
        <v>17</v>
      </c>
      <c r="B13" s="36"/>
      <c r="C13" s="199"/>
      <c r="D13" s="194"/>
      <c r="E13" s="37"/>
      <c r="F13" s="21">
        <f>E49</f>
        <v>0</v>
      </c>
    </row>
    <row r="14" spans="1:6" ht="15.75">
      <c r="A14" s="35" t="s">
        <v>86</v>
      </c>
      <c r="B14" s="36"/>
      <c r="C14" s="199"/>
      <c r="D14" s="194"/>
      <c r="E14" s="37">
        <v>24</v>
      </c>
      <c r="F14" s="21">
        <f>F49</f>
        <v>30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 t="s">
        <v>334</v>
      </c>
      <c r="B16" s="36"/>
      <c r="C16" s="199"/>
      <c r="D16" s="194">
        <v>-10</v>
      </c>
      <c r="E16" s="37">
        <v>10</v>
      </c>
      <c r="F16" s="105"/>
    </row>
    <row r="17" spans="1:6" ht="15.75">
      <c r="A17" s="38" t="s">
        <v>305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/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2089</v>
      </c>
      <c r="E21" s="181">
        <f>SUM(E10:E20)</f>
        <v>2186</v>
      </c>
      <c r="F21" s="181">
        <f>SUM(F10:F20)</f>
        <v>77</v>
      </c>
    </row>
    <row r="22" spans="1:6" ht="15.75">
      <c r="A22" s="43" t="s">
        <v>23</v>
      </c>
      <c r="B22" s="36"/>
      <c r="C22" s="199"/>
      <c r="D22" s="195">
        <f>+D9+D21</f>
        <v>3675</v>
      </c>
      <c r="E22" s="181">
        <f>+E9+E21</f>
        <v>4411</v>
      </c>
      <c r="F22" s="181">
        <f>+F9+F21</f>
        <v>1788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1350</v>
      </c>
      <c r="E24" s="37">
        <v>2600</v>
      </c>
      <c r="F24" s="37">
        <v>2600</v>
      </c>
    </row>
    <row r="25" spans="1:6" ht="15.75">
      <c r="A25" s="41" t="s">
        <v>307</v>
      </c>
      <c r="B25" s="39"/>
      <c r="C25" s="200"/>
      <c r="D25" s="194"/>
      <c r="E25" s="37"/>
      <c r="F25" s="37"/>
    </row>
    <row r="26" spans="1:6" ht="15.75">
      <c r="A26" s="41" t="s">
        <v>308</v>
      </c>
      <c r="B26" s="39"/>
      <c r="C26" s="200"/>
      <c r="D26" s="194"/>
      <c r="E26" s="37"/>
      <c r="F26" s="37"/>
    </row>
    <row r="27" spans="1:6" ht="15.75">
      <c r="A27" s="41" t="s">
        <v>309</v>
      </c>
      <c r="B27" s="39"/>
      <c r="C27" s="200"/>
      <c r="D27" s="194">
        <v>100</v>
      </c>
      <c r="E27" s="37">
        <v>100</v>
      </c>
      <c r="F27" s="37">
        <v>100</v>
      </c>
    </row>
    <row r="28" spans="1:6" ht="15.75">
      <c r="A28" s="38" t="s">
        <v>310</v>
      </c>
      <c r="B28" s="39"/>
      <c r="C28" s="200"/>
      <c r="D28" s="194"/>
      <c r="E28" s="37"/>
      <c r="F28" s="37"/>
    </row>
    <row r="29" spans="1:6" ht="15.75">
      <c r="A29" s="38" t="s">
        <v>319</v>
      </c>
      <c r="B29" s="39"/>
      <c r="C29" s="200"/>
      <c r="D29" s="194"/>
      <c r="E29" s="37"/>
      <c r="F29" s="37"/>
    </row>
    <row r="30" spans="1:6" ht="15.75">
      <c r="A30" s="38" t="s">
        <v>312</v>
      </c>
      <c r="B30" s="39"/>
      <c r="C30" s="200"/>
      <c r="D30" s="194"/>
      <c r="E30" s="37"/>
      <c r="F30" s="37"/>
    </row>
    <row r="31" spans="1:6" ht="15.75">
      <c r="A31" s="38" t="s">
        <v>313</v>
      </c>
      <c r="B31" s="39"/>
      <c r="C31" s="200"/>
      <c r="D31" s="194"/>
      <c r="E31" s="37"/>
      <c r="F31" s="37">
        <f>2101-912</f>
        <v>1189</v>
      </c>
    </row>
    <row r="32" spans="1:6" ht="15.75">
      <c r="A32" s="38" t="s">
        <v>325</v>
      </c>
      <c r="B32" s="39"/>
      <c r="C32" s="200"/>
      <c r="D32" s="194"/>
      <c r="E32" s="37"/>
      <c r="F32" s="37"/>
    </row>
    <row r="33" spans="1:6" ht="15.75">
      <c r="A33" s="43" t="s">
        <v>25</v>
      </c>
      <c r="B33" s="36"/>
      <c r="C33" s="199"/>
      <c r="D33" s="195">
        <f>SUM(D24:D32)</f>
        <v>1450</v>
      </c>
      <c r="E33" s="181">
        <f>SUM(E24:E32)</f>
        <v>2700</v>
      </c>
      <c r="F33" s="181">
        <f>SUM(F24:F32)</f>
        <v>3889</v>
      </c>
    </row>
    <row r="34" spans="1:6" ht="15.75">
      <c r="A34" s="35" t="s">
        <v>26</v>
      </c>
      <c r="B34" s="36"/>
      <c r="C34" s="199"/>
      <c r="D34" s="188">
        <f>+D22-D33</f>
        <v>2225</v>
      </c>
      <c r="E34" s="182">
        <f>+E22-E33</f>
        <v>1711</v>
      </c>
      <c r="F34" s="20" t="s">
        <v>6</v>
      </c>
    </row>
    <row r="35" spans="1:7" ht="15.75">
      <c r="A35" s="1"/>
      <c r="B35" s="1"/>
      <c r="C35" s="1"/>
      <c r="D35" s="46"/>
      <c r="E35" s="47" t="s">
        <v>27</v>
      </c>
      <c r="F35" s="17"/>
      <c r="G35" s="192">
        <f>IF(F33/0.95-F33&lt;F35,"Exceeds 5%","")</f>
      </c>
    </row>
    <row r="36" spans="1:6" ht="15.75">
      <c r="A36" s="1"/>
      <c r="B36" s="26"/>
      <c r="C36" s="1"/>
      <c r="D36" s="46"/>
      <c r="E36" s="47" t="s">
        <v>28</v>
      </c>
      <c r="F36" s="21">
        <f>+F33+F35</f>
        <v>3889</v>
      </c>
    </row>
    <row r="37" spans="1:6" ht="15.75">
      <c r="A37" s="1"/>
      <c r="B37" s="1"/>
      <c r="C37" s="1"/>
      <c r="D37" s="1"/>
      <c r="E37" s="4" t="s">
        <v>29</v>
      </c>
      <c r="F37" s="182">
        <f>IF(F36-F22&gt;0,F36-F22,0)</f>
        <v>2101</v>
      </c>
    </row>
    <row r="38" spans="1:6" ht="15.75">
      <c r="A38" s="316" t="s">
        <v>166</v>
      </c>
      <c r="B38" s="317"/>
      <c r="C38" s="317"/>
      <c r="D38" s="317"/>
      <c r="E38" s="187"/>
      <c r="F38" s="182">
        <f>ROUND(IF($E$38&gt;0,($F$37*$E$38),0),0)</f>
        <v>0</v>
      </c>
    </row>
    <row r="39" spans="1:6" ht="15.75">
      <c r="A39" s="1"/>
      <c r="B39" s="1"/>
      <c r="C39" s="1"/>
      <c r="D39" s="1"/>
      <c r="E39" s="4" t="str">
        <f>CONCATENATE("Amount of ",$F$1-1," Ad Valorem Tax")</f>
        <v>Amount of 2013 Ad Valorem Tax</v>
      </c>
      <c r="F39" s="182">
        <f>SUM(F37:F38)</f>
        <v>2101</v>
      </c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28" t="s">
        <v>78</v>
      </c>
      <c r="C45" s="1"/>
      <c r="D45" s="12"/>
      <c r="E45" s="90"/>
      <c r="F45" s="91"/>
    </row>
    <row r="46" spans="1:6" ht="15.75">
      <c r="A46" s="27"/>
      <c r="B46" s="25" t="s">
        <v>19</v>
      </c>
      <c r="C46" s="1"/>
      <c r="D46" s="88"/>
      <c r="E46" s="92" t="str">
        <f>CONCATENATE("Allocation for Year ",$F$1,"")</f>
        <v>Allocation for Year 2014</v>
      </c>
      <c r="F46" s="89"/>
    </row>
    <row r="47" spans="1:6" ht="15.75">
      <c r="A47" s="51" t="s">
        <v>30</v>
      </c>
      <c r="B47" s="52"/>
      <c r="C47" s="160" t="s">
        <v>167</v>
      </c>
      <c r="D47" s="32" t="s">
        <v>79</v>
      </c>
      <c r="E47" s="32" t="s">
        <v>80</v>
      </c>
      <c r="F47" s="32" t="s">
        <v>81</v>
      </c>
    </row>
    <row r="48" spans="1:6" ht="15.75">
      <c r="A48" s="53" t="s">
        <v>31</v>
      </c>
      <c r="B48" s="104"/>
      <c r="C48" s="106" t="str">
        <f>CONCATENATE("for ",$F$1-1,"")</f>
        <v>for 2013</v>
      </c>
      <c r="D48" s="34" t="s">
        <v>32</v>
      </c>
      <c r="E48" s="34" t="s">
        <v>32</v>
      </c>
      <c r="F48" s="34" t="s">
        <v>32</v>
      </c>
    </row>
    <row r="49" spans="1:6" ht="15.75">
      <c r="A49" s="102" t="s">
        <v>33</v>
      </c>
      <c r="B49" s="108"/>
      <c r="C49" s="250">
        <f>inputVehicle!O$5</f>
        <v>2101</v>
      </c>
      <c r="D49" s="125">
        <f>IF(C49&gt;0,ROUND(+C49*D$57,0)," ")</f>
        <v>47</v>
      </c>
      <c r="E49" s="125">
        <f>IF(C49&gt;0,ROUND(+C49*E$58,0)," ")</f>
        <v>0</v>
      </c>
      <c r="F49" s="125">
        <f>IF(C49&gt;0,ROUND(+C49*F$59,0)," ")</f>
        <v>30</v>
      </c>
    </row>
    <row r="50" spans="1:6" ht="15.75">
      <c r="A50" s="54"/>
      <c r="B50" s="101"/>
      <c r="C50" s="107"/>
      <c r="D50" s="125" t="str">
        <f>IF(C50&gt;0,ROUND(+C50*D$57,0)," ")</f>
        <v> </v>
      </c>
      <c r="E50" s="125" t="str">
        <f>IF(C50&gt;0,ROUND(+D50*E$58,0)," ")</f>
        <v> </v>
      </c>
      <c r="F50" s="125" t="str">
        <f>IF(C50&gt;0,ROUND(+E50*F$59,0)," ")</f>
        <v> </v>
      </c>
    </row>
    <row r="51" spans="1:6" ht="15.75">
      <c r="A51" s="35" t="s">
        <v>34</v>
      </c>
      <c r="B51" s="44"/>
      <c r="C51" s="188">
        <f>SUM(C49:C50)</f>
        <v>2101</v>
      </c>
      <c r="D51" s="189">
        <f>SUM(D49:D50)</f>
        <v>47</v>
      </c>
      <c r="E51" s="189">
        <f>SUM(E49:E50)</f>
        <v>0</v>
      </c>
      <c r="F51" s="189">
        <f>SUM(F49:F50)</f>
        <v>30</v>
      </c>
    </row>
    <row r="52" spans="1:6" ht="15.75">
      <c r="A52" s="29"/>
      <c r="B52" s="29"/>
      <c r="C52" s="50"/>
      <c r="D52" s="123"/>
      <c r="E52" s="123"/>
      <c r="F52" s="123"/>
    </row>
    <row r="53" spans="1:6" ht="15.75">
      <c r="A53" s="29" t="s">
        <v>83</v>
      </c>
      <c r="B53" s="29"/>
      <c r="C53" s="50"/>
      <c r="D53" s="251">
        <f>inputVehicle!O$7</f>
        <v>47</v>
      </c>
      <c r="E53" s="123"/>
      <c r="F53" s="123"/>
    </row>
    <row r="54" spans="1:6" ht="15.75">
      <c r="A54" s="29" t="s">
        <v>84</v>
      </c>
      <c r="B54" s="29"/>
      <c r="C54" s="50"/>
      <c r="D54" s="123"/>
      <c r="E54" s="251">
        <f>inputVehicle!O$9</f>
        <v>0</v>
      </c>
      <c r="F54" s="123"/>
    </row>
    <row r="55" spans="1:6" ht="15.75">
      <c r="A55" s="29" t="s">
        <v>85</v>
      </c>
      <c r="B55" s="29"/>
      <c r="C55" s="50"/>
      <c r="D55" s="123"/>
      <c r="E55" s="123"/>
      <c r="F55" s="251">
        <f>inputVehicle!O$11</f>
        <v>30</v>
      </c>
    </row>
    <row r="56" spans="1:6" ht="15.75">
      <c r="A56" s="1"/>
      <c r="B56" s="1"/>
      <c r="C56" s="1"/>
      <c r="D56" s="92"/>
      <c r="E56" s="92"/>
      <c r="F56" s="92"/>
    </row>
    <row r="57" spans="1:6" ht="15.75">
      <c r="A57" s="1"/>
      <c r="B57" s="1"/>
      <c r="C57" s="1" t="s">
        <v>35</v>
      </c>
      <c r="D57" s="124">
        <f>IF(C51=0,0,D53/C51)</f>
        <v>0.02237029985721085</v>
      </c>
      <c r="E57" s="92"/>
      <c r="F57" s="92"/>
    </row>
    <row r="58" spans="1:6" ht="15.75">
      <c r="A58" s="1"/>
      <c r="B58" s="1"/>
      <c r="C58" s="1"/>
      <c r="D58" s="92" t="s">
        <v>36</v>
      </c>
      <c r="E58" s="124">
        <f>IF(C51=0,0,E54/C51)</f>
        <v>0</v>
      </c>
      <c r="F58" s="92"/>
    </row>
    <row r="59" spans="1:6" ht="15.75">
      <c r="A59" s="1"/>
      <c r="B59" s="1"/>
      <c r="C59" s="1"/>
      <c r="D59" s="92"/>
      <c r="E59" s="92" t="s">
        <v>82</v>
      </c>
      <c r="F59" s="124">
        <f>IF(C51=0,0,F55/C51)</f>
        <v>0.014278914802475012</v>
      </c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26" t="s">
        <v>37</v>
      </c>
      <c r="C67" s="56"/>
      <c r="D67" s="1"/>
      <c r="E67" s="1"/>
      <c r="F67" s="1"/>
    </row>
  </sheetData>
  <sheetProtection/>
  <mergeCells count="1">
    <mergeCell ref="A38:D38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&amp;Lrevised 8/06/07&amp;RState of Kansas
County Special District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'Center 11'!C3</f>
        <v>Center Cemetery# 11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inputComp!$O$5</f>
        <v>2101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inputComp!$O$7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2101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inputComp!$O$9</f>
        <v>320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inputComp!$O$11</f>
        <v>61467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inputComp!$O$13</f>
        <v>61467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inputComp!$O$15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320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inputComp!$O$17</f>
        <v>4076666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4076346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7.850167772804369E-05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0.1649320249066198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2101.1649320249066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inputComp!$O$19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2101.1649320249066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8" zoomScaleNormal="88" zoomScalePageLayoutView="0" workbookViewId="0" topLeftCell="A18">
      <selection activeCell="F21" sqref="F2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cert2!A21</f>
        <v>Spring Creek Cemetery # 12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7555</v>
      </c>
      <c r="E9" s="21">
        <f>+D34</f>
        <v>8176</v>
      </c>
      <c r="F9" s="21">
        <f>+E34</f>
        <v>6803</v>
      </c>
    </row>
    <row r="10" spans="1:6" ht="15.75">
      <c r="A10" s="197" t="s">
        <v>14</v>
      </c>
      <c r="B10" s="198"/>
      <c r="C10" s="199"/>
      <c r="D10" s="194">
        <v>1657</v>
      </c>
      <c r="E10" s="37">
        <f>+C49</f>
        <v>1652</v>
      </c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>
        <v>121</v>
      </c>
      <c r="E12" s="37">
        <v>101</v>
      </c>
      <c r="F12" s="21">
        <f>D49</f>
        <v>102</v>
      </c>
    </row>
    <row r="13" spans="1:6" ht="15.75">
      <c r="A13" s="35" t="s">
        <v>17</v>
      </c>
      <c r="B13" s="36"/>
      <c r="C13" s="199"/>
      <c r="D13" s="194"/>
      <c r="E13" s="37"/>
      <c r="F13" s="21">
        <f>E49</f>
        <v>0</v>
      </c>
    </row>
    <row r="14" spans="1:6" ht="15.75">
      <c r="A14" s="35" t="s">
        <v>86</v>
      </c>
      <c r="B14" s="36"/>
      <c r="C14" s="199"/>
      <c r="D14" s="194"/>
      <c r="E14" s="37">
        <v>24</v>
      </c>
      <c r="F14" s="21">
        <f>F49</f>
        <v>22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/>
      <c r="B17" s="39"/>
      <c r="C17" s="200"/>
      <c r="D17" s="194"/>
      <c r="E17" s="37" t="s">
        <v>19</v>
      </c>
      <c r="F17" s="37" t="s">
        <v>19</v>
      </c>
    </row>
    <row r="18" spans="1:6" ht="15.75">
      <c r="A18" s="41"/>
      <c r="B18" s="42"/>
      <c r="C18" s="200"/>
      <c r="D18" s="194"/>
      <c r="E18" s="37"/>
      <c r="F18" s="37"/>
    </row>
    <row r="19" spans="1:6" ht="15.75">
      <c r="A19" s="41" t="s">
        <v>21</v>
      </c>
      <c r="B19" s="42"/>
      <c r="C19" s="200"/>
      <c r="D19" s="194"/>
      <c r="E19" s="37"/>
      <c r="F19" s="37"/>
    </row>
    <row r="20" spans="1:6" ht="15.75">
      <c r="A20" s="43" t="s">
        <v>22</v>
      </c>
      <c r="B20" s="36"/>
      <c r="C20" s="199"/>
      <c r="D20" s="195">
        <f>SUM(D10:D19)</f>
        <v>1778</v>
      </c>
      <c r="E20" s="181">
        <f>SUM(E10:E19)</f>
        <v>1777</v>
      </c>
      <c r="F20" s="181">
        <f>SUM(F10:F19)</f>
        <v>124</v>
      </c>
    </row>
    <row r="21" spans="1:6" ht="15.75">
      <c r="A21" s="43" t="s">
        <v>23</v>
      </c>
      <c r="B21" s="36"/>
      <c r="C21" s="199"/>
      <c r="D21" s="195">
        <f>+D9+D20</f>
        <v>9333</v>
      </c>
      <c r="E21" s="181">
        <f>+E9+E20</f>
        <v>9953</v>
      </c>
      <c r="F21" s="181">
        <f>+F9+F20</f>
        <v>6927</v>
      </c>
    </row>
    <row r="22" spans="1:6" ht="15.75">
      <c r="A22" s="35" t="s">
        <v>24</v>
      </c>
      <c r="B22" s="36"/>
      <c r="C22" s="202"/>
      <c r="D22" s="103"/>
      <c r="E22" s="21"/>
      <c r="F22" s="21"/>
    </row>
    <row r="23" spans="1:6" ht="15.75">
      <c r="A23" s="41" t="s">
        <v>306</v>
      </c>
      <c r="B23" s="39"/>
      <c r="C23" s="200"/>
      <c r="D23" s="194">
        <v>500</v>
      </c>
      <c r="E23" s="37">
        <v>750</v>
      </c>
      <c r="F23" s="37">
        <v>750</v>
      </c>
    </row>
    <row r="24" spans="1:6" ht="15.75">
      <c r="A24" s="41" t="s">
        <v>326</v>
      </c>
      <c r="B24" s="39"/>
      <c r="C24" s="200"/>
      <c r="D24" s="194">
        <v>300</v>
      </c>
      <c r="E24" s="37">
        <v>300</v>
      </c>
      <c r="F24" s="37">
        <v>300</v>
      </c>
    </row>
    <row r="25" spans="1:6" ht="15.75">
      <c r="A25" s="41" t="s">
        <v>328</v>
      </c>
      <c r="B25" s="39"/>
      <c r="C25" s="200"/>
      <c r="D25" s="194"/>
      <c r="E25" s="37">
        <v>500</v>
      </c>
      <c r="F25" s="37">
        <v>500</v>
      </c>
    </row>
    <row r="26" spans="1:6" ht="15.75">
      <c r="A26" s="41" t="s">
        <v>308</v>
      </c>
      <c r="B26" s="39"/>
      <c r="C26" s="200"/>
      <c r="D26" s="194">
        <v>250</v>
      </c>
      <c r="E26" s="37">
        <v>500</v>
      </c>
      <c r="F26" s="37">
        <v>500</v>
      </c>
    </row>
    <row r="27" spans="1:6" ht="15.75">
      <c r="A27" s="41" t="s">
        <v>309</v>
      </c>
      <c r="B27" s="39"/>
      <c r="C27" s="200"/>
      <c r="D27" s="194">
        <v>107</v>
      </c>
      <c r="E27" s="37">
        <v>100</v>
      </c>
      <c r="F27" s="37">
        <v>100</v>
      </c>
    </row>
    <row r="28" spans="1:6" ht="15.75">
      <c r="A28" s="38" t="s">
        <v>327</v>
      </c>
      <c r="B28" s="39"/>
      <c r="C28" s="200"/>
      <c r="D28" s="194"/>
      <c r="E28" s="37">
        <v>100</v>
      </c>
      <c r="F28" s="37">
        <v>100</v>
      </c>
    </row>
    <row r="29" spans="1:6" ht="15.75">
      <c r="A29" s="38" t="s">
        <v>319</v>
      </c>
      <c r="B29" s="39"/>
      <c r="C29" s="200"/>
      <c r="D29" s="194"/>
      <c r="E29" s="37">
        <v>700</v>
      </c>
      <c r="F29" s="37">
        <v>700</v>
      </c>
    </row>
    <row r="30" spans="1:6" ht="15.75">
      <c r="A30" s="38" t="s">
        <v>312</v>
      </c>
      <c r="B30" s="39"/>
      <c r="C30" s="200"/>
      <c r="D30" s="194"/>
      <c r="E30" s="37">
        <v>200</v>
      </c>
      <c r="F30" s="37">
        <v>200</v>
      </c>
    </row>
    <row r="31" spans="1:6" ht="15.75">
      <c r="A31" s="38" t="s">
        <v>313</v>
      </c>
      <c r="B31" s="39"/>
      <c r="C31" s="200"/>
      <c r="D31" s="194"/>
      <c r="E31" s="37"/>
      <c r="F31" s="37">
        <v>1000</v>
      </c>
    </row>
    <row r="32" spans="1:6" ht="15.75">
      <c r="A32" s="38" t="s">
        <v>331</v>
      </c>
      <c r="B32" s="39"/>
      <c r="C32" s="200"/>
      <c r="D32" s="194"/>
      <c r="E32" s="37"/>
      <c r="F32" s="37">
        <f>6927+1652-4150</f>
        <v>4429</v>
      </c>
    </row>
    <row r="33" spans="1:6" ht="15.75">
      <c r="A33" s="43" t="s">
        <v>25</v>
      </c>
      <c r="B33" s="36"/>
      <c r="C33" s="89"/>
      <c r="D33" s="195">
        <f>SUM(D23:D32)</f>
        <v>1157</v>
      </c>
      <c r="E33" s="181">
        <f>SUM(E23:E32)</f>
        <v>3150</v>
      </c>
      <c r="F33" s="181">
        <f>SUM(F23:F32)</f>
        <v>8579</v>
      </c>
    </row>
    <row r="34" spans="1:6" ht="15.75">
      <c r="A34" s="35" t="s">
        <v>26</v>
      </c>
      <c r="B34" s="36"/>
      <c r="C34" s="199"/>
      <c r="D34" s="188">
        <f>+D21-D33</f>
        <v>8176</v>
      </c>
      <c r="E34" s="182">
        <f>+E21-E33</f>
        <v>6803</v>
      </c>
      <c r="F34" s="20" t="s">
        <v>6</v>
      </c>
    </row>
    <row r="35" spans="1:7" ht="15.75">
      <c r="A35" s="1"/>
      <c r="B35" s="1"/>
      <c r="C35" s="1"/>
      <c r="D35" s="46"/>
      <c r="E35" s="47" t="s">
        <v>27</v>
      </c>
      <c r="F35" s="17"/>
      <c r="G35" s="192">
        <f>IF(F33/0.95-F33&lt;F35,"Exceeds 5%","")</f>
      </c>
    </row>
    <row r="36" spans="1:6" ht="15.75">
      <c r="A36" s="1"/>
      <c r="B36" s="26"/>
      <c r="C36" s="1"/>
      <c r="D36" s="46"/>
      <c r="E36" s="47" t="s">
        <v>28</v>
      </c>
      <c r="F36" s="21">
        <f>+F33+F35</f>
        <v>8579</v>
      </c>
    </row>
    <row r="37" spans="1:6" ht="15.75">
      <c r="A37" s="1"/>
      <c r="B37" s="1"/>
      <c r="C37" s="1"/>
      <c r="D37" s="1"/>
      <c r="E37" s="4" t="s">
        <v>29</v>
      </c>
      <c r="F37" s="182">
        <f>IF(F36-F21&gt;0,F36-F21,0)</f>
        <v>1652</v>
      </c>
    </row>
    <row r="38" spans="1:6" ht="15.75">
      <c r="A38" s="316" t="s">
        <v>166</v>
      </c>
      <c r="B38" s="317"/>
      <c r="C38" s="317"/>
      <c r="D38" s="317"/>
      <c r="E38" s="187"/>
      <c r="F38" s="182">
        <f>ROUND(IF($E$38&gt;0,($F$37*$E$38),0),0)</f>
        <v>0</v>
      </c>
    </row>
    <row r="39" spans="1:6" ht="15.75">
      <c r="A39" s="1"/>
      <c r="B39" s="1"/>
      <c r="C39" s="1"/>
      <c r="D39" s="1"/>
      <c r="E39" s="4" t="str">
        <f>CONCATENATE("Amount of ",$F$1-1," Ad Valorem Tax")</f>
        <v>Amount of 2013 Ad Valorem Tax</v>
      </c>
      <c r="F39" s="182">
        <f>SUM(F37:F38)</f>
        <v>1652</v>
      </c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28" t="s">
        <v>78</v>
      </c>
      <c r="C45" s="1"/>
      <c r="D45" s="12"/>
      <c r="E45" s="90"/>
      <c r="F45" s="91"/>
    </row>
    <row r="46" spans="1:6" ht="15.75">
      <c r="A46" s="27"/>
      <c r="B46" s="25" t="s">
        <v>19</v>
      </c>
      <c r="C46" s="1"/>
      <c r="D46" s="88"/>
      <c r="E46" s="92" t="str">
        <f>CONCATENATE("Allocation for Year ",$F$1,"")</f>
        <v>Allocation for Year 2014</v>
      </c>
      <c r="F46" s="89"/>
    </row>
    <row r="47" spans="1:6" ht="15.75">
      <c r="A47" s="51" t="s">
        <v>30</v>
      </c>
      <c r="B47" s="52"/>
      <c r="C47" s="160" t="s">
        <v>167</v>
      </c>
      <c r="D47" s="32" t="s">
        <v>79</v>
      </c>
      <c r="E47" s="32" t="s">
        <v>80</v>
      </c>
      <c r="F47" s="32" t="s">
        <v>81</v>
      </c>
    </row>
    <row r="48" spans="1:6" ht="15.75">
      <c r="A48" s="53" t="s">
        <v>31</v>
      </c>
      <c r="B48" s="104"/>
      <c r="C48" s="106" t="str">
        <f>CONCATENATE("for ",$F$1-1,"")</f>
        <v>for 2013</v>
      </c>
      <c r="D48" s="34" t="s">
        <v>32</v>
      </c>
      <c r="E48" s="34" t="s">
        <v>32</v>
      </c>
      <c r="F48" s="34" t="s">
        <v>32</v>
      </c>
    </row>
    <row r="49" spans="1:6" ht="15.75">
      <c r="A49" s="102" t="s">
        <v>33</v>
      </c>
      <c r="B49" s="108"/>
      <c r="C49" s="250">
        <f>inputVehicle!P$5</f>
        <v>1652</v>
      </c>
      <c r="D49" s="125">
        <f>IF(C49&gt;0,ROUND(+C49*D$57,0)," ")</f>
        <v>102</v>
      </c>
      <c r="E49" s="125">
        <f>IF(C49&gt;0,ROUND(+C49*E$58,0)," ")</f>
        <v>0</v>
      </c>
      <c r="F49" s="125">
        <f>IF(C49&gt;0,ROUND(+C49*F$59,0)," ")</f>
        <v>22</v>
      </c>
    </row>
    <row r="50" spans="1:6" ht="15.75">
      <c r="A50" s="54"/>
      <c r="B50" s="101"/>
      <c r="C50" s="107"/>
      <c r="D50" s="125" t="str">
        <f>IF(C50&gt;0,ROUND(+C50*D$57,0)," ")</f>
        <v> </v>
      </c>
      <c r="E50" s="125" t="str">
        <f>IF(C50&gt;0,ROUND(+D50*E$58,0)," ")</f>
        <v> </v>
      </c>
      <c r="F50" s="125" t="str">
        <f>IF(C50&gt;0,ROUND(+E50*F$59,0)," ")</f>
        <v> </v>
      </c>
    </row>
    <row r="51" spans="1:6" ht="15.75">
      <c r="A51" s="35" t="s">
        <v>34</v>
      </c>
      <c r="B51" s="44"/>
      <c r="C51" s="188">
        <f>SUM(C49:C50)</f>
        <v>1652</v>
      </c>
      <c r="D51" s="189">
        <f>SUM(D49:D50)</f>
        <v>102</v>
      </c>
      <c r="E51" s="189">
        <f>SUM(E49:E50)</f>
        <v>0</v>
      </c>
      <c r="F51" s="189">
        <f>SUM(F49:F50)</f>
        <v>22</v>
      </c>
    </row>
    <row r="52" spans="1:6" ht="15.75">
      <c r="A52" s="29"/>
      <c r="B52" s="29"/>
      <c r="C52" s="50"/>
      <c r="D52" s="123"/>
      <c r="E52" s="123"/>
      <c r="F52" s="123"/>
    </row>
    <row r="53" spans="1:6" ht="15.75">
      <c r="A53" s="29" t="s">
        <v>83</v>
      </c>
      <c r="B53" s="29"/>
      <c r="C53" s="50"/>
      <c r="D53" s="251">
        <f>inputVehicle!P$7</f>
        <v>102</v>
      </c>
      <c r="E53" s="123"/>
      <c r="F53" s="123"/>
    </row>
    <row r="54" spans="1:6" ht="15.75">
      <c r="A54" s="29" t="s">
        <v>84</v>
      </c>
      <c r="B54" s="29"/>
      <c r="C54" s="50"/>
      <c r="D54" s="123"/>
      <c r="E54" s="251">
        <f>inputVehicle!P$9</f>
        <v>0</v>
      </c>
      <c r="F54" s="123"/>
    </row>
    <row r="55" spans="1:6" ht="15.75">
      <c r="A55" s="29" t="s">
        <v>85</v>
      </c>
      <c r="B55" s="29"/>
      <c r="C55" s="50"/>
      <c r="D55" s="123"/>
      <c r="E55" s="123"/>
      <c r="F55" s="251">
        <f>inputVehicle!P$11</f>
        <v>22</v>
      </c>
    </row>
    <row r="56" spans="1:6" ht="15.75">
      <c r="A56" s="1"/>
      <c r="B56" s="1"/>
      <c r="C56" s="1"/>
      <c r="D56" s="92"/>
      <c r="E56" s="92"/>
      <c r="F56" s="92"/>
    </row>
    <row r="57" spans="1:6" ht="15.75">
      <c r="A57" s="1"/>
      <c r="B57" s="1"/>
      <c r="C57" s="1" t="s">
        <v>35</v>
      </c>
      <c r="D57" s="124">
        <f>IF(C51=0,0,D53/C51)</f>
        <v>0.06174334140435835</v>
      </c>
      <c r="E57" s="92"/>
      <c r="F57" s="92"/>
    </row>
    <row r="58" spans="1:6" ht="15.75">
      <c r="A58" s="1"/>
      <c r="B58" s="1"/>
      <c r="C58" s="1"/>
      <c r="D58" s="92" t="s">
        <v>36</v>
      </c>
      <c r="E58" s="124">
        <f>IF(C51=0,0,E54/C51)</f>
        <v>0</v>
      </c>
      <c r="F58" s="92"/>
    </row>
    <row r="59" spans="1:6" ht="15.75">
      <c r="A59" s="1"/>
      <c r="B59" s="1"/>
      <c r="C59" s="1"/>
      <c r="D59" s="92"/>
      <c r="E59" s="92" t="s">
        <v>82</v>
      </c>
      <c r="F59" s="124">
        <f>IF(C51=0,0,F55/C51)</f>
        <v>0.013317191283292978</v>
      </c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26" t="s">
        <v>37</v>
      </c>
      <c r="C67" s="56"/>
      <c r="D67" s="1"/>
      <c r="E67" s="1"/>
      <c r="F67" s="1"/>
    </row>
  </sheetData>
  <sheetProtection/>
  <mergeCells count="1">
    <mergeCell ref="A38:D38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zoomScale="90" zoomScaleNormal="90" zoomScalePageLayoutView="0" workbookViewId="0" topLeftCell="A3">
      <pane xSplit="1" topLeftCell="G1" activePane="topRight" state="frozen"/>
      <selection pane="topLeft" activeCell="A1" sqref="A1"/>
      <selection pane="topRight" activeCell="M17" sqref="M17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99" t="s">
        <v>227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3" ht="12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33" ht="15.75">
      <c r="A3" s="256"/>
      <c r="B3" s="256"/>
      <c r="C3" s="256"/>
      <c r="D3" s="256"/>
      <c r="E3" s="257" t="s">
        <v>228</v>
      </c>
      <c r="F3" s="257" t="s">
        <v>229</v>
      </c>
      <c r="G3" s="257" t="s">
        <v>230</v>
      </c>
      <c r="H3" s="257" t="s">
        <v>231</v>
      </c>
      <c r="I3" s="257" t="s">
        <v>232</v>
      </c>
      <c r="J3" s="257" t="s">
        <v>233</v>
      </c>
      <c r="K3" s="257" t="s">
        <v>234</v>
      </c>
      <c r="L3" s="257" t="s">
        <v>235</v>
      </c>
      <c r="M3" s="257" t="s">
        <v>236</v>
      </c>
      <c r="N3" s="257" t="s">
        <v>237</v>
      </c>
      <c r="O3" s="257" t="s">
        <v>238</v>
      </c>
      <c r="P3" s="257" t="s">
        <v>239</v>
      </c>
      <c r="Q3" s="257" t="s">
        <v>240</v>
      </c>
      <c r="R3" s="257" t="s">
        <v>241</v>
      </c>
      <c r="S3" s="257" t="s">
        <v>242</v>
      </c>
      <c r="T3" s="257" t="s">
        <v>243</v>
      </c>
      <c r="U3" s="257" t="s">
        <v>244</v>
      </c>
      <c r="V3" s="257" t="s">
        <v>245</v>
      </c>
      <c r="W3" s="257" t="s">
        <v>246</v>
      </c>
      <c r="X3" s="257" t="s">
        <v>247</v>
      </c>
      <c r="Y3" s="257" t="s">
        <v>248</v>
      </c>
      <c r="Z3" s="257" t="s">
        <v>249</v>
      </c>
      <c r="AA3" s="257" t="s">
        <v>250</v>
      </c>
      <c r="AB3" s="257" t="s">
        <v>251</v>
      </c>
      <c r="AC3" s="257" t="s">
        <v>252</v>
      </c>
      <c r="AD3" s="257" t="s">
        <v>253</v>
      </c>
      <c r="AE3" s="257" t="s">
        <v>254</v>
      </c>
      <c r="AF3" s="257" t="s">
        <v>255</v>
      </c>
      <c r="AG3" s="257" t="s">
        <v>256</v>
      </c>
    </row>
    <row r="4" spans="1:33" ht="15.75">
      <c r="A4" s="256"/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</row>
    <row r="5" spans="1:33" ht="15.75">
      <c r="A5" s="298" t="str">
        <f>CONCATENATE("Tax Levy Amount in ",input!$F$8-1,":")</f>
        <v>Tax Levy Amount in 2013:</v>
      </c>
      <c r="B5" s="298"/>
      <c r="C5" s="298"/>
      <c r="D5" s="258"/>
      <c r="E5" s="259">
        <f>+inputVehicle!E5</f>
        <v>8347</v>
      </c>
      <c r="F5" s="259">
        <f>+inputVehicle!F5</f>
        <v>5765</v>
      </c>
      <c r="G5" s="259">
        <f>+inputVehicle!G5</f>
        <v>4738</v>
      </c>
      <c r="H5" s="259">
        <f>+inputVehicle!H5</f>
        <v>6961</v>
      </c>
      <c r="I5" s="260">
        <v>2420</v>
      </c>
      <c r="J5" s="259">
        <f>+inputVehicle!J5</f>
        <v>2499</v>
      </c>
      <c r="K5" s="260">
        <v>3374</v>
      </c>
      <c r="L5" s="259">
        <f>+inputVehicle!L5</f>
        <v>2624</v>
      </c>
      <c r="M5" s="259">
        <f>+inputVehicle!M5</f>
        <v>13183</v>
      </c>
      <c r="N5" s="259">
        <f>+inputVehicle!N5</f>
        <v>5308</v>
      </c>
      <c r="O5" s="259">
        <f>+inputVehicle!O5</f>
        <v>2101</v>
      </c>
      <c r="P5" s="259">
        <f>+inputVehicle!P5</f>
        <v>1652</v>
      </c>
      <c r="Q5" s="259">
        <f>+inputVehicle!Q5</f>
        <v>4475</v>
      </c>
      <c r="R5" s="259">
        <f>+inputVehicle!R5</f>
        <v>1680</v>
      </c>
      <c r="S5" s="259">
        <f>+inputVehicle!S5</f>
        <v>0</v>
      </c>
      <c r="T5" s="260"/>
      <c r="U5" s="260"/>
      <c r="V5" s="261"/>
      <c r="W5" s="260"/>
      <c r="X5" s="261"/>
      <c r="Y5" s="262"/>
      <c r="Z5" s="262"/>
      <c r="AA5" s="262"/>
      <c r="AB5" s="262"/>
      <c r="AC5" s="260"/>
      <c r="AD5" s="261"/>
      <c r="AE5" s="260"/>
      <c r="AF5" s="259"/>
      <c r="AG5" s="259"/>
    </row>
    <row r="6" spans="1:33" ht="15.75">
      <c r="A6" s="257"/>
      <c r="B6" s="257"/>
      <c r="C6" s="257"/>
      <c r="D6" s="257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</row>
    <row r="7" spans="1:33" ht="15.75">
      <c r="A7" s="298" t="str">
        <f>CONCATENATE("Debt Service Levy in ",input!$F$8-1,":")</f>
        <v>Debt Service Levy in 2013:</v>
      </c>
      <c r="B7" s="298"/>
      <c r="C7" s="298"/>
      <c r="D7" s="258"/>
      <c r="E7" s="259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S7" s="260"/>
      <c r="T7" s="261"/>
      <c r="U7" s="260"/>
      <c r="V7" s="261"/>
      <c r="W7" s="260"/>
      <c r="X7" s="260"/>
      <c r="Y7" s="260"/>
      <c r="Z7" s="260"/>
      <c r="AA7" s="260"/>
      <c r="AB7" s="260"/>
      <c r="AC7" s="262"/>
      <c r="AD7" s="260"/>
      <c r="AE7" s="259"/>
      <c r="AF7" s="259"/>
      <c r="AG7" s="259"/>
    </row>
    <row r="8" spans="1:33" ht="15.75">
      <c r="A8" s="257"/>
      <c r="B8" s="257"/>
      <c r="C8" s="257"/>
      <c r="D8" s="257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</row>
    <row r="9" spans="1:33" ht="15.75">
      <c r="A9" s="298" t="str">
        <f>CONCATENATE("New Improvement for ",input!$F$8-1,":")</f>
        <v>New Improvement for 2013:</v>
      </c>
      <c r="B9" s="298"/>
      <c r="C9" s="298"/>
      <c r="D9" s="258"/>
      <c r="E9" s="259">
        <f>2005+588</f>
        <v>2593</v>
      </c>
      <c r="F9" s="260">
        <f>301+3395</f>
        <v>3696</v>
      </c>
      <c r="G9" s="259">
        <f>77+1538+15413+1847</f>
        <v>18875</v>
      </c>
      <c r="H9" s="259">
        <v>55164</v>
      </c>
      <c r="I9" s="259">
        <v>21952</v>
      </c>
      <c r="J9" s="259">
        <f>24249+182</f>
        <v>24431</v>
      </c>
      <c r="K9" s="259">
        <v>0</v>
      </c>
      <c r="L9" s="260">
        <v>2513</v>
      </c>
      <c r="M9" s="260">
        <f>458+53785</f>
        <v>54243</v>
      </c>
      <c r="N9" s="260">
        <f>145+2610</f>
        <v>2755</v>
      </c>
      <c r="O9" s="260">
        <v>320</v>
      </c>
      <c r="P9" s="260">
        <v>0</v>
      </c>
      <c r="Q9" s="260">
        <f>5356+3179</f>
        <v>8535</v>
      </c>
      <c r="R9" s="260">
        <v>0</v>
      </c>
      <c r="S9" s="260"/>
      <c r="T9" s="260"/>
      <c r="U9" s="261"/>
      <c r="V9" s="260"/>
      <c r="W9" s="261"/>
      <c r="X9" s="260"/>
      <c r="Y9" s="261"/>
      <c r="Z9" s="260"/>
      <c r="AA9" s="260"/>
      <c r="AB9" s="261"/>
      <c r="AC9" s="262"/>
      <c r="AD9" s="260"/>
      <c r="AE9" s="259"/>
      <c r="AF9" s="259"/>
      <c r="AG9" s="259"/>
    </row>
    <row r="10" spans="1:33" ht="15.75">
      <c r="A10" s="257"/>
      <c r="B10" s="257"/>
      <c r="C10" s="257"/>
      <c r="D10" s="257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</row>
    <row r="11" spans="1:33" ht="15.75">
      <c r="A11" s="298" t="str">
        <f>CONCATENATE("Personal Property ",input!$F$8-1,":")</f>
        <v>Personal Property 2013:</v>
      </c>
      <c r="B11" s="298"/>
      <c r="C11" s="298"/>
      <c r="D11" s="258"/>
      <c r="E11" s="259">
        <v>152689</v>
      </c>
      <c r="F11" s="260">
        <v>40141</v>
      </c>
      <c r="G11" s="259">
        <v>85167</v>
      </c>
      <c r="H11" s="259">
        <v>16538</v>
      </c>
      <c r="I11" s="259">
        <v>16538</v>
      </c>
      <c r="J11" s="259">
        <v>23691</v>
      </c>
      <c r="K11" s="259">
        <v>14471</v>
      </c>
      <c r="L11" s="260">
        <v>21944</v>
      </c>
      <c r="M11" s="261">
        <v>284222</v>
      </c>
      <c r="N11" s="260">
        <v>21558</v>
      </c>
      <c r="O11" s="261">
        <v>61467</v>
      </c>
      <c r="P11" s="260">
        <v>5703</v>
      </c>
      <c r="Q11" s="261">
        <v>87566</v>
      </c>
      <c r="R11" s="260">
        <v>5849</v>
      </c>
      <c r="S11" s="260"/>
      <c r="T11" s="260"/>
      <c r="U11" s="260"/>
      <c r="V11" s="260"/>
      <c r="W11" s="260"/>
      <c r="X11" s="260"/>
      <c r="Y11" s="260"/>
      <c r="Z11" s="261"/>
      <c r="AA11" s="260"/>
      <c r="AB11" s="260"/>
      <c r="AC11" s="260"/>
      <c r="AD11" s="259"/>
      <c r="AE11" s="259"/>
      <c r="AF11" s="263"/>
      <c r="AG11" s="260"/>
    </row>
    <row r="12" spans="1:33" ht="15.75">
      <c r="A12" s="257"/>
      <c r="B12" s="257"/>
      <c r="C12" s="257"/>
      <c r="D12" s="257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</row>
    <row r="13" spans="1:33" ht="15.75">
      <c r="A13" s="298" t="str">
        <f>CONCATENATE("Personal Property ",input!$F$8-2,":")</f>
        <v>Personal Property 2012:</v>
      </c>
      <c r="B13" s="298"/>
      <c r="C13" s="298"/>
      <c r="D13" s="258"/>
      <c r="E13" s="259">
        <v>152689</v>
      </c>
      <c r="F13" s="261">
        <v>40141</v>
      </c>
      <c r="G13" s="260">
        <v>85167</v>
      </c>
      <c r="H13" s="259">
        <v>48716</v>
      </c>
      <c r="I13" s="259">
        <v>16538</v>
      </c>
      <c r="J13" s="259">
        <v>23691</v>
      </c>
      <c r="K13" s="259">
        <v>14471</v>
      </c>
      <c r="L13" s="260">
        <v>21944</v>
      </c>
      <c r="M13" s="261">
        <v>284222</v>
      </c>
      <c r="N13" s="260">
        <v>21558</v>
      </c>
      <c r="O13" s="260">
        <v>61467</v>
      </c>
      <c r="P13" s="260">
        <v>5703</v>
      </c>
      <c r="Q13" s="260">
        <v>87566</v>
      </c>
      <c r="R13" s="261">
        <v>5849</v>
      </c>
      <c r="S13" s="260"/>
      <c r="T13" s="261"/>
      <c r="U13" s="262"/>
      <c r="V13" s="262"/>
      <c r="W13" s="262"/>
      <c r="X13" s="262"/>
      <c r="Y13" s="260"/>
      <c r="Z13" s="261"/>
      <c r="AA13" s="262"/>
      <c r="AB13" s="260"/>
      <c r="AC13" s="260"/>
      <c r="AD13" s="259"/>
      <c r="AE13" s="259"/>
      <c r="AF13" s="259"/>
      <c r="AG13" s="259"/>
    </row>
    <row r="14" spans="1:33" ht="15.75">
      <c r="A14" s="257"/>
      <c r="B14" s="257"/>
      <c r="C14" s="257"/>
      <c r="D14" s="257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</row>
    <row r="15" spans="1:33" ht="15.75">
      <c r="A15" s="298" t="str">
        <f>CONCATENATE("Change in Use for ",input!$F$8-1,":")</f>
        <v>Change in Use for 2013:</v>
      </c>
      <c r="B15" s="298"/>
      <c r="C15" s="298"/>
      <c r="D15" s="258"/>
      <c r="E15" s="259"/>
      <c r="F15" s="261"/>
      <c r="G15" s="260"/>
      <c r="H15" s="259"/>
      <c r="I15" s="261">
        <v>0</v>
      </c>
      <c r="J15" s="260"/>
      <c r="K15" s="259"/>
      <c r="L15" s="260"/>
      <c r="M15" s="260"/>
      <c r="N15" s="260"/>
      <c r="O15" s="260"/>
      <c r="P15" s="260"/>
      <c r="Q15" s="261"/>
      <c r="R15" s="260"/>
      <c r="S15" s="260"/>
      <c r="T15" s="261"/>
      <c r="U15" s="260"/>
      <c r="V15" s="261"/>
      <c r="W15" s="260"/>
      <c r="X15" s="260"/>
      <c r="Y15" s="260"/>
      <c r="Z15" s="260"/>
      <c r="AA15" s="260"/>
      <c r="AB15" s="260"/>
      <c r="AC15" s="260"/>
      <c r="AD15" s="259"/>
      <c r="AE15" s="259"/>
      <c r="AF15" s="259"/>
      <c r="AG15" s="259"/>
    </row>
    <row r="16" spans="1:33" ht="15.75">
      <c r="A16" s="257"/>
      <c r="B16" s="257"/>
      <c r="C16" s="257"/>
      <c r="D16" s="257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</row>
    <row r="17" spans="1:33" ht="15.75">
      <c r="A17" s="298" t="str">
        <f>CONCATENATE("Tot Estimated Valuation ",input!$F$8-1,":")</f>
        <v>Tot Estimated Valuation 2013:</v>
      </c>
      <c r="B17" s="298"/>
      <c r="C17" s="298"/>
      <c r="D17" s="258"/>
      <c r="E17" s="259">
        <v>1960453</v>
      </c>
      <c r="F17" s="259">
        <v>1795615</v>
      </c>
      <c r="G17" s="259">
        <v>20963647</v>
      </c>
      <c r="H17" s="259">
        <v>1411124</v>
      </c>
      <c r="I17" s="259">
        <v>1828882</v>
      </c>
      <c r="J17" s="259">
        <v>1624501</v>
      </c>
      <c r="K17" s="259">
        <v>1454921</v>
      </c>
      <c r="L17" s="259">
        <v>1013410</v>
      </c>
      <c r="M17" s="259">
        <v>6303735</v>
      </c>
      <c r="N17" s="259">
        <v>1051022</v>
      </c>
      <c r="O17" s="259">
        <v>4076666</v>
      </c>
      <c r="P17" s="259">
        <v>477512</v>
      </c>
      <c r="Q17" s="259">
        <v>1816927</v>
      </c>
      <c r="R17" s="259">
        <v>413078</v>
      </c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</row>
    <row r="18" spans="1:33" ht="15.75">
      <c r="A18" s="257"/>
      <c r="B18" s="257"/>
      <c r="C18" s="257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</row>
    <row r="19" spans="1:33" ht="15.75">
      <c r="A19" s="298" t="str">
        <f>CONCATENATE("Debt Service Levy in ",input!$F$8,":")</f>
        <v>Debt Service Levy in 2014:</v>
      </c>
      <c r="B19" s="298"/>
      <c r="C19" s="298"/>
      <c r="D19" s="258"/>
      <c r="E19" s="259"/>
      <c r="F19" s="259"/>
      <c r="G19" s="260"/>
      <c r="H19" s="259"/>
      <c r="I19" s="259"/>
      <c r="J19" s="259"/>
      <c r="K19" s="259"/>
      <c r="L19" s="260"/>
      <c r="M19" s="263"/>
      <c r="N19" s="260"/>
      <c r="O19" s="260"/>
      <c r="P19" s="261"/>
      <c r="Q19" s="262"/>
      <c r="R19" s="260"/>
      <c r="S19" s="260"/>
      <c r="T19" s="260"/>
      <c r="U19" s="260"/>
      <c r="V19" s="261"/>
      <c r="W19" s="260"/>
      <c r="X19" s="260"/>
      <c r="Y19" s="260"/>
      <c r="Z19" s="260"/>
      <c r="AA19" s="261"/>
      <c r="AB19" s="260"/>
      <c r="AC19" s="260"/>
      <c r="AD19" s="259"/>
      <c r="AE19" s="259"/>
      <c r="AF19" s="259"/>
      <c r="AG19" s="259"/>
    </row>
    <row r="20" spans="1:33" ht="12.7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7" ht="15.75">
      <c r="A23" s="3"/>
      <c r="B23" s="3"/>
      <c r="C23" s="3"/>
      <c r="D23" s="3"/>
      <c r="E23" s="245"/>
      <c r="G23" s="244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</sheetData>
  <sheetProtection sheet="1"/>
  <mergeCells count="9">
    <mergeCell ref="A15:C15"/>
    <mergeCell ref="A17:C17"/>
    <mergeCell ref="A19:C19"/>
    <mergeCell ref="A1:K1"/>
    <mergeCell ref="A5:C5"/>
    <mergeCell ref="A7:C7"/>
    <mergeCell ref="A9:C9"/>
    <mergeCell ref="A11:C11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'Spring Ck 12'!C3</f>
        <v>Spring Creek Cemetery # 12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inputComp!$P$5</f>
        <v>1652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inputComp!$P$7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1652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inputComp!$P$9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inputComp!$P$11</f>
        <v>5703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inputComp!$P$13</f>
        <v>5703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inputComp!$P$15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inputComp!$P$17</f>
        <v>477512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477512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1652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inputComp!$P$19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1652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86" zoomScaleNormal="86" zoomScalePageLayoutView="0" workbookViewId="0" topLeftCell="A7">
      <selection activeCell="G31" sqref="G3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cert2!A22</f>
        <v>Oak Hill-Chautauqua Cem # 13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10974</v>
      </c>
      <c r="E9" s="21">
        <f>+D32</f>
        <v>11113</v>
      </c>
      <c r="F9" s="21">
        <f>+E32</f>
        <v>7998</v>
      </c>
    </row>
    <row r="10" spans="1:6" ht="15.75">
      <c r="A10" s="197" t="s">
        <v>14</v>
      </c>
      <c r="B10" s="198"/>
      <c r="C10" s="199"/>
      <c r="D10" s="194">
        <v>4290</v>
      </c>
      <c r="E10" s="37">
        <f>+C47</f>
        <v>4475</v>
      </c>
      <c r="F10" s="20" t="s">
        <v>6</v>
      </c>
    </row>
    <row r="11" spans="1:6" ht="15.75">
      <c r="A11" s="35" t="s">
        <v>15</v>
      </c>
      <c r="B11" s="36"/>
      <c r="C11" s="199"/>
      <c r="D11" s="194">
        <v>360</v>
      </c>
      <c r="E11" s="37"/>
      <c r="F11" s="37"/>
    </row>
    <row r="12" spans="1:6" ht="15.75">
      <c r="A12" s="35" t="s">
        <v>16</v>
      </c>
      <c r="B12" s="36"/>
      <c r="C12" s="199"/>
      <c r="D12" s="194">
        <v>850</v>
      </c>
      <c r="E12" s="37">
        <v>817</v>
      </c>
      <c r="F12" s="21">
        <f>D47</f>
        <v>838</v>
      </c>
    </row>
    <row r="13" spans="1:6" ht="15.75">
      <c r="A13" s="35" t="s">
        <v>17</v>
      </c>
      <c r="B13" s="36"/>
      <c r="C13" s="199"/>
      <c r="D13" s="194">
        <v>22</v>
      </c>
      <c r="E13" s="37">
        <v>20</v>
      </c>
      <c r="F13" s="21">
        <f>E47</f>
        <v>19</v>
      </c>
    </row>
    <row r="14" spans="1:6" ht="15.75">
      <c r="A14" s="35" t="s">
        <v>86</v>
      </c>
      <c r="B14" s="36"/>
      <c r="C14" s="199"/>
      <c r="D14" s="194"/>
      <c r="E14" s="37">
        <v>98</v>
      </c>
      <c r="F14" s="21">
        <f>F47</f>
        <v>76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305</v>
      </c>
      <c r="B17" s="39"/>
      <c r="C17" s="200"/>
      <c r="D17" s="194">
        <v>200</v>
      </c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>
        <v>4</v>
      </c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5726</v>
      </c>
      <c r="E21" s="181">
        <f>SUM(E10:E20)</f>
        <v>5410</v>
      </c>
      <c r="F21" s="181">
        <f>SUM(F10:F20)</f>
        <v>933</v>
      </c>
    </row>
    <row r="22" spans="1:6" ht="15.75">
      <c r="A22" s="43" t="s">
        <v>23</v>
      </c>
      <c r="B22" s="36"/>
      <c r="C22" s="199"/>
      <c r="D22" s="195">
        <f>+D9+D21</f>
        <v>16700</v>
      </c>
      <c r="E22" s="181">
        <f>+E9+E21</f>
        <v>16523</v>
      </c>
      <c r="F22" s="181">
        <f>+F9+F21</f>
        <v>8931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5000</v>
      </c>
      <c r="E24" s="37">
        <v>6000</v>
      </c>
      <c r="F24" s="37">
        <v>6000</v>
      </c>
    </row>
    <row r="25" spans="1:6" ht="15.75">
      <c r="A25" s="41" t="s">
        <v>308</v>
      </c>
      <c r="B25" s="39"/>
      <c r="C25" s="200"/>
      <c r="D25" s="194">
        <v>260</v>
      </c>
      <c r="E25" s="37">
        <v>300</v>
      </c>
      <c r="F25" s="37">
        <v>300</v>
      </c>
    </row>
    <row r="26" spans="1:6" ht="15.75">
      <c r="A26" s="41" t="s">
        <v>309</v>
      </c>
      <c r="B26" s="39"/>
      <c r="C26" s="200"/>
      <c r="D26" s="194">
        <v>120</v>
      </c>
      <c r="E26" s="37">
        <v>125</v>
      </c>
      <c r="F26" s="37">
        <v>125</v>
      </c>
    </row>
    <row r="27" spans="1:6" ht="15.75">
      <c r="A27" s="38" t="s">
        <v>319</v>
      </c>
      <c r="B27" s="39"/>
      <c r="C27" s="200"/>
      <c r="D27" s="194"/>
      <c r="E27" s="37">
        <v>500</v>
      </c>
      <c r="F27" s="37">
        <v>500</v>
      </c>
    </row>
    <row r="28" spans="1:6" ht="15.75">
      <c r="A28" s="38" t="s">
        <v>312</v>
      </c>
      <c r="B28" s="39"/>
      <c r="C28" s="200"/>
      <c r="D28" s="194">
        <v>207</v>
      </c>
      <c r="E28" s="37">
        <v>200</v>
      </c>
      <c r="F28" s="37">
        <v>500</v>
      </c>
    </row>
    <row r="29" spans="1:6" ht="15.75">
      <c r="A29" s="38" t="s">
        <v>313</v>
      </c>
      <c r="B29" s="39"/>
      <c r="C29" s="200"/>
      <c r="D29" s="194"/>
      <c r="E29" s="37">
        <v>1400</v>
      </c>
      <c r="F29" s="37">
        <v>1000</v>
      </c>
    </row>
    <row r="30" spans="1:6" ht="15.75">
      <c r="A30" s="38" t="s">
        <v>325</v>
      </c>
      <c r="B30" s="39"/>
      <c r="C30" s="200"/>
      <c r="D30" s="194"/>
      <c r="E30" s="37"/>
      <c r="F30" s="37">
        <f>8931+4496-8425</f>
        <v>5002</v>
      </c>
    </row>
    <row r="31" spans="1:6" ht="15.75">
      <c r="A31" s="43" t="s">
        <v>25</v>
      </c>
      <c r="B31" s="36"/>
      <c r="C31" s="199"/>
      <c r="D31" s="195">
        <f>SUM(D24:D30)</f>
        <v>5587</v>
      </c>
      <c r="E31" s="181">
        <f>SUM(E24:E30)</f>
        <v>8525</v>
      </c>
      <c r="F31" s="181">
        <f>SUM(F24:F30)</f>
        <v>13427</v>
      </c>
    </row>
    <row r="32" spans="1:6" ht="15.75">
      <c r="A32" s="35" t="s">
        <v>26</v>
      </c>
      <c r="B32" s="36"/>
      <c r="C32" s="199"/>
      <c r="D32" s="188">
        <f>+D22-D31</f>
        <v>11113</v>
      </c>
      <c r="E32" s="182">
        <f>+E22-E31</f>
        <v>7998</v>
      </c>
      <c r="F32" s="20" t="s">
        <v>6</v>
      </c>
    </row>
    <row r="33" spans="1:7" ht="15.75">
      <c r="A33" s="1"/>
      <c r="B33" s="1"/>
      <c r="C33" s="1"/>
      <c r="D33" s="46"/>
      <c r="E33" s="47" t="s">
        <v>27</v>
      </c>
      <c r="F33" s="17"/>
      <c r="G33" s="192">
        <f>IF(F31/0.95-F31&lt;F33,"Exceeds 5%","")</f>
      </c>
    </row>
    <row r="34" spans="1:6" ht="15.75">
      <c r="A34" s="1"/>
      <c r="B34" s="26"/>
      <c r="C34" s="1"/>
      <c r="D34" s="46"/>
      <c r="E34" s="47" t="s">
        <v>28</v>
      </c>
      <c r="F34" s="21">
        <f>+F31+F33</f>
        <v>13427</v>
      </c>
    </row>
    <row r="35" spans="1:6" ht="15.75">
      <c r="A35" s="1"/>
      <c r="B35" s="1"/>
      <c r="C35" s="1"/>
      <c r="D35" s="1"/>
      <c r="E35" s="4" t="s">
        <v>29</v>
      </c>
      <c r="F35" s="182">
        <f>IF(F34-F22&gt;0,F34-F22,0)</f>
        <v>4496</v>
      </c>
    </row>
    <row r="36" spans="1:6" ht="15.75">
      <c r="A36" s="316" t="s">
        <v>166</v>
      </c>
      <c r="B36" s="317"/>
      <c r="C36" s="317"/>
      <c r="D36" s="317"/>
      <c r="E36" s="187"/>
      <c r="F36" s="182">
        <f>ROUND(IF($E$36&gt;0,($F$35*$E$36),0),0)</f>
        <v>0</v>
      </c>
    </row>
    <row r="37" spans="1:6" ht="15.75">
      <c r="A37" s="1"/>
      <c r="B37" s="1"/>
      <c r="C37" s="1"/>
      <c r="D37" s="1"/>
      <c r="E37" s="4" t="str">
        <f>CONCATENATE("Amount of ",$F$1-1," Ad Valorem Tax")</f>
        <v>Amount of 2013 Ad Valorem Tax</v>
      </c>
      <c r="F37" s="182">
        <f>SUM(F35:F36)</f>
        <v>4496</v>
      </c>
    </row>
    <row r="38" spans="1:6" ht="15.75">
      <c r="A38" s="1"/>
      <c r="B38" s="1"/>
      <c r="C38" s="1"/>
      <c r="D38" s="1"/>
      <c r="E38" s="4"/>
      <c r="F38" s="50"/>
    </row>
    <row r="39" spans="1:6" ht="15.75">
      <c r="A39" s="1"/>
      <c r="B39" s="1"/>
      <c r="C39" s="1"/>
      <c r="D39" s="1"/>
      <c r="E39" s="4"/>
      <c r="F39" s="50"/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28" t="s">
        <v>78</v>
      </c>
      <c r="C43" s="1"/>
      <c r="D43" s="12"/>
      <c r="E43" s="90"/>
      <c r="F43" s="91"/>
    </row>
    <row r="44" spans="1:6" ht="15.75">
      <c r="A44" s="27"/>
      <c r="B44" s="25" t="s">
        <v>19</v>
      </c>
      <c r="C44" s="1"/>
      <c r="D44" s="88"/>
      <c r="E44" s="92" t="str">
        <f>CONCATENATE("Allocation for Year ",$F$1,"")</f>
        <v>Allocation for Year 2014</v>
      </c>
      <c r="F44" s="89"/>
    </row>
    <row r="45" spans="1:6" ht="15.75">
      <c r="A45" s="51" t="s">
        <v>30</v>
      </c>
      <c r="B45" s="52"/>
      <c r="C45" s="160" t="s">
        <v>167</v>
      </c>
      <c r="D45" s="32" t="s">
        <v>79</v>
      </c>
      <c r="E45" s="32" t="s">
        <v>80</v>
      </c>
      <c r="F45" s="32" t="s">
        <v>81</v>
      </c>
    </row>
    <row r="46" spans="1:6" ht="15.75">
      <c r="A46" s="53" t="s">
        <v>31</v>
      </c>
      <c r="B46" s="104"/>
      <c r="C46" s="106" t="str">
        <f>CONCATENATE("for ",$F$1-1,"")</f>
        <v>for 2013</v>
      </c>
      <c r="D46" s="34" t="s">
        <v>32</v>
      </c>
      <c r="E46" s="34" t="s">
        <v>32</v>
      </c>
      <c r="F46" s="34" t="s">
        <v>32</v>
      </c>
    </row>
    <row r="47" spans="1:6" ht="15.75">
      <c r="A47" s="102" t="s">
        <v>33</v>
      </c>
      <c r="B47" s="108"/>
      <c r="C47" s="250">
        <f>inputVehicle!Q$5</f>
        <v>4475</v>
      </c>
      <c r="D47" s="125">
        <f>IF(C47&gt;0,ROUND(+C47*D$55,0)," ")</f>
        <v>838</v>
      </c>
      <c r="E47" s="125">
        <f>IF(C47&gt;0,ROUND(+C47*E$56,0)," ")</f>
        <v>19</v>
      </c>
      <c r="F47" s="125">
        <f>IF(C47&gt;0,ROUND(+C47*F$57,0)," ")</f>
        <v>76</v>
      </c>
    </row>
    <row r="48" spans="1:6" ht="15.75">
      <c r="A48" s="54"/>
      <c r="B48" s="101"/>
      <c r="C48" s="107"/>
      <c r="D48" s="125" t="str">
        <f>IF(C48&gt;0,ROUND(+C48*D$55,0)," ")</f>
        <v> </v>
      </c>
      <c r="E48" s="125" t="str">
        <f>IF(C48&gt;0,ROUND(+D48*E$56,0)," ")</f>
        <v> </v>
      </c>
      <c r="F48" s="125" t="str">
        <f>IF(C48&gt;0,ROUND(+E48*F$57,0)," ")</f>
        <v> </v>
      </c>
    </row>
    <row r="49" spans="1:6" ht="15.75">
      <c r="A49" s="35" t="s">
        <v>34</v>
      </c>
      <c r="B49" s="44"/>
      <c r="C49" s="188">
        <f>SUM(C47:C48)</f>
        <v>4475</v>
      </c>
      <c r="D49" s="189">
        <f>SUM(D47:D48)</f>
        <v>838</v>
      </c>
      <c r="E49" s="189">
        <f>SUM(E47:E48)</f>
        <v>19</v>
      </c>
      <c r="F49" s="189">
        <f>SUM(F47:F48)</f>
        <v>76</v>
      </c>
    </row>
    <row r="50" spans="1:6" ht="15.75">
      <c r="A50" s="29"/>
      <c r="B50" s="29"/>
      <c r="C50" s="50"/>
      <c r="D50" s="123"/>
      <c r="E50" s="123"/>
      <c r="F50" s="123"/>
    </row>
    <row r="51" spans="1:6" ht="15.75">
      <c r="A51" s="29" t="s">
        <v>83</v>
      </c>
      <c r="B51" s="29"/>
      <c r="C51" s="50"/>
      <c r="D51" s="251">
        <f>inputVehicle!Q$7</f>
        <v>838</v>
      </c>
      <c r="E51" s="123"/>
      <c r="F51" s="123"/>
    </row>
    <row r="52" spans="1:6" ht="15.75">
      <c r="A52" s="29" t="s">
        <v>84</v>
      </c>
      <c r="B52" s="29"/>
      <c r="C52" s="50"/>
      <c r="D52" s="123"/>
      <c r="E52" s="251">
        <f>inputVehicle!Q$9</f>
        <v>19</v>
      </c>
      <c r="F52" s="123"/>
    </row>
    <row r="53" spans="1:6" ht="15.75">
      <c r="A53" s="29" t="s">
        <v>85</v>
      </c>
      <c r="B53" s="29"/>
      <c r="C53" s="50"/>
      <c r="D53" s="123"/>
      <c r="E53" s="123"/>
      <c r="F53" s="251">
        <f>inputVehicle!Q$11</f>
        <v>76</v>
      </c>
    </row>
    <row r="54" spans="1:6" ht="15.75">
      <c r="A54" s="1"/>
      <c r="B54" s="1"/>
      <c r="C54" s="1"/>
      <c r="D54" s="92"/>
      <c r="E54" s="92"/>
      <c r="F54" s="92"/>
    </row>
    <row r="55" spans="1:6" ht="15.75">
      <c r="A55" s="1"/>
      <c r="B55" s="1"/>
      <c r="C55" s="1" t="s">
        <v>35</v>
      </c>
      <c r="D55" s="124">
        <f>IF(C49=0,0,D51/C49)</f>
        <v>0.18726256983240225</v>
      </c>
      <c r="E55" s="92"/>
      <c r="F55" s="92"/>
    </row>
    <row r="56" spans="1:6" ht="15.75">
      <c r="A56" s="1"/>
      <c r="B56" s="1"/>
      <c r="C56" s="1"/>
      <c r="D56" s="92" t="s">
        <v>36</v>
      </c>
      <c r="E56" s="124">
        <f>IF(C49=0,0,E52/C49)</f>
        <v>0.004245810055865922</v>
      </c>
      <c r="F56" s="92"/>
    </row>
    <row r="57" spans="1:6" ht="15.75">
      <c r="A57" s="1"/>
      <c r="B57" s="1"/>
      <c r="C57" s="1"/>
      <c r="D57" s="92"/>
      <c r="E57" s="92" t="s">
        <v>82</v>
      </c>
      <c r="F57" s="124">
        <f>IF(C49=0,0,F53/C49)</f>
        <v>0.01698324022346369</v>
      </c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26" t="s">
        <v>37</v>
      </c>
      <c r="C65" s="56"/>
      <c r="D65" s="1"/>
      <c r="E65" s="1"/>
      <c r="F65" s="1"/>
    </row>
  </sheetData>
  <sheetProtection/>
  <mergeCells count="1">
    <mergeCell ref="A36:D36"/>
  </mergeCells>
  <printOptions/>
  <pageMargins left="0.75" right="0.75" top="1" bottom="1" header="0.5" footer="0.5"/>
  <pageSetup blackAndWhite="1" fitToHeight="1" fitToWidth="1" horizontalDpi="300" verticalDpi="300" orientation="portrait" scale="64" r:id="rId1"/>
  <headerFooter alignWithMargins="0">
    <oddHeader>&amp;RState of Kansas
County Special District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'Oak Hill-CQ 13'!C3</f>
        <v>Oak Hill-Chautauqua Cem # 13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inputComp!$Q$5</f>
        <v>4475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inputComp!$Q$7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4475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inputComp!$Q$9</f>
        <v>8535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inputComp!$Q$11</f>
        <v>87566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inputComp!$Q$13</f>
        <v>87566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inputComp!$Q$15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8535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inputComp!$Q$17</f>
        <v>1816927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1808392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0.004719662551039819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21.12048991590319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4496.120489915903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inputComp!$Q$19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4496.120489915903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8" zoomScaleNormal="88" zoomScalePageLayoutView="0" workbookViewId="0" topLeftCell="A3">
      <selection activeCell="F6" sqref="F6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cert2!A23</f>
        <v>El Cado Cemetery # 14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13099</v>
      </c>
      <c r="E9" s="21">
        <f>+D37</f>
        <v>13423</v>
      </c>
      <c r="F9" s="21">
        <f>+E37</f>
        <v>12095</v>
      </c>
    </row>
    <row r="10" spans="1:6" ht="15.75">
      <c r="A10" s="197" t="s">
        <v>14</v>
      </c>
      <c r="B10" s="198"/>
      <c r="C10" s="199"/>
      <c r="D10" s="194">
        <v>1414</v>
      </c>
      <c r="E10" s="37">
        <f>+C52</f>
        <v>1680</v>
      </c>
      <c r="F10" s="20" t="s">
        <v>6</v>
      </c>
    </row>
    <row r="11" spans="1:6" ht="15.75">
      <c r="A11" s="35" t="s">
        <v>15</v>
      </c>
      <c r="B11" s="36"/>
      <c r="C11" s="199"/>
      <c r="D11" s="194">
        <v>166</v>
      </c>
      <c r="E11" s="37"/>
      <c r="F11" s="37"/>
    </row>
    <row r="12" spans="1:6" ht="15.75">
      <c r="A12" s="35" t="s">
        <v>16</v>
      </c>
      <c r="B12" s="36"/>
      <c r="C12" s="199"/>
      <c r="D12" s="194">
        <v>169</v>
      </c>
      <c r="E12" s="37">
        <v>201</v>
      </c>
      <c r="F12" s="21">
        <f>D52</f>
        <v>178</v>
      </c>
    </row>
    <row r="13" spans="1:6" ht="15.75">
      <c r="A13" s="35" t="s">
        <v>17</v>
      </c>
      <c r="B13" s="36"/>
      <c r="C13" s="199"/>
      <c r="D13" s="194">
        <v>10</v>
      </c>
      <c r="E13" s="37">
        <v>4</v>
      </c>
      <c r="F13" s="21">
        <f>E52</f>
        <v>11</v>
      </c>
    </row>
    <row r="14" spans="1:6" ht="15.75">
      <c r="A14" s="35" t="s">
        <v>86</v>
      </c>
      <c r="B14" s="36"/>
      <c r="C14" s="199"/>
      <c r="D14" s="194"/>
      <c r="E14" s="37">
        <v>19</v>
      </c>
      <c r="F14" s="21">
        <f>F52</f>
        <v>17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 t="s">
        <v>335</v>
      </c>
      <c r="B16" s="36"/>
      <c r="C16" s="199"/>
      <c r="D16" s="194">
        <v>-118</v>
      </c>
      <c r="E16" s="37">
        <v>118</v>
      </c>
      <c r="F16" s="105"/>
    </row>
    <row r="17" spans="1:6" ht="15.75">
      <c r="A17" s="38" t="s">
        <v>315</v>
      </c>
      <c r="B17" s="39"/>
      <c r="C17" s="200"/>
      <c r="D17" s="194">
        <v>369</v>
      </c>
      <c r="E17" s="37">
        <v>100</v>
      </c>
      <c r="F17" s="37" t="s">
        <v>19</v>
      </c>
    </row>
    <row r="18" spans="1:6" ht="15.75">
      <c r="A18" s="40" t="s">
        <v>329</v>
      </c>
      <c r="B18" s="39"/>
      <c r="C18" s="200"/>
      <c r="D18" s="194">
        <v>320</v>
      </c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>
        <v>213</v>
      </c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2543</v>
      </c>
      <c r="E23" s="181">
        <f>SUM(E10:E22)</f>
        <v>2122</v>
      </c>
      <c r="F23" s="181">
        <f>SUM(F10:F22)</f>
        <v>206</v>
      </c>
    </row>
    <row r="24" spans="1:6" ht="15.75">
      <c r="A24" s="43" t="s">
        <v>23</v>
      </c>
      <c r="B24" s="36"/>
      <c r="C24" s="199"/>
      <c r="D24" s="195">
        <f>+D9+D23</f>
        <v>15642</v>
      </c>
      <c r="E24" s="181">
        <f>+E9+E23</f>
        <v>15545</v>
      </c>
      <c r="F24" s="181">
        <f>+F9+F23</f>
        <v>12301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 t="s">
        <v>306</v>
      </c>
      <c r="B26" s="39"/>
      <c r="C26" s="200"/>
      <c r="D26" s="194">
        <v>1860</v>
      </c>
      <c r="E26" s="37">
        <v>3000</v>
      </c>
      <c r="F26" s="37">
        <v>3000</v>
      </c>
    </row>
    <row r="27" spans="1:6" ht="15.75">
      <c r="A27" s="41" t="s">
        <v>307</v>
      </c>
      <c r="B27" s="39"/>
      <c r="C27" s="200"/>
      <c r="D27" s="194"/>
      <c r="E27" s="37"/>
      <c r="F27" s="37"/>
    </row>
    <row r="28" spans="1:6" ht="15.75">
      <c r="A28" s="41" t="s">
        <v>308</v>
      </c>
      <c r="B28" s="39"/>
      <c r="C28" s="200"/>
      <c r="D28" s="194">
        <v>250</v>
      </c>
      <c r="E28" s="37">
        <v>250</v>
      </c>
      <c r="F28" s="37">
        <v>250</v>
      </c>
    </row>
    <row r="29" spans="1:6" ht="15.75">
      <c r="A29" s="41" t="s">
        <v>309</v>
      </c>
      <c r="B29" s="39"/>
      <c r="C29" s="200"/>
      <c r="D29" s="194">
        <v>100</v>
      </c>
      <c r="E29" s="37">
        <v>100</v>
      </c>
      <c r="F29" s="37">
        <v>100</v>
      </c>
    </row>
    <row r="30" spans="1:6" ht="15.75">
      <c r="A30" s="38" t="s">
        <v>310</v>
      </c>
      <c r="B30" s="39"/>
      <c r="C30" s="200"/>
      <c r="D30" s="194"/>
      <c r="E30" s="37"/>
      <c r="F30" s="37"/>
    </row>
    <row r="31" spans="1:6" ht="15.75">
      <c r="A31" s="38" t="s">
        <v>319</v>
      </c>
      <c r="B31" s="39"/>
      <c r="C31" s="200"/>
      <c r="D31" s="194"/>
      <c r="E31" s="37"/>
      <c r="F31" s="37"/>
    </row>
    <row r="32" spans="1:6" ht="15.75">
      <c r="A32" s="38" t="s">
        <v>312</v>
      </c>
      <c r="B32" s="39"/>
      <c r="C32" s="200"/>
      <c r="D32" s="194">
        <v>9</v>
      </c>
      <c r="E32" s="37">
        <v>100</v>
      </c>
      <c r="F32" s="37">
        <v>100</v>
      </c>
    </row>
    <row r="33" spans="1:6" ht="15.75">
      <c r="A33" s="38" t="s">
        <v>313</v>
      </c>
      <c r="B33" s="39"/>
      <c r="C33" s="200"/>
      <c r="D33" s="194"/>
      <c r="E33" s="37"/>
      <c r="F33" s="37">
        <v>1500</v>
      </c>
    </row>
    <row r="34" spans="1:6" ht="15.75">
      <c r="A34" s="38" t="s">
        <v>316</v>
      </c>
      <c r="B34" s="39"/>
      <c r="C34" s="200"/>
      <c r="D34" s="194"/>
      <c r="E34" s="37"/>
      <c r="F34" s="37">
        <v>1000</v>
      </c>
    </row>
    <row r="35" spans="1:6" ht="15.75">
      <c r="A35" s="38" t="s">
        <v>325</v>
      </c>
      <c r="B35" s="39"/>
      <c r="C35" s="200"/>
      <c r="D35" s="194"/>
      <c r="E35" s="37"/>
      <c r="F35" s="37">
        <f>12301+1680-5950</f>
        <v>8031</v>
      </c>
    </row>
    <row r="36" spans="1:6" ht="15.75">
      <c r="A36" s="43" t="s">
        <v>25</v>
      </c>
      <c r="B36" s="36"/>
      <c r="C36" s="199"/>
      <c r="D36" s="195">
        <f>SUM(D26:D35)</f>
        <v>2219</v>
      </c>
      <c r="E36" s="181">
        <f>SUM(E26:E35)</f>
        <v>3450</v>
      </c>
      <c r="F36" s="181">
        <f>SUM(F26:F35)</f>
        <v>13981</v>
      </c>
    </row>
    <row r="37" spans="1:6" ht="15.75">
      <c r="A37" s="35" t="s">
        <v>26</v>
      </c>
      <c r="B37" s="36"/>
      <c r="C37" s="199"/>
      <c r="D37" s="188">
        <f>+D24-D36</f>
        <v>13423</v>
      </c>
      <c r="E37" s="182">
        <f>+E24-E36</f>
        <v>12095</v>
      </c>
      <c r="F37" s="20" t="s">
        <v>6</v>
      </c>
    </row>
    <row r="38" spans="1:7" ht="15.75">
      <c r="A38" s="1"/>
      <c r="B38" s="1"/>
      <c r="C38" s="1"/>
      <c r="D38" s="46"/>
      <c r="E38" s="47" t="s">
        <v>27</v>
      </c>
      <c r="F38" s="17"/>
      <c r="G38" s="192">
        <f>IF(F36/0.95-F36&lt;F38,"Exceeds 5%","")</f>
      </c>
    </row>
    <row r="39" spans="1:6" ht="15.75">
      <c r="A39" s="1"/>
      <c r="B39" s="26"/>
      <c r="C39" s="1"/>
      <c r="D39" s="46"/>
      <c r="E39" s="47" t="s">
        <v>28</v>
      </c>
      <c r="F39" s="21">
        <f>+F36+F38</f>
        <v>13981</v>
      </c>
    </row>
    <row r="40" spans="1:6" ht="15.75">
      <c r="A40" s="1"/>
      <c r="B40" s="1"/>
      <c r="C40" s="1"/>
      <c r="D40" s="1"/>
      <c r="E40" s="4" t="s">
        <v>29</v>
      </c>
      <c r="F40" s="182">
        <f>IF(F39-F24&gt;0,F39-F24,0)</f>
        <v>1680</v>
      </c>
    </row>
    <row r="41" spans="1:6" ht="15.75">
      <c r="A41" s="316" t="s">
        <v>166</v>
      </c>
      <c r="B41" s="317"/>
      <c r="C41" s="317"/>
      <c r="D41" s="317"/>
      <c r="E41" s="187"/>
      <c r="F41" s="182">
        <f>ROUND(IF($E$41&gt;0,($F$40*$E$41),0),0)</f>
        <v>0</v>
      </c>
    </row>
    <row r="42" spans="1:6" ht="15.75">
      <c r="A42" s="1"/>
      <c r="B42" s="1"/>
      <c r="C42" s="1"/>
      <c r="D42" s="1"/>
      <c r="E42" s="4" t="str">
        <f>CONCATENATE("Amount of ",$F$1-1," Ad Valorem Tax")</f>
        <v>Amount of 2013 Ad Valorem Tax</v>
      </c>
      <c r="F42" s="182">
        <f>SUM(F40:F41)</f>
        <v>1680</v>
      </c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1"/>
      <c r="C47" s="1"/>
      <c r="D47" s="1"/>
      <c r="E47" s="4"/>
      <c r="F47" s="50"/>
    </row>
    <row r="48" spans="1:6" ht="15.75">
      <c r="A48" s="1"/>
      <c r="B48" s="28" t="s">
        <v>78</v>
      </c>
      <c r="C48" s="1"/>
      <c r="D48" s="12"/>
      <c r="E48" s="90"/>
      <c r="F48" s="91"/>
    </row>
    <row r="49" spans="1:6" ht="15.75">
      <c r="A49" s="27"/>
      <c r="B49" s="25" t="s">
        <v>19</v>
      </c>
      <c r="C49" s="1"/>
      <c r="D49" s="88"/>
      <c r="E49" s="92" t="str">
        <f>CONCATENATE("Allocation for Year ",$F$1,"")</f>
        <v>Allocation for Year 2014</v>
      </c>
      <c r="F49" s="89"/>
    </row>
    <row r="50" spans="1:6" ht="15.75">
      <c r="A50" s="51" t="s">
        <v>30</v>
      </c>
      <c r="B50" s="52"/>
      <c r="C50" s="160" t="s">
        <v>167</v>
      </c>
      <c r="D50" s="32" t="s">
        <v>79</v>
      </c>
      <c r="E50" s="32" t="s">
        <v>80</v>
      </c>
      <c r="F50" s="32" t="s">
        <v>81</v>
      </c>
    </row>
    <row r="51" spans="1:6" ht="15.75">
      <c r="A51" s="53" t="s">
        <v>31</v>
      </c>
      <c r="B51" s="104"/>
      <c r="C51" s="106" t="str">
        <f>CONCATENATE("for ",$F$1-1,"")</f>
        <v>for 2013</v>
      </c>
      <c r="D51" s="34" t="s">
        <v>32</v>
      </c>
      <c r="E51" s="34" t="s">
        <v>32</v>
      </c>
      <c r="F51" s="34" t="s">
        <v>32</v>
      </c>
    </row>
    <row r="52" spans="1:6" ht="15.75">
      <c r="A52" s="102" t="s">
        <v>33</v>
      </c>
      <c r="B52" s="108"/>
      <c r="C52" s="250">
        <f>inputVehicle!R$5</f>
        <v>1680</v>
      </c>
      <c r="D52" s="125">
        <f>IF(C52&gt;0,ROUND(+C52*D$60,0)," ")</f>
        <v>178</v>
      </c>
      <c r="E52" s="125">
        <f>IF(C52&gt;0,ROUND(+C52*E$61,0)," ")</f>
        <v>11</v>
      </c>
      <c r="F52" s="125">
        <f>IF(C52&gt;0,ROUND(+C52*F$62,0)," ")</f>
        <v>17</v>
      </c>
    </row>
    <row r="53" spans="1:6" ht="15.75">
      <c r="A53" s="54"/>
      <c r="B53" s="101"/>
      <c r="C53" s="107"/>
      <c r="D53" s="125" t="str">
        <f>IF(C53&gt;0,ROUND(+C53*D$60,0)," ")</f>
        <v> </v>
      </c>
      <c r="E53" s="125" t="str">
        <f>IF(C53&gt;0,ROUND(+D53*E$61,0)," ")</f>
        <v> </v>
      </c>
      <c r="F53" s="125" t="str">
        <f>IF(C53&gt;0,ROUND(+E53*F$62,0)," ")</f>
        <v> </v>
      </c>
    </row>
    <row r="54" spans="1:6" ht="15.75">
      <c r="A54" s="35" t="s">
        <v>34</v>
      </c>
      <c r="B54" s="44"/>
      <c r="C54" s="188">
        <f>SUM(C52:C53)</f>
        <v>1680</v>
      </c>
      <c r="D54" s="189">
        <f>SUM(D52:D53)</f>
        <v>178</v>
      </c>
      <c r="E54" s="189">
        <f>SUM(E52:E53)</f>
        <v>11</v>
      </c>
      <c r="F54" s="189">
        <f>SUM(F52:F53)</f>
        <v>17</v>
      </c>
    </row>
    <row r="55" spans="1:6" ht="15.75">
      <c r="A55" s="29"/>
      <c r="B55" s="29"/>
      <c r="C55" s="50"/>
      <c r="D55" s="123"/>
      <c r="E55" s="123"/>
      <c r="F55" s="123"/>
    </row>
    <row r="56" spans="1:6" ht="15.75">
      <c r="A56" s="29" t="s">
        <v>83</v>
      </c>
      <c r="B56" s="29"/>
      <c r="C56" s="50"/>
      <c r="D56" s="251">
        <f>inputVehicle!R$7</f>
        <v>178</v>
      </c>
      <c r="E56" s="123"/>
      <c r="F56" s="123"/>
    </row>
    <row r="57" spans="1:6" ht="15.75">
      <c r="A57" s="29" t="s">
        <v>84</v>
      </c>
      <c r="B57" s="29"/>
      <c r="C57" s="50"/>
      <c r="D57" s="123"/>
      <c r="E57" s="251">
        <f>inputVehicle!R$9</f>
        <v>11</v>
      </c>
      <c r="F57" s="123"/>
    </row>
    <row r="58" spans="1:6" ht="15.75">
      <c r="A58" s="29" t="s">
        <v>85</v>
      </c>
      <c r="B58" s="29"/>
      <c r="C58" s="50"/>
      <c r="D58" s="123"/>
      <c r="E58" s="123"/>
      <c r="F58" s="251">
        <f>inputVehicle!R$11</f>
        <v>17</v>
      </c>
    </row>
    <row r="59" spans="1:6" ht="15.75">
      <c r="A59" s="1"/>
      <c r="B59" s="1"/>
      <c r="C59" s="1"/>
      <c r="D59" s="92"/>
      <c r="E59" s="92"/>
      <c r="F59" s="92"/>
    </row>
    <row r="60" spans="1:6" ht="15.75">
      <c r="A60" s="1"/>
      <c r="B60" s="1"/>
      <c r="C60" s="1" t="s">
        <v>35</v>
      </c>
      <c r="D60" s="124">
        <f>IF(C54=0,0,D56/C54)</f>
        <v>0.10595238095238095</v>
      </c>
      <c r="E60" s="92"/>
      <c r="F60" s="92"/>
    </row>
    <row r="61" spans="1:6" ht="15.75">
      <c r="A61" s="1"/>
      <c r="B61" s="1"/>
      <c r="C61" s="1"/>
      <c r="D61" s="92" t="s">
        <v>36</v>
      </c>
      <c r="E61" s="124">
        <f>IF(C54=0,0,E57/C54)</f>
        <v>0.006547619047619048</v>
      </c>
      <c r="F61" s="92"/>
    </row>
    <row r="62" spans="1:6" ht="15.75">
      <c r="A62" s="1"/>
      <c r="B62" s="1"/>
      <c r="C62" s="1"/>
      <c r="D62" s="92"/>
      <c r="E62" s="92" t="s">
        <v>82</v>
      </c>
      <c r="F62" s="124">
        <f>IF(C54=0,0,F58/C54)</f>
        <v>0.01011904761904762</v>
      </c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26" t="s">
        <v>37</v>
      </c>
      <c r="C70" s="56"/>
      <c r="D70" s="1"/>
      <c r="E70" s="1"/>
      <c r="F70" s="1"/>
    </row>
  </sheetData>
  <sheetProtection/>
  <mergeCells count="1">
    <mergeCell ref="A41:D41"/>
  </mergeCells>
  <printOptions/>
  <pageMargins left="0.75" right="0.75" top="1" bottom="1" header="0.5" footer="0.5"/>
  <pageSetup blackAndWhite="1" fitToHeight="1" fitToWidth="1" horizontalDpi="300" verticalDpi="300" orientation="portrait" scale="60" r:id="rId1"/>
  <headerFooter alignWithMargins="0">
    <oddHeader>&amp;RState of Kansas
County Special District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'ElCado 14'!C3</f>
        <v>El Cado Cemetery # 14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inputComp!$R$5</f>
        <v>1680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inputComp!$R$7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1680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inputComp!$R$9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inputComp!$R$11</f>
        <v>5849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inputComp!$R$13</f>
        <v>5849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inputComp!$R$15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inputComp!$R$17</f>
        <v>413078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413078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1680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inputComp!$R$19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1680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zoomScalePageLayoutView="0" workbookViewId="0" topLeftCell="A19">
      <selection activeCell="A38" sqref="A38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3.7109375" style="274" customWidth="1"/>
    <col min="10" max="10" width="2.7109375" style="3" customWidth="1"/>
    <col min="11" max="16384" width="9.140625" style="3" customWidth="1"/>
  </cols>
  <sheetData>
    <row r="1" spans="1:10" ht="15.75">
      <c r="A1" s="110" t="str">
        <f>input!$F$5</f>
        <v>Chautauqua County</v>
      </c>
      <c r="B1" s="1"/>
      <c r="C1" s="1"/>
      <c r="D1" s="1"/>
      <c r="E1" s="1"/>
      <c r="F1" s="1"/>
      <c r="G1" s="1"/>
      <c r="H1" s="4"/>
      <c r="I1" s="267">
        <f>input!$F$8</f>
        <v>2014</v>
      </c>
      <c r="J1" s="72"/>
    </row>
    <row r="2" spans="1:10" ht="15.75">
      <c r="A2" s="1"/>
      <c r="B2" s="1"/>
      <c r="C2" s="1"/>
      <c r="D2" s="1"/>
      <c r="E2" s="1"/>
      <c r="F2" s="1"/>
      <c r="G2" s="1"/>
      <c r="H2" s="4"/>
      <c r="I2" s="268"/>
      <c r="J2" s="72"/>
    </row>
    <row r="3" spans="1:10" ht="15.75">
      <c r="A3" s="79" t="s">
        <v>70</v>
      </c>
      <c r="B3" s="7"/>
      <c r="C3" s="7"/>
      <c r="D3" s="7"/>
      <c r="E3" s="7"/>
      <c r="F3" s="7"/>
      <c r="G3" s="7"/>
      <c r="H3" s="80"/>
      <c r="I3" s="269"/>
      <c r="J3" s="72"/>
    </row>
    <row r="4" spans="1:10" ht="15.75">
      <c r="A4" s="1"/>
      <c r="B4" s="81"/>
      <c r="C4" s="81"/>
      <c r="D4" s="81"/>
      <c r="E4" s="81"/>
      <c r="F4" s="81"/>
      <c r="G4" s="81"/>
      <c r="H4" s="81"/>
      <c r="I4" s="268"/>
      <c r="J4" s="72"/>
    </row>
    <row r="5" spans="1:10" ht="15.75">
      <c r="A5" s="1"/>
      <c r="B5" s="329" t="str">
        <f>CONCATENATE("Prior Year Actual ",I1-2,"")</f>
        <v>Prior Year Actual 2012</v>
      </c>
      <c r="C5" s="330"/>
      <c r="D5" s="327" t="str">
        <f>CONCATENATE("Current Yr Estimate ",I1-1,"")</f>
        <v>Current Yr Estimate 2013</v>
      </c>
      <c r="E5" s="328"/>
      <c r="F5" s="302" t="str">
        <f>CONCATENATE("Proposed Budget Year ",I1,"")</f>
        <v>Proposed Budget Year 2014</v>
      </c>
      <c r="G5" s="326"/>
      <c r="H5" s="326"/>
      <c r="I5" s="303"/>
      <c r="J5" s="72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2013 Ad</v>
      </c>
      <c r="H6" s="99" t="s">
        <v>72</v>
      </c>
      <c r="I6" s="270" t="s">
        <v>94</v>
      </c>
      <c r="J6" s="72"/>
    </row>
    <row r="7" spans="1:10" ht="15.75">
      <c r="A7" s="84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97" t="s">
        <v>93</v>
      </c>
      <c r="H7" s="34" t="s">
        <v>74</v>
      </c>
      <c r="I7" s="271" t="s">
        <v>95</v>
      </c>
      <c r="J7" s="72"/>
    </row>
    <row r="8" spans="1:10" ht="15.75">
      <c r="A8" s="21" t="str">
        <f>cert2!A10</f>
        <v>Round Mound Cemetery # 1</v>
      </c>
      <c r="B8" s="21">
        <f>'Rd Mound 1'!D33</f>
        <v>7698</v>
      </c>
      <c r="C8" s="100">
        <v>4.066</v>
      </c>
      <c r="D8" s="21">
        <f>'Rd Mound 1'!E33</f>
        <v>12548</v>
      </c>
      <c r="E8" s="100">
        <v>4.258</v>
      </c>
      <c r="F8" s="21">
        <f>'Rd Mound 1'!F33</f>
        <v>12999</v>
      </c>
      <c r="G8" s="21">
        <f>'Rd Mound 1'!F39</f>
        <v>8358</v>
      </c>
      <c r="H8" s="161">
        <f>IF(G8&gt;0,ROUND(G8/$I8*1000,3),"  ")</f>
        <v>4.262</v>
      </c>
      <c r="I8" s="272">
        <v>1961152</v>
      </c>
      <c r="J8" s="72"/>
    </row>
    <row r="9" spans="1:10" ht="15.75">
      <c r="A9" s="21" t="str">
        <f>cert2!A11</f>
        <v>Peru Cemetery # 2</v>
      </c>
      <c r="B9" s="21">
        <f>'Peru 2'!D32</f>
        <v>4899</v>
      </c>
      <c r="C9" s="100">
        <v>3.591</v>
      </c>
      <c r="D9" s="21">
        <f>'Peru 2'!E32</f>
        <v>7324</v>
      </c>
      <c r="E9" s="100">
        <v>3.211</v>
      </c>
      <c r="F9" s="21">
        <f>'Peru 2'!F32</f>
        <v>8361</v>
      </c>
      <c r="G9" s="21">
        <f>'Peru 2'!F38</f>
        <v>5777</v>
      </c>
      <c r="H9" s="161">
        <f aca="true" t="shared" si="0" ref="H9:H26">IF(G9&gt;0,ROUND(G9/$I9*1000,3),"  ")</f>
        <v>3.216</v>
      </c>
      <c r="I9" s="272">
        <v>1796413</v>
      </c>
      <c r="J9" s="72"/>
    </row>
    <row r="10" spans="1:10" ht="15.75">
      <c r="A10" s="21" t="str">
        <f>cert2!A12</f>
        <v>Fairview-Niotaze Cem # 3</v>
      </c>
      <c r="B10" s="21">
        <f>'Fairview-Niotaze 3'!D32</f>
        <v>4420</v>
      </c>
      <c r="C10" s="100">
        <v>2.382</v>
      </c>
      <c r="D10" s="21">
        <f>'Fairview-Niotaze 3'!E32</f>
        <v>6060</v>
      </c>
      <c r="E10" s="100">
        <v>2.263</v>
      </c>
      <c r="F10" s="21">
        <f>'Fairview-Niotaze 3'!F32</f>
        <v>7638</v>
      </c>
      <c r="G10" s="21">
        <f>'Fairview-Niotaze 3'!F38</f>
        <v>4742</v>
      </c>
      <c r="H10" s="161">
        <f t="shared" si="0"/>
        <v>2.265</v>
      </c>
      <c r="I10" s="272">
        <v>2093647</v>
      </c>
      <c r="J10" s="72"/>
    </row>
    <row r="11" spans="1:10" ht="15.75">
      <c r="A11" s="21" t="str">
        <f>cert2!A13</f>
        <v>Lafayette Cemetery # 4</v>
      </c>
      <c r="B11" s="21">
        <f>'Lafayette 4'!D33</f>
        <v>2824</v>
      </c>
      <c r="C11" s="100">
        <v>3.293</v>
      </c>
      <c r="D11" s="21">
        <f>'Lafayette 4'!E33</f>
        <v>4755</v>
      </c>
      <c r="E11" s="100">
        <v>4.933</v>
      </c>
      <c r="F11" s="21">
        <f>'Lafayette 4'!F33</f>
        <v>11711</v>
      </c>
      <c r="G11" s="21">
        <f>'Lafayette 4'!F39</f>
        <v>6961</v>
      </c>
      <c r="H11" s="161">
        <f t="shared" si="0"/>
        <v>4.918</v>
      </c>
      <c r="I11" s="272">
        <v>1415316</v>
      </c>
      <c r="J11" s="72"/>
    </row>
    <row r="12" spans="1:10" ht="15.75">
      <c r="A12" s="21" t="str">
        <f>cert2!A14</f>
        <v>Caneyville Cemetery # 5</v>
      </c>
      <c r="B12" s="21">
        <f>'Caneyville 5'!D33</f>
        <v>2250</v>
      </c>
      <c r="C12" s="100">
        <v>1.943</v>
      </c>
      <c r="D12" s="21">
        <f>'Caneyville 5'!E33</f>
        <v>4350</v>
      </c>
      <c r="E12" s="100">
        <v>1.323</v>
      </c>
      <c r="F12" s="21">
        <f>'Caneyville 5'!F33</f>
        <v>5845</v>
      </c>
      <c r="G12" s="21">
        <f>'Caneyville 5'!F39</f>
        <v>2420</v>
      </c>
      <c r="H12" s="161">
        <f t="shared" si="0"/>
        <v>1.322</v>
      </c>
      <c r="I12" s="272">
        <v>1829971</v>
      </c>
      <c r="J12" s="72"/>
    </row>
    <row r="13" spans="1:10" ht="15.75">
      <c r="A13" s="21" t="str">
        <f>cert2!A15</f>
        <v>Salt Creek Cemetery # 6</v>
      </c>
      <c r="B13" s="21">
        <f>'Salt Creek 6'!D32</f>
        <v>1662</v>
      </c>
      <c r="C13" s="100">
        <v>1.557</v>
      </c>
      <c r="D13" s="21">
        <f>'Salt Creek 6'!E32</f>
        <v>3075</v>
      </c>
      <c r="E13" s="100">
        <v>1.539</v>
      </c>
      <c r="F13" s="21">
        <f>'Salt Creek 6'!F32</f>
        <v>10298</v>
      </c>
      <c r="G13" s="21">
        <f>'Salt Creek 6'!F38</f>
        <v>2537</v>
      </c>
      <c r="H13" s="161">
        <f t="shared" si="0"/>
        <v>1.563</v>
      </c>
      <c r="I13" s="272">
        <v>1622893</v>
      </c>
      <c r="J13" s="72"/>
    </row>
    <row r="14" spans="1:10" ht="15.75">
      <c r="A14" s="21" t="str">
        <f>cert2!A16</f>
        <v>Hendricks Cemetery # 7</v>
      </c>
      <c r="B14" s="21">
        <f>'Hendrick 7'!D33</f>
        <v>4148</v>
      </c>
      <c r="C14" s="100">
        <v>3.21</v>
      </c>
      <c r="D14" s="21">
        <f>'Hendrick 7'!E33</f>
        <v>4079</v>
      </c>
      <c r="E14" s="100">
        <v>2.341</v>
      </c>
      <c r="F14" s="21">
        <f>'Hendrick 7'!F33</f>
        <v>4673</v>
      </c>
      <c r="G14" s="21">
        <f>'Hendrick 7'!F39</f>
        <v>4374</v>
      </c>
      <c r="H14" s="161">
        <f t="shared" si="0"/>
        <v>2.996</v>
      </c>
      <c r="I14" s="272">
        <v>1459899</v>
      </c>
      <c r="J14" s="72"/>
    </row>
    <row r="15" spans="1:10" ht="15.75">
      <c r="A15" s="21" t="str">
        <f>cert2!A17</f>
        <v>Riley-Washington Cem # 8</v>
      </c>
      <c r="B15" s="21">
        <f>'Riley-Wash 8'!D33</f>
        <v>3300</v>
      </c>
      <c r="C15" s="100">
        <v>2.869</v>
      </c>
      <c r="D15" s="21">
        <f>'Riley-Wash 8'!E33</f>
        <v>3458</v>
      </c>
      <c r="E15" s="100">
        <v>2.589</v>
      </c>
      <c r="F15" s="21">
        <f>'Riley-Wash 8'!F33</f>
        <v>3650</v>
      </c>
      <c r="G15" s="21">
        <f>'Riley-Wash 8'!F39</f>
        <v>2631</v>
      </c>
      <c r="H15" s="161">
        <f t="shared" si="0"/>
        <v>2.596</v>
      </c>
      <c r="I15" s="272">
        <v>1013410</v>
      </c>
      <c r="J15" s="72"/>
    </row>
    <row r="16" spans="1:10" ht="15.75">
      <c r="A16" s="21" t="str">
        <f>cert2!A18</f>
        <v>Sedan-Greenwood Cem # 9</v>
      </c>
      <c r="B16" s="21">
        <f>'Sedan-Green 9'!D36</f>
        <v>20914</v>
      </c>
      <c r="C16" s="100">
        <v>2.105</v>
      </c>
      <c r="D16" s="21">
        <f>'Sedan-Green 9'!E36</f>
        <v>21516</v>
      </c>
      <c r="E16" s="100">
        <v>2.091</v>
      </c>
      <c r="F16" s="21">
        <f>'Sedan-Green 9'!F36</f>
        <v>26084</v>
      </c>
      <c r="G16" s="21">
        <f>'Sedan-Green 9'!F42</f>
        <v>19600</v>
      </c>
      <c r="H16" s="161">
        <f t="shared" si="0"/>
        <v>3.095</v>
      </c>
      <c r="I16" s="272">
        <v>6333035</v>
      </c>
      <c r="J16" s="72"/>
    </row>
    <row r="17" spans="1:10" ht="15.75">
      <c r="A17" s="21" t="str">
        <f>cert2!A19</f>
        <v>Elgin  Cemetery # 10</v>
      </c>
      <c r="B17" s="21">
        <f>'Elgin 10'!D34</f>
        <v>7417</v>
      </c>
      <c r="C17" s="100">
        <v>5.288</v>
      </c>
      <c r="D17" s="21">
        <f>'Elgin 10'!E34</f>
        <v>7666</v>
      </c>
      <c r="E17" s="100">
        <v>5.05</v>
      </c>
      <c r="F17" s="21">
        <f>'Elgin 10'!F34</f>
        <v>9276</v>
      </c>
      <c r="G17" s="21">
        <f>'Elgin 10'!F40</f>
        <v>5322</v>
      </c>
      <c r="H17" s="161">
        <f t="shared" si="0"/>
        <v>5.064</v>
      </c>
      <c r="I17" s="272">
        <v>1051022</v>
      </c>
      <c r="J17" s="72"/>
    </row>
    <row r="18" spans="1:10" ht="15.75">
      <c r="A18" s="21" t="str">
        <f>cert2!A20</f>
        <v>Center Cemetery# 11</v>
      </c>
      <c r="B18" s="21">
        <f>'Center 11'!D33</f>
        <v>1450</v>
      </c>
      <c r="C18" s="100">
        <v>0.587</v>
      </c>
      <c r="D18" s="21">
        <f>'Center 11'!E33</f>
        <v>2700</v>
      </c>
      <c r="E18" s="100">
        <v>0.515</v>
      </c>
      <c r="F18" s="21">
        <f>'Center 11'!F33</f>
        <v>3889</v>
      </c>
      <c r="G18" s="21">
        <f>'Center 11'!F39</f>
        <v>2101</v>
      </c>
      <c r="H18" s="161">
        <f t="shared" si="0"/>
        <v>0.515</v>
      </c>
      <c r="I18" s="272">
        <v>4080610</v>
      </c>
      <c r="J18" s="72"/>
    </row>
    <row r="19" spans="1:10" ht="15.75">
      <c r="A19" s="21" t="str">
        <f>cert2!A21</f>
        <v>Spring Creek Cemetery # 12</v>
      </c>
      <c r="B19" s="21">
        <f>'Spring Ck 12'!D33</f>
        <v>1157</v>
      </c>
      <c r="C19" s="100">
        <v>3.756</v>
      </c>
      <c r="D19" s="21">
        <f>'Spring Ck 12'!E33</f>
        <v>3150</v>
      </c>
      <c r="E19" s="100">
        <v>3.46</v>
      </c>
      <c r="F19" s="21">
        <f>'Spring Ck 12'!F33</f>
        <v>8579</v>
      </c>
      <c r="G19" s="21">
        <f>'Spring Ck 12'!F39</f>
        <v>1652</v>
      </c>
      <c r="H19" s="161">
        <f t="shared" si="0"/>
        <v>3.463</v>
      </c>
      <c r="I19" s="272">
        <v>477012</v>
      </c>
      <c r="J19" s="72"/>
    </row>
    <row r="20" spans="1:10" ht="15.75">
      <c r="A20" s="21" t="str">
        <f>cert2!A22</f>
        <v>Oak Hill-Chautauqua Cem # 13</v>
      </c>
      <c r="B20" s="21">
        <f>'Oak Hill-CQ 13'!D31</f>
        <v>5587</v>
      </c>
      <c r="C20" s="100">
        <v>2.504</v>
      </c>
      <c r="D20" s="21">
        <f>'Oak Hill-CQ 13'!E31</f>
        <v>8525</v>
      </c>
      <c r="E20" s="100">
        <v>2.463</v>
      </c>
      <c r="F20" s="21">
        <f>'Oak Hill-CQ 13'!F31</f>
        <v>13427</v>
      </c>
      <c r="G20" s="21">
        <f>'Oak Hill-CQ 13'!F37</f>
        <v>4496</v>
      </c>
      <c r="H20" s="161">
        <f t="shared" si="0"/>
        <v>2.475</v>
      </c>
      <c r="I20" s="272">
        <v>1816927</v>
      </c>
      <c r="J20" s="72"/>
    </row>
    <row r="21" spans="1:10" ht="15.75">
      <c r="A21" s="21" t="str">
        <f>cert2!A23</f>
        <v>El Cado Cemetery # 14</v>
      </c>
      <c r="B21" s="21">
        <f>'ElCado 14'!D36</f>
        <v>2219</v>
      </c>
      <c r="C21" s="100">
        <v>4.076</v>
      </c>
      <c r="D21" s="21">
        <f>'ElCado 14'!E36</f>
        <v>3450</v>
      </c>
      <c r="E21" s="100">
        <v>4.067</v>
      </c>
      <c r="F21" s="21">
        <f>'ElCado 14'!F36</f>
        <v>13981</v>
      </c>
      <c r="G21" s="21">
        <f>'ElCado 14'!F42</f>
        <v>1680</v>
      </c>
      <c r="H21" s="161">
        <f t="shared" si="0"/>
        <v>4.043</v>
      </c>
      <c r="I21" s="272">
        <v>415564</v>
      </c>
      <c r="J21" s="72"/>
    </row>
    <row r="22" spans="1:10" ht="15.75">
      <c r="A22" s="21" t="str">
        <f>cert2!A24</f>
        <v>Reserves</v>
      </c>
      <c r="B22" s="21">
        <f>+'S-G Reserve'!B20</f>
        <v>4757</v>
      </c>
      <c r="C22" s="100"/>
      <c r="D22" s="21">
        <f>'End Blank'!E35</f>
        <v>0</v>
      </c>
      <c r="E22" s="100"/>
      <c r="F22" s="21">
        <f>'End Blank'!F35</f>
        <v>0</v>
      </c>
      <c r="G22" s="21">
        <f>'End Blank'!F41</f>
        <v>0</v>
      </c>
      <c r="H22" s="161" t="str">
        <f t="shared" si="0"/>
        <v>  </v>
      </c>
      <c r="I22" s="272"/>
      <c r="J22" s="72"/>
    </row>
    <row r="23" spans="1:10" ht="15.75">
      <c r="A23" s="21">
        <f>cert2!A25</f>
        <v>0</v>
      </c>
      <c r="B23" s="21">
        <f>Sheet16!D35</f>
        <v>0</v>
      </c>
      <c r="C23" s="100"/>
      <c r="D23" s="21">
        <f>Sheet16!E35</f>
        <v>0</v>
      </c>
      <c r="E23" s="100"/>
      <c r="F23" s="21">
        <f>Sheet16!F35</f>
        <v>0</v>
      </c>
      <c r="G23" s="21">
        <f>Sheet16!F41</f>
        <v>0</v>
      </c>
      <c r="H23" s="161" t="str">
        <f t="shared" si="0"/>
        <v>  </v>
      </c>
      <c r="I23" s="272"/>
      <c r="J23" s="72"/>
    </row>
    <row r="24" spans="1:10" ht="15.75">
      <c r="A24" s="21">
        <f>cert2!A26</f>
        <v>0</v>
      </c>
      <c r="B24" s="21">
        <f>Sheet17!D35</f>
        <v>0</v>
      </c>
      <c r="C24" s="100"/>
      <c r="D24" s="21">
        <f>Sheet17!E35</f>
        <v>0</v>
      </c>
      <c r="E24" s="100"/>
      <c r="F24" s="21">
        <f>Sheet17!F35</f>
        <v>0</v>
      </c>
      <c r="G24" s="21">
        <f>Sheet17!F41</f>
        <v>0</v>
      </c>
      <c r="H24" s="161" t="str">
        <f t="shared" si="0"/>
        <v>  </v>
      </c>
      <c r="I24" s="272"/>
      <c r="J24" s="72"/>
    </row>
    <row r="25" spans="1:10" ht="15.75">
      <c r="A25" s="21">
        <f>cert2!A27</f>
        <v>0</v>
      </c>
      <c r="B25" s="21">
        <f>Sheet28!D35</f>
        <v>0</v>
      </c>
      <c r="C25" s="100"/>
      <c r="D25" s="21">
        <f>Sheet28!E35</f>
        <v>0</v>
      </c>
      <c r="E25" s="100"/>
      <c r="F25" s="21">
        <f>Sheet28!F35</f>
        <v>0</v>
      </c>
      <c r="G25" s="21">
        <f>Sheet28!F41</f>
        <v>0</v>
      </c>
      <c r="H25" s="161" t="str">
        <f t="shared" si="0"/>
        <v>  </v>
      </c>
      <c r="I25" s="272"/>
      <c r="J25" s="72"/>
    </row>
    <row r="26" spans="1:10" ht="15.75">
      <c r="A26" s="21">
        <f>cert2!A28</f>
        <v>0</v>
      </c>
      <c r="B26" s="21">
        <f>Sheet29!D35</f>
        <v>0</v>
      </c>
      <c r="C26" s="100"/>
      <c r="D26" s="21">
        <f>Sheet29!E35</f>
        <v>0</v>
      </c>
      <c r="E26" s="100"/>
      <c r="F26" s="21">
        <f>Sheet29!F35</f>
        <v>0</v>
      </c>
      <c r="G26" s="21">
        <f>Sheet29!F41</f>
        <v>0</v>
      </c>
      <c r="H26" s="161" t="str">
        <f t="shared" si="0"/>
        <v>  </v>
      </c>
      <c r="I26" s="272"/>
      <c r="J26" s="72"/>
    </row>
    <row r="27" spans="1:10" ht="15.75">
      <c r="A27" s="19" t="s">
        <v>75</v>
      </c>
      <c r="B27" s="182">
        <f aca="true" t="shared" si="1" ref="B27:H27">SUM(B8:B26)</f>
        <v>74702</v>
      </c>
      <c r="C27" s="185">
        <f t="shared" si="1"/>
        <v>41.227</v>
      </c>
      <c r="D27" s="182">
        <f t="shared" si="1"/>
        <v>92656</v>
      </c>
      <c r="E27" s="185">
        <f t="shared" si="1"/>
        <v>40.103</v>
      </c>
      <c r="F27" s="182">
        <f t="shared" si="1"/>
        <v>140411</v>
      </c>
      <c r="G27" s="182">
        <f t="shared" si="1"/>
        <v>72651</v>
      </c>
      <c r="H27" s="186">
        <f t="shared" si="1"/>
        <v>41.793</v>
      </c>
      <c r="I27" s="273"/>
      <c r="J27" s="72"/>
    </row>
    <row r="28" spans="1:10" ht="15.75">
      <c r="A28" s="1"/>
      <c r="B28" s="1"/>
      <c r="C28" s="1"/>
      <c r="D28" s="1"/>
      <c r="E28" s="1"/>
      <c r="F28" s="1"/>
      <c r="G28" s="1"/>
      <c r="H28" s="1"/>
      <c r="I28" s="268"/>
      <c r="J28" s="72"/>
    </row>
    <row r="29" spans="1:10" ht="15.75">
      <c r="A29" s="5" t="s">
        <v>76</v>
      </c>
      <c r="B29" s="1"/>
      <c r="C29" s="1"/>
      <c r="D29" s="1"/>
      <c r="E29" s="1"/>
      <c r="F29" s="1"/>
      <c r="G29" s="1"/>
      <c r="H29" s="1"/>
      <c r="I29" s="268"/>
      <c r="J29" s="72"/>
    </row>
    <row r="30" spans="1:10" ht="15.75">
      <c r="A30" s="1"/>
      <c r="B30" s="1"/>
      <c r="C30" s="1"/>
      <c r="D30" s="1"/>
      <c r="E30" s="1"/>
      <c r="F30" s="1"/>
      <c r="G30" s="1"/>
      <c r="H30" s="1"/>
      <c r="I30" s="268"/>
      <c r="J30" s="72"/>
    </row>
    <row r="31" spans="1:10" ht="15.75">
      <c r="A31" s="85"/>
      <c r="B31" s="1"/>
      <c r="C31" s="1"/>
      <c r="D31" s="1"/>
      <c r="E31" s="1"/>
      <c r="F31" s="1"/>
      <c r="G31" s="1"/>
      <c r="H31" s="1"/>
      <c r="I31" s="268"/>
      <c r="J31" s="72"/>
    </row>
    <row r="32" spans="1:10" ht="15.75">
      <c r="A32" s="6" t="s">
        <v>77</v>
      </c>
      <c r="B32" s="1"/>
      <c r="C32" s="1"/>
      <c r="D32" s="47" t="s">
        <v>136</v>
      </c>
      <c r="E32" s="56"/>
      <c r="F32" s="1"/>
      <c r="G32" s="1"/>
      <c r="H32" s="1"/>
      <c r="I32" s="268"/>
      <c r="J32" s="72"/>
    </row>
    <row r="34" spans="1:8" ht="15.75">
      <c r="A34" s="23"/>
      <c r="B34" s="23"/>
      <c r="C34" s="23"/>
      <c r="D34" s="23"/>
      <c r="E34" s="23"/>
      <c r="F34" s="23"/>
      <c r="G34" s="23"/>
      <c r="H34" s="23"/>
    </row>
    <row r="35" spans="1:8" ht="15.75">
      <c r="A35" s="22"/>
      <c r="B35" s="23"/>
      <c r="C35" s="23"/>
      <c r="D35" s="23"/>
      <c r="E35" s="23"/>
      <c r="F35" s="23"/>
      <c r="G35" s="23"/>
      <c r="H35" s="23"/>
    </row>
    <row r="36" spans="1:8" ht="15.75">
      <c r="A36" s="22"/>
      <c r="B36" s="86"/>
      <c r="C36" s="23"/>
      <c r="D36" s="86"/>
      <c r="E36" s="23"/>
      <c r="F36" s="86"/>
      <c r="G36" s="23"/>
      <c r="H36" s="23"/>
    </row>
    <row r="37" spans="1:8" ht="15.75">
      <c r="A37" s="22"/>
      <c r="B37" s="22"/>
      <c r="C37" s="23"/>
      <c r="D37" s="22"/>
      <c r="E37" s="23"/>
      <c r="F37" s="22"/>
      <c r="G37" s="23"/>
      <c r="H37" s="23"/>
    </row>
    <row r="38" spans="1:8" ht="15.75">
      <c r="A38" s="22"/>
      <c r="B38" s="22"/>
      <c r="C38" s="23"/>
      <c r="D38" s="22"/>
      <c r="E38" s="23"/>
      <c r="F38" s="22"/>
      <c r="G38" s="23"/>
      <c r="H38" s="23"/>
    </row>
    <row r="39" spans="1:8" ht="15.75">
      <c r="A39" s="22"/>
      <c r="B39" s="22"/>
      <c r="C39" s="23"/>
      <c r="D39" s="22"/>
      <c r="E39" s="23"/>
      <c r="F39" s="22"/>
      <c r="G39" s="23"/>
      <c r="H39" s="23"/>
    </row>
    <row r="40" spans="1:8" ht="15.75">
      <c r="A40" s="22"/>
      <c r="B40" s="22"/>
      <c r="C40" s="23"/>
      <c r="D40" s="22"/>
      <c r="E40" s="23"/>
      <c r="F40" s="22"/>
      <c r="G40" s="23"/>
      <c r="H40" s="23"/>
    </row>
    <row r="41" spans="1:8" ht="15.75">
      <c r="A41" s="22"/>
      <c r="B41" s="22"/>
      <c r="C41" s="23"/>
      <c r="D41" s="22"/>
      <c r="E41" s="23"/>
      <c r="F41" s="22"/>
      <c r="G41" s="23"/>
      <c r="H41" s="23"/>
    </row>
    <row r="42" spans="2:8" ht="15.75">
      <c r="B42" s="23"/>
      <c r="C42" s="23"/>
      <c r="D42" s="23"/>
      <c r="E42" s="23"/>
      <c r="F42" s="23"/>
      <c r="G42" s="23"/>
      <c r="H42" s="23"/>
    </row>
    <row r="43" spans="2:8" ht="15.75">
      <c r="B43" s="23"/>
      <c r="C43" s="23"/>
      <c r="D43" s="23"/>
      <c r="E43" s="23"/>
      <c r="F43" s="23"/>
      <c r="G43" s="23"/>
      <c r="H43" s="23"/>
    </row>
    <row r="44" spans="2:8" ht="15.75">
      <c r="B44" s="142"/>
      <c r="C44" s="23"/>
      <c r="D44" s="23"/>
      <c r="E44" s="23"/>
      <c r="F44" s="23"/>
      <c r="G44" s="23"/>
      <c r="H44" s="23"/>
    </row>
    <row r="45" spans="2:8" ht="15.75">
      <c r="B45" s="87"/>
      <c r="C45" s="23"/>
      <c r="D45" s="23"/>
      <c r="E45" s="23"/>
      <c r="F45" s="23"/>
      <c r="G45" s="23"/>
      <c r="H45" s="23"/>
    </row>
    <row r="46" spans="1:8" ht="15.75">
      <c r="A46" s="23"/>
      <c r="B46" s="23"/>
      <c r="C46" s="23"/>
      <c r="D46" s="23"/>
      <c r="E46" s="23"/>
      <c r="F46" s="23"/>
      <c r="G46" s="23"/>
      <c r="H46" s="23"/>
    </row>
    <row r="47" spans="1:8" ht="15.75">
      <c r="A47" s="23"/>
      <c r="B47" s="23"/>
      <c r="C47"/>
      <c r="D47" s="23"/>
      <c r="E47" s="23"/>
      <c r="F47" s="23"/>
      <c r="G47" s="23"/>
      <c r="H47" s="23"/>
    </row>
  </sheetData>
  <sheetProtection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str">
        <f>cert2!A24</f>
        <v>Reserves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inputVehicle!S$5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inputVehicle!S$7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inputVehicle!S$9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inputVehicle!S$11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'End Blank'!C3</f>
        <v>Reserves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inputComp!$S$5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inputComp!$S$7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inputComp!$S$9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inputComp!$S$11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inputComp!$S$13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inputComp!$S$15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inputComp!$S$17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inputComp!$S$19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>
        <f>cert2!A25</f>
        <v>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inputVehicle!T$5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inputVehicle!T$7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inputVehicle!T$9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inputVehicle!T$11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>
        <f>Sheet16!C3</f>
        <v>0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inputComp!$T$5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inputComp!$T$7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inputComp!$T$9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inputComp!$T$11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inputComp!$T$13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inputComp!$T$15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inputComp!$T$17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inputComp!$T$19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G12" sqref="G12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300" t="s">
        <v>227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3" ht="12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33" ht="15.75">
      <c r="A3" s="256"/>
      <c r="B3" s="256"/>
      <c r="C3" s="256"/>
      <c r="D3" s="256"/>
      <c r="E3" s="257" t="s">
        <v>228</v>
      </c>
      <c r="F3" s="257" t="s">
        <v>229</v>
      </c>
      <c r="G3" s="257" t="s">
        <v>230</v>
      </c>
      <c r="H3" s="257" t="s">
        <v>231</v>
      </c>
      <c r="I3" s="257" t="s">
        <v>232</v>
      </c>
      <c r="J3" s="257" t="s">
        <v>233</v>
      </c>
      <c r="K3" s="257" t="s">
        <v>234</v>
      </c>
      <c r="L3" s="257" t="s">
        <v>235</v>
      </c>
      <c r="M3" s="257" t="s">
        <v>236</v>
      </c>
      <c r="N3" s="257" t="s">
        <v>237</v>
      </c>
      <c r="O3" s="257" t="s">
        <v>238</v>
      </c>
      <c r="P3" s="257" t="s">
        <v>239</v>
      </c>
      <c r="Q3" s="257" t="s">
        <v>240</v>
      </c>
      <c r="R3" s="257" t="s">
        <v>241</v>
      </c>
      <c r="S3" s="257" t="s">
        <v>242</v>
      </c>
      <c r="T3" s="257" t="s">
        <v>243</v>
      </c>
      <c r="U3" s="257" t="s">
        <v>244</v>
      </c>
      <c r="V3" s="257" t="s">
        <v>245</v>
      </c>
      <c r="W3" s="257" t="s">
        <v>246</v>
      </c>
      <c r="X3" s="257" t="s">
        <v>247</v>
      </c>
      <c r="Y3" s="257" t="s">
        <v>248</v>
      </c>
      <c r="Z3" s="257" t="s">
        <v>249</v>
      </c>
      <c r="AA3" s="257" t="s">
        <v>250</v>
      </c>
      <c r="AB3" s="257" t="s">
        <v>251</v>
      </c>
      <c r="AC3" s="257" t="s">
        <v>252</v>
      </c>
      <c r="AD3" s="257" t="s">
        <v>253</v>
      </c>
      <c r="AE3" s="257" t="s">
        <v>254</v>
      </c>
      <c r="AF3" s="257" t="s">
        <v>255</v>
      </c>
      <c r="AG3" s="257" t="s">
        <v>256</v>
      </c>
    </row>
    <row r="4" spans="1:33" ht="15.75">
      <c r="A4" s="256"/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</row>
    <row r="5" spans="1:33" ht="15.75">
      <c r="A5" s="298" t="str">
        <f>CONCATENATE("Ad Valorem Tax Amt for ",input!$F$8-1,":")</f>
        <v>Ad Valorem Tax Amt for 2013:</v>
      </c>
      <c r="B5" s="298"/>
      <c r="C5" s="298"/>
      <c r="D5" s="258"/>
      <c r="E5" s="259">
        <v>8347</v>
      </c>
      <c r="F5" s="260">
        <v>5765</v>
      </c>
      <c r="G5" s="260">
        <v>4738</v>
      </c>
      <c r="H5" s="260">
        <v>6961</v>
      </c>
      <c r="I5" s="260">
        <v>2420</v>
      </c>
      <c r="J5" s="260">
        <v>2499</v>
      </c>
      <c r="K5" s="260">
        <v>3406</v>
      </c>
      <c r="L5" s="260">
        <v>2624</v>
      </c>
      <c r="M5" s="260">
        <v>13183</v>
      </c>
      <c r="N5" s="260">
        <v>5308</v>
      </c>
      <c r="O5" s="260">
        <v>2101</v>
      </c>
      <c r="P5" s="260">
        <v>1652</v>
      </c>
      <c r="Q5" s="260">
        <v>4475</v>
      </c>
      <c r="R5" s="261">
        <v>1680</v>
      </c>
      <c r="S5" s="262"/>
      <c r="T5" s="260"/>
      <c r="U5" s="260"/>
      <c r="V5" s="261"/>
      <c r="W5" s="260"/>
      <c r="X5" s="261"/>
      <c r="Y5" s="262"/>
      <c r="Z5" s="262"/>
      <c r="AA5" s="262"/>
      <c r="AB5" s="262"/>
      <c r="AC5" s="260"/>
      <c r="AD5" s="261"/>
      <c r="AE5" s="260"/>
      <c r="AF5" s="259"/>
      <c r="AG5" s="259"/>
    </row>
    <row r="6" spans="1:33" ht="15.75">
      <c r="A6" s="257"/>
      <c r="B6" s="257"/>
      <c r="C6" s="257"/>
      <c r="D6" s="257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</row>
    <row r="7" spans="1:33" ht="15.75">
      <c r="A7" s="301" t="s">
        <v>257</v>
      </c>
      <c r="B7" s="301"/>
      <c r="C7" s="301"/>
      <c r="D7" s="258"/>
      <c r="E7" s="259">
        <v>666</v>
      </c>
      <c r="F7" s="260">
        <v>553</v>
      </c>
      <c r="G7" s="260">
        <v>621</v>
      </c>
      <c r="H7" s="260">
        <v>216</v>
      </c>
      <c r="I7" s="260">
        <v>120</v>
      </c>
      <c r="J7" s="260">
        <v>199</v>
      </c>
      <c r="K7" s="260">
        <v>63</v>
      </c>
      <c r="L7" s="260">
        <v>240</v>
      </c>
      <c r="M7" s="260">
        <v>2365</v>
      </c>
      <c r="N7" s="260">
        <v>450</v>
      </c>
      <c r="O7" s="260">
        <v>47</v>
      </c>
      <c r="P7" s="260">
        <v>102</v>
      </c>
      <c r="Q7" s="260">
        <v>838</v>
      </c>
      <c r="R7" s="261">
        <v>178</v>
      </c>
      <c r="S7" s="260"/>
      <c r="T7" s="261"/>
      <c r="U7" s="260"/>
      <c r="V7" s="261"/>
      <c r="W7" s="260"/>
      <c r="X7" s="260"/>
      <c r="Y7" s="260"/>
      <c r="Z7" s="260"/>
      <c r="AA7" s="260"/>
      <c r="AB7" s="260"/>
      <c r="AC7" s="262"/>
      <c r="AD7" s="260"/>
      <c r="AE7" s="259"/>
      <c r="AF7" s="259"/>
      <c r="AG7" s="259"/>
    </row>
    <row r="8" spans="1:33" ht="15.75">
      <c r="A8" s="257"/>
      <c r="B8" s="257"/>
      <c r="C8" s="257"/>
      <c r="D8" s="257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</row>
    <row r="9" spans="1:33" ht="15.75">
      <c r="A9" s="301" t="s">
        <v>258</v>
      </c>
      <c r="B9" s="301"/>
      <c r="C9" s="301"/>
      <c r="D9" s="258"/>
      <c r="E9" s="259">
        <v>19</v>
      </c>
      <c r="F9" s="260">
        <v>10</v>
      </c>
      <c r="G9" s="259">
        <v>16</v>
      </c>
      <c r="H9" s="259">
        <v>1</v>
      </c>
      <c r="I9" s="259">
        <v>2</v>
      </c>
      <c r="J9" s="259">
        <v>3</v>
      </c>
      <c r="K9" s="259">
        <v>2</v>
      </c>
      <c r="L9" s="260">
        <v>6</v>
      </c>
      <c r="M9" s="260">
        <v>43</v>
      </c>
      <c r="N9" s="260">
        <v>10</v>
      </c>
      <c r="O9" s="260"/>
      <c r="P9" s="260"/>
      <c r="Q9" s="260">
        <v>19</v>
      </c>
      <c r="R9" s="260">
        <v>11</v>
      </c>
      <c r="S9" s="260"/>
      <c r="T9" s="260"/>
      <c r="U9" s="261"/>
      <c r="V9" s="260"/>
      <c r="W9" s="261"/>
      <c r="X9" s="260"/>
      <c r="Y9" s="261"/>
      <c r="Z9" s="260"/>
      <c r="AA9" s="260"/>
      <c r="AB9" s="261"/>
      <c r="AC9" s="262"/>
      <c r="AD9" s="260"/>
      <c r="AE9" s="259"/>
      <c r="AF9" s="259"/>
      <c r="AG9" s="259"/>
    </row>
    <row r="10" spans="1:34" ht="15.75">
      <c r="A10" s="257"/>
      <c r="B10" s="257"/>
      <c r="C10" s="257"/>
      <c r="D10" s="257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64"/>
    </row>
    <row r="11" spans="1:33" ht="15.75">
      <c r="A11" s="301" t="s">
        <v>259</v>
      </c>
      <c r="B11" s="301"/>
      <c r="C11" s="301"/>
      <c r="D11" s="258"/>
      <c r="E11" s="259">
        <v>307</v>
      </c>
      <c r="F11" s="260">
        <v>39</v>
      </c>
      <c r="G11" s="259">
        <v>59</v>
      </c>
      <c r="H11" s="259">
        <v>46</v>
      </c>
      <c r="I11" s="259">
        <v>123</v>
      </c>
      <c r="J11" s="259">
        <v>42</v>
      </c>
      <c r="K11" s="259">
        <v>58</v>
      </c>
      <c r="L11" s="260">
        <v>88</v>
      </c>
      <c r="M11" s="261">
        <v>58</v>
      </c>
      <c r="N11" s="260">
        <v>43</v>
      </c>
      <c r="O11" s="261">
        <v>30</v>
      </c>
      <c r="P11" s="260">
        <v>22</v>
      </c>
      <c r="Q11" s="261">
        <v>76</v>
      </c>
      <c r="R11" s="260">
        <v>17</v>
      </c>
      <c r="S11" s="260"/>
      <c r="T11" s="260"/>
      <c r="U11" s="260"/>
      <c r="V11" s="260"/>
      <c r="W11" s="260"/>
      <c r="X11" s="260"/>
      <c r="Y11" s="260"/>
      <c r="Z11" s="261"/>
      <c r="AA11" s="260"/>
      <c r="AB11" s="260"/>
      <c r="AC11" s="260"/>
      <c r="AD11" s="259"/>
      <c r="AE11" s="259"/>
      <c r="AF11" s="263"/>
      <c r="AG11" s="260"/>
    </row>
    <row r="12" spans="1:33" ht="15.75">
      <c r="A12" s="257"/>
      <c r="B12" s="257"/>
      <c r="C12" s="257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</row>
    <row r="13" spans="1:3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164"/>
      <c r="L13" s="16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7" ht="15.75">
      <c r="A16" s="3"/>
      <c r="B16" s="3"/>
      <c r="C16" s="3"/>
      <c r="D16" s="3"/>
      <c r="E16" s="245"/>
      <c r="G16" s="244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</sheetData>
  <sheetProtection sheet="1"/>
  <mergeCells count="5">
    <mergeCell ref="A1:K1"/>
    <mergeCell ref="A5:C5"/>
    <mergeCell ref="A7:C7"/>
    <mergeCell ref="A9:C9"/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>
        <f>cert2!A26</f>
        <v>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inputVehicle!U$5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inputVehicle!U$7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inputVehicle!U$9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inputVehicle!U$11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>
        <f>Sheet17!C3</f>
        <v>0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inputComp!$U$5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inputComp!$U$7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inputComp!$U$9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inputComp!$U$11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inputComp!$U$13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inputComp!$U$15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inputComp!$U$17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inputComp!$U$19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 you must")</f>
        <v>If the 2014 budget includes tax levies exceeding the total on line 14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inputVehicle!V$5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inputVehicle!V$7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inputVehicle!V$9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inputVehicle!V$11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Sheet18!C3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inputComp!$V$5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inputComp!$V$7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inputComp!$V$9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inputComp!$V$11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inputComp!$V$13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inputComp!$V$15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inputComp!$V$17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inputComp!$V$19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inputVehicle!W$5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inputVehicle!W$7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inputVehicle!W$9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inputVehicle!W$11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Sheet19!C3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inputComp!$W$5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inputComp!$W$7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inputComp!$W$9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inputComp!$W$11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inputComp!$W$13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inputComp!$W$15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inputComp!$W$17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inputComp!$W$19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inputVehicle!X$5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inputVehicle!X$7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inputVehicle!X$9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inputVehicle!X$11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Sheet20!C3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inputComp!$X$5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inputComp!$X$7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inputComp!$X$9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inputComp!$X$11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inputComp!$X$13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inputComp!$X$15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inputComp!$X$17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inputComp!$X$19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6"/>
    </row>
    <row r="16" spans="1:6" ht="15.75">
      <c r="A16" s="35"/>
      <c r="B16" s="36"/>
      <c r="C16" s="199"/>
      <c r="D16" s="194"/>
      <c r="E16" s="37"/>
      <c r="F16" s="16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inputVehicle!Y$5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inputVehicle!Y$7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inputVehicle!Y$9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inputVehicle!Y$11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Sheet21!C3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inputComp!$Y$5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inputComp!$Y$7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inputComp!$Y$9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inputComp!$Y$11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inputComp!$Y$13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inputComp!$Y$15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inputComp!$Y$17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inputComp!$Y$19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27" sqref="A27:A36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6.57421875" style="3" customWidth="1"/>
    <col min="4" max="4" width="5.8515625" style="3" customWidth="1"/>
    <col min="5" max="5" width="14.00390625" style="3" customWidth="1"/>
    <col min="6" max="6" width="12.421875" style="3" customWidth="1"/>
    <col min="7" max="7" width="14.7109375" style="3" customWidth="1"/>
    <col min="8" max="8" width="13.7109375" style="3" customWidth="1"/>
    <col min="9" max="16384" width="9.140625" style="3" customWidth="1"/>
  </cols>
  <sheetData>
    <row r="1" spans="1:8" ht="15.75">
      <c r="A1" s="1" t="str">
        <f>input!F5</f>
        <v>Chautauqua County</v>
      </c>
      <c r="B1" s="1"/>
      <c r="C1" s="2"/>
      <c r="D1" s="2"/>
      <c r="E1" s="1"/>
      <c r="F1" s="1"/>
      <c r="G1" s="1"/>
      <c r="H1" s="1">
        <f>input!F8</f>
        <v>2014</v>
      </c>
    </row>
    <row r="2" spans="1:8" ht="15.75">
      <c r="A2" s="304" t="s">
        <v>162</v>
      </c>
      <c r="B2" s="305"/>
      <c r="C2" s="305"/>
      <c r="D2" s="305"/>
      <c r="E2" s="305"/>
      <c r="F2" s="305"/>
      <c r="G2" s="305"/>
      <c r="H2" s="305"/>
    </row>
    <row r="3" spans="1:8" ht="15.75">
      <c r="A3" s="6"/>
      <c r="B3" s="7"/>
      <c r="C3" s="7"/>
      <c r="D3" s="7"/>
      <c r="E3" s="7"/>
      <c r="F3" s="7"/>
      <c r="G3" s="7"/>
      <c r="H3" s="1"/>
    </row>
    <row r="4" spans="1:8" ht="15.75">
      <c r="A4" s="141"/>
      <c r="B4" s="141"/>
      <c r="C4" s="141"/>
      <c r="D4" s="141"/>
      <c r="E4" s="141"/>
      <c r="F4" s="141"/>
      <c r="G4" s="141"/>
      <c r="H4" s="141"/>
    </row>
    <row r="5" spans="1:8" ht="15.75">
      <c r="A5" s="1"/>
      <c r="B5" s="1"/>
      <c r="C5" s="1"/>
      <c r="D5" s="1"/>
      <c r="E5" s="302" t="str">
        <f>CONCATENATE("",H1," Adopted Budget")</f>
        <v>2014 Adopted Budget</v>
      </c>
      <c r="F5" s="306"/>
      <c r="G5" s="306"/>
      <c r="H5" s="307"/>
    </row>
    <row r="6" spans="1:8" ht="21" customHeight="1">
      <c r="A6" s="1"/>
      <c r="B6" s="1"/>
      <c r="C6" s="9"/>
      <c r="D6" s="313" t="s">
        <v>223</v>
      </c>
      <c r="E6" s="308" t="s">
        <v>3</v>
      </c>
      <c r="F6" s="159">
        <f>H1-1</f>
        <v>2013</v>
      </c>
      <c r="G6" s="302" t="s">
        <v>88</v>
      </c>
      <c r="H6" s="303"/>
    </row>
    <row r="7" spans="1:8" ht="15.75">
      <c r="A7" s="154"/>
      <c r="B7" s="31"/>
      <c r="C7" s="157" t="s">
        <v>0</v>
      </c>
      <c r="D7" s="314"/>
      <c r="E7" s="309"/>
      <c r="F7" s="311" t="s">
        <v>165</v>
      </c>
      <c r="G7" s="94" t="s">
        <v>89</v>
      </c>
      <c r="H7" s="95" t="s">
        <v>91</v>
      </c>
    </row>
    <row r="8" spans="1:8" ht="15.75">
      <c r="A8" s="11" t="s">
        <v>1</v>
      </c>
      <c r="B8" s="156"/>
      <c r="C8" s="33" t="s">
        <v>2</v>
      </c>
      <c r="D8" s="315"/>
      <c r="E8" s="310"/>
      <c r="F8" s="312"/>
      <c r="G8" s="93" t="s">
        <v>90</v>
      </c>
      <c r="H8" s="33" t="s">
        <v>92</v>
      </c>
    </row>
    <row r="9" spans="1:8" ht="15.75">
      <c r="A9" s="155" t="s">
        <v>4</v>
      </c>
      <c r="B9" s="153" t="s">
        <v>5</v>
      </c>
      <c r="C9" s="16"/>
      <c r="D9" s="203"/>
      <c r="E9" s="158"/>
      <c r="F9" s="158"/>
      <c r="G9" s="93"/>
      <c r="H9" s="33"/>
    </row>
    <row r="10" spans="1:8" ht="15.75">
      <c r="A10" s="112" t="s">
        <v>291</v>
      </c>
      <c r="B10" s="243" t="s">
        <v>292</v>
      </c>
      <c r="C10" s="249" t="str">
        <f>IF('Rd Mound 1'!C67&gt;0,'Rd Mound 1'!C67," ")</f>
        <v> </v>
      </c>
      <c r="D10" s="249" t="str">
        <f>IF('Rd Mound 1'!F39&gt;'Rd M 1C'!J35,"Yes","No")</f>
        <v>No</v>
      </c>
      <c r="E10" s="21">
        <f>'Rd Mound 1'!F33</f>
        <v>12999</v>
      </c>
      <c r="F10" s="21">
        <f>'Rd Mound 1'!F39</f>
        <v>8358</v>
      </c>
      <c r="G10" s="184"/>
      <c r="H10" s="161" t="str">
        <f>IF(G10&gt;0,ROUND(F10/$G10*1000,3),"  ")</f>
        <v>  </v>
      </c>
    </row>
    <row r="11" spans="1:8" ht="15.75">
      <c r="A11" s="17" t="s">
        <v>293</v>
      </c>
      <c r="B11" s="243" t="s">
        <v>292</v>
      </c>
      <c r="C11" s="249" t="str">
        <f>IF('Peru 2'!C66&gt;0,'Peru 2'!C66," ")</f>
        <v> </v>
      </c>
      <c r="D11" s="249" t="str">
        <f>IF('Peru 2'!F38&gt;'Peru 2C'!J35,"Yes","No")</f>
        <v>Yes</v>
      </c>
      <c r="E11" s="21">
        <f>'Peru 2'!F32</f>
        <v>8361</v>
      </c>
      <c r="F11" s="21">
        <f>'Peru 2'!F38</f>
        <v>5777</v>
      </c>
      <c r="G11" s="184"/>
      <c r="H11" s="161" t="str">
        <f aca="true" t="shared" si="0" ref="H11:H28">IF(G11&gt;0,ROUND(F11/$G11*1000,3),"  ")</f>
        <v>  </v>
      </c>
    </row>
    <row r="12" spans="1:8" ht="15.75">
      <c r="A12" s="17" t="s">
        <v>294</v>
      </c>
      <c r="B12" s="243" t="s">
        <v>292</v>
      </c>
      <c r="C12" s="249" t="str">
        <f>IF('Fairview-Niotaze 3'!C66&gt;0,'Fairview-Niotaze 3'!C66," ")</f>
        <v> </v>
      </c>
      <c r="D12" s="249" t="str">
        <f>IF('Fairview-Niotaze 3'!F38&gt;'F-N 3C'!J35,"Yes","No")</f>
        <v>No</v>
      </c>
      <c r="E12" s="21">
        <f>'Fairview-Niotaze 3'!F32</f>
        <v>7638</v>
      </c>
      <c r="F12" s="21">
        <f>'Fairview-Niotaze 3'!F38</f>
        <v>4742</v>
      </c>
      <c r="G12" s="184"/>
      <c r="H12" s="161" t="str">
        <f t="shared" si="0"/>
        <v>  </v>
      </c>
    </row>
    <row r="13" spans="1:8" ht="15.75">
      <c r="A13" s="17" t="s">
        <v>295</v>
      </c>
      <c r="B13" s="243" t="s">
        <v>292</v>
      </c>
      <c r="C13" s="249" t="str">
        <f>IF('Lafayette 4'!C67&gt;0,'Lafayette 4'!C67," ")</f>
        <v> </v>
      </c>
      <c r="D13" s="249" t="str">
        <f>IF('Lafayette 4'!F39&gt;'Lafay 4C'!J35,"Yes","No")</f>
        <v>No</v>
      </c>
      <c r="E13" s="21">
        <f>'Lafayette 4'!F33</f>
        <v>11711</v>
      </c>
      <c r="F13" s="21">
        <f>'Lafayette 4'!F39</f>
        <v>6961</v>
      </c>
      <c r="G13" s="184"/>
      <c r="H13" s="161" t="str">
        <f t="shared" si="0"/>
        <v>  </v>
      </c>
    </row>
    <row r="14" spans="1:8" ht="15.75">
      <c r="A14" s="17" t="s">
        <v>317</v>
      </c>
      <c r="B14" s="243" t="s">
        <v>292</v>
      </c>
      <c r="C14" s="249" t="str">
        <f>IF('Caneyville 5'!C67&gt;0,'Caneyville 5'!C67," ")</f>
        <v> </v>
      </c>
      <c r="D14" s="249" t="str">
        <f>IF('Caneyville 5'!F39&gt;'Caney 5C'!J35,"Yes","No")</f>
        <v>No</v>
      </c>
      <c r="E14" s="21">
        <f>'Caneyville 5'!F33</f>
        <v>5845</v>
      </c>
      <c r="F14" s="21">
        <f>'Caneyville 5'!F39</f>
        <v>2420</v>
      </c>
      <c r="G14" s="184"/>
      <c r="H14" s="161" t="str">
        <f t="shared" si="0"/>
        <v>  </v>
      </c>
    </row>
    <row r="15" spans="1:8" ht="15.75">
      <c r="A15" s="17" t="s">
        <v>296</v>
      </c>
      <c r="B15" s="243" t="s">
        <v>292</v>
      </c>
      <c r="C15" s="249" t="str">
        <f>IF('Salt Creek 6'!C66&gt;0,'Salt Creek 6'!C66," ")</f>
        <v> </v>
      </c>
      <c r="D15" s="249" t="str">
        <f>IF('Salt Creek 6'!F38&gt;'Salt Ck 6C'!J35,"Yes","No")</f>
        <v>No</v>
      </c>
      <c r="E15" s="21">
        <f>'Salt Creek 6'!F32</f>
        <v>10298</v>
      </c>
      <c r="F15" s="21">
        <f>'Salt Creek 6'!F38</f>
        <v>2537</v>
      </c>
      <c r="G15" s="184"/>
      <c r="H15" s="161" t="str">
        <f t="shared" si="0"/>
        <v>  </v>
      </c>
    </row>
    <row r="16" spans="1:8" ht="15.75">
      <c r="A16" s="17" t="s">
        <v>297</v>
      </c>
      <c r="B16" s="243" t="s">
        <v>292</v>
      </c>
      <c r="C16" s="249" t="str">
        <f>IF('Hendrick 7'!C67&gt;0,'Hendrick 7'!C67," ")</f>
        <v> </v>
      </c>
      <c r="D16" s="249" t="str">
        <f>IF('Hendrick 7'!$F$39&gt;'Hend 7C'!$J$35,"Yes","No")</f>
        <v>Yes</v>
      </c>
      <c r="E16" s="21">
        <f>'Hendrick 7'!F33</f>
        <v>4673</v>
      </c>
      <c r="F16" s="21">
        <f>'Hendrick 7'!F39</f>
        <v>4374</v>
      </c>
      <c r="G16" s="184"/>
      <c r="H16" s="161" t="str">
        <f t="shared" si="0"/>
        <v>  </v>
      </c>
    </row>
    <row r="17" spans="1:8" ht="15.75">
      <c r="A17" s="17" t="s">
        <v>298</v>
      </c>
      <c r="B17" s="243" t="s">
        <v>292</v>
      </c>
      <c r="C17" s="249" t="str">
        <f>IF('Riley-Wash 8'!C67&gt;0,'Riley-Wash 8'!C67," ")</f>
        <v> </v>
      </c>
      <c r="D17" s="249" t="str">
        <f>IF('Riley-Wash 8'!$F$39&gt;'Hend 7C'!$J$35,"Yes","No")</f>
        <v>No</v>
      </c>
      <c r="E17" s="21">
        <f>'Riley-Wash 8'!F33</f>
        <v>3650</v>
      </c>
      <c r="F17" s="21">
        <f>'Riley-Wash 8'!F39</f>
        <v>2631</v>
      </c>
      <c r="G17" s="184"/>
      <c r="H17" s="161" t="str">
        <f t="shared" si="0"/>
        <v>  </v>
      </c>
    </row>
    <row r="18" spans="1:8" ht="15.75">
      <c r="A18" s="17" t="s">
        <v>321</v>
      </c>
      <c r="B18" s="243" t="s">
        <v>292</v>
      </c>
      <c r="C18" s="249" t="str">
        <f>IF('Sedan-Green 9'!C70&gt;0,'Sedan-Green 9'!C70," ")</f>
        <v> </v>
      </c>
      <c r="D18" s="249" t="str">
        <f>IF('Sedan-Green 9'!$F$42&gt;'S-G 9C'!$J$35,"Yes","No")</f>
        <v>Yes</v>
      </c>
      <c r="E18" s="21">
        <f>'Sedan-Green 9'!F36</f>
        <v>26084</v>
      </c>
      <c r="F18" s="21">
        <f>'Sedan-Green 9'!F42</f>
        <v>19600</v>
      </c>
      <c r="G18" s="184"/>
      <c r="H18" s="161" t="str">
        <f t="shared" si="0"/>
        <v>  </v>
      </c>
    </row>
    <row r="19" spans="1:8" ht="15.75">
      <c r="A19" s="17" t="s">
        <v>299</v>
      </c>
      <c r="B19" s="243" t="s">
        <v>292</v>
      </c>
      <c r="C19" s="249" t="str">
        <f>IF('Elgin 10'!C68&gt;0,'Elgin 10'!C68," ")</f>
        <v> </v>
      </c>
      <c r="D19" s="249" t="str">
        <f>IF('Elgin 10'!$F$40&gt;'Elgin 10C'!$J$35,"Yes","No")</f>
        <v>Yes</v>
      </c>
      <c r="E19" s="21">
        <f>'Elgin 10'!F34</f>
        <v>9276</v>
      </c>
      <c r="F19" s="21">
        <f>'Elgin 10'!F40</f>
        <v>5322</v>
      </c>
      <c r="G19" s="184"/>
      <c r="H19" s="161" t="str">
        <f t="shared" si="0"/>
        <v>  </v>
      </c>
    </row>
    <row r="20" spans="1:8" ht="15.75">
      <c r="A20" s="17" t="s">
        <v>300</v>
      </c>
      <c r="B20" s="243" t="s">
        <v>292</v>
      </c>
      <c r="C20" s="249" t="str">
        <f>IF('Center 11'!C67&gt;0,'Center 11'!C67," ")</f>
        <v> </v>
      </c>
      <c r="D20" s="249" t="str">
        <f>IF('Center 11'!$F$39&gt;'Center 11C'!$J$35,"Yes","No")</f>
        <v>No</v>
      </c>
      <c r="E20" s="21">
        <f>'Center 11'!F33</f>
        <v>3889</v>
      </c>
      <c r="F20" s="21">
        <f>'Center 11'!F39</f>
        <v>2101</v>
      </c>
      <c r="G20" s="184"/>
      <c r="H20" s="161" t="str">
        <f t="shared" si="0"/>
        <v>  </v>
      </c>
    </row>
    <row r="21" spans="1:8" ht="15.75">
      <c r="A21" s="17" t="s">
        <v>301</v>
      </c>
      <c r="B21" s="243" t="s">
        <v>292</v>
      </c>
      <c r="C21" s="249" t="str">
        <f>IF('Spring Ck 12'!C67&gt;0,'Spring Ck 12'!C67," ")</f>
        <v> </v>
      </c>
      <c r="D21" s="249" t="str">
        <f>IF('Spring Ck 12'!$F$39&gt;'Sp Ck 12C'!$J$35,"Yes","No")</f>
        <v>No</v>
      </c>
      <c r="E21" s="21">
        <f>'Spring Ck 12'!F33</f>
        <v>8579</v>
      </c>
      <c r="F21" s="21">
        <f>'Spring Ck 12'!F39</f>
        <v>1652</v>
      </c>
      <c r="G21" s="184"/>
      <c r="H21" s="161" t="str">
        <f t="shared" si="0"/>
        <v>  </v>
      </c>
    </row>
    <row r="22" spans="1:8" ht="15.75">
      <c r="A22" s="17" t="s">
        <v>302</v>
      </c>
      <c r="B22" s="243" t="s">
        <v>292</v>
      </c>
      <c r="C22" s="249" t="str">
        <f>IF('Oak Hill-CQ 13'!C65&gt;0,'Oak Hill-CQ 13'!C65," ")</f>
        <v> </v>
      </c>
      <c r="D22" s="249" t="str">
        <f>IF('Oak Hill-CQ 13'!$F$37&gt;'OH-CQ 13C'!$J$35,"Yes","No")</f>
        <v>No</v>
      </c>
      <c r="E22" s="21">
        <f>'Oak Hill-CQ 13'!F31</f>
        <v>13427</v>
      </c>
      <c r="F22" s="21">
        <f>'Oak Hill-CQ 13'!F37</f>
        <v>4496</v>
      </c>
      <c r="G22" s="184"/>
      <c r="H22" s="161" t="str">
        <f t="shared" si="0"/>
        <v>  </v>
      </c>
    </row>
    <row r="23" spans="1:8" ht="15.75">
      <c r="A23" s="17" t="s">
        <v>303</v>
      </c>
      <c r="B23" s="243" t="s">
        <v>292</v>
      </c>
      <c r="C23" s="249" t="str">
        <f>IF('ElCado 14'!C70&gt;0,'ElCado 14'!C70," ")</f>
        <v> </v>
      </c>
      <c r="D23" s="249" t="str">
        <f>IF('ElCado 14'!$F$42&gt;ElCado14C!$J$35,"Yes","No")</f>
        <v>No</v>
      </c>
      <c r="E23" s="21">
        <f>'ElCado 14'!F36</f>
        <v>13981</v>
      </c>
      <c r="F23" s="21">
        <f>'ElCado 14'!F42</f>
        <v>1680</v>
      </c>
      <c r="G23" s="184"/>
      <c r="H23" s="161" t="str">
        <f t="shared" si="0"/>
        <v>  </v>
      </c>
    </row>
    <row r="24" spans="1:8" ht="15.75">
      <c r="A24" s="17" t="s">
        <v>304</v>
      </c>
      <c r="B24" s="243" t="s">
        <v>292</v>
      </c>
      <c r="C24" s="249" t="str">
        <f>IF('End Blank'!C69&gt;0,'End Blank'!C69," ")</f>
        <v> </v>
      </c>
      <c r="D24" s="249" t="str">
        <f>IF('End Blank'!$F$41&gt;Comp15!$J$35,"Yes","No")</f>
        <v>No</v>
      </c>
      <c r="E24" s="21">
        <f>'End Blank'!F35</f>
        <v>0</v>
      </c>
      <c r="F24" s="21">
        <f>'End Blank'!F41</f>
        <v>0</v>
      </c>
      <c r="G24" s="184"/>
      <c r="H24" s="161" t="str">
        <f t="shared" si="0"/>
        <v>  </v>
      </c>
    </row>
    <row r="25" spans="1:8" ht="15.75">
      <c r="A25" s="17"/>
      <c r="B25" s="243"/>
      <c r="C25" s="249" t="str">
        <f>IF(Sheet16!C69&gt;0,Sheet16!C69," ")</f>
        <v> </v>
      </c>
      <c r="D25" s="249" t="str">
        <f>IF(Sheet16!$F$41&gt;comp16!$J$35,"Yes","No")</f>
        <v>No</v>
      </c>
      <c r="E25" s="21">
        <f>Sheet16!F35</f>
        <v>0</v>
      </c>
      <c r="F25" s="21">
        <f>Sheet16!F41</f>
        <v>0</v>
      </c>
      <c r="G25" s="184"/>
      <c r="H25" s="161" t="str">
        <f t="shared" si="0"/>
        <v>  </v>
      </c>
    </row>
    <row r="26" spans="1:8" ht="15.75">
      <c r="A26" s="17"/>
      <c r="B26" s="243"/>
      <c r="C26" s="249" t="str">
        <f>IF(Sheet17!C69&gt;0,Sheet17!C69," ")</f>
        <v> </v>
      </c>
      <c r="D26" s="249" t="str">
        <f>IF(Sheet17!$F$41&gt;Comp17!$J$35,"Yes","No")</f>
        <v>No</v>
      </c>
      <c r="E26" s="21">
        <f>Sheet17!F35</f>
        <v>0</v>
      </c>
      <c r="F26" s="21">
        <f>Sheet17!F41</f>
        <v>0</v>
      </c>
      <c r="G26" s="184"/>
      <c r="H26" s="161" t="str">
        <f t="shared" si="0"/>
        <v>  </v>
      </c>
    </row>
    <row r="27" spans="1:8" ht="15.75">
      <c r="A27" s="17"/>
      <c r="B27" s="243"/>
      <c r="C27" s="249" t="str">
        <f>IF(Sheet28!C69&gt;0,Sheet28!C69," ")</f>
        <v> </v>
      </c>
      <c r="D27" s="249" t="str">
        <f>IF(Sheet28!$F$41&gt;Comp28!$J$35,"Yes","No")</f>
        <v>No</v>
      </c>
      <c r="E27" s="21">
        <f>Sheet28!F35</f>
        <v>0</v>
      </c>
      <c r="F27" s="21">
        <f>Sheet28!F41</f>
        <v>0</v>
      </c>
      <c r="G27" s="184"/>
      <c r="H27" s="161" t="str">
        <f t="shared" si="0"/>
        <v>  </v>
      </c>
    </row>
    <row r="28" spans="1:8" ht="15.75">
      <c r="A28" s="17"/>
      <c r="B28" s="243"/>
      <c r="C28" s="249" t="str">
        <f>IF(Sheet29!C69&gt;0,Sheet29!C69," ")</f>
        <v> </v>
      </c>
      <c r="D28" s="249" t="str">
        <f>IF(Sheet29!$F$41&gt;Comp29!$J$35,"Yes","No")</f>
        <v>No</v>
      </c>
      <c r="E28" s="21">
        <f>Sheet29!F35</f>
        <v>0</v>
      </c>
      <c r="F28" s="21">
        <f>Sheet29!F41</f>
        <v>0</v>
      </c>
      <c r="G28" s="184"/>
      <c r="H28" s="161" t="str">
        <f t="shared" si="0"/>
        <v>  </v>
      </c>
    </row>
    <row r="29" spans="1:8" ht="15.75">
      <c r="A29" s="1"/>
      <c r="B29" s="1"/>
      <c r="C29" s="1"/>
      <c r="D29" s="1"/>
      <c r="E29" s="1"/>
      <c r="F29" s="1"/>
      <c r="G29" s="1"/>
      <c r="H29" s="30"/>
    </row>
    <row r="30" spans="1:8" ht="15.75">
      <c r="A30" s="141"/>
      <c r="B30" s="141"/>
      <c r="C30" s="141"/>
      <c r="D30" s="141"/>
      <c r="E30" s="141"/>
      <c r="F30" s="141"/>
      <c r="G30" s="30"/>
      <c r="H30" s="30"/>
    </row>
    <row r="31" spans="1:8" ht="15.75">
      <c r="A31" s="141"/>
      <c r="B31" s="141"/>
      <c r="C31" s="141"/>
      <c r="D31" s="141"/>
      <c r="E31" s="141"/>
      <c r="F31" s="141"/>
      <c r="G31" s="1"/>
      <c r="H31" s="1"/>
    </row>
    <row r="32" spans="1:8" ht="15.75">
      <c r="A32" s="96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26" t="s">
        <v>37</v>
      </c>
      <c r="C34" s="56">
        <v>31</v>
      </c>
      <c r="D34" s="56"/>
      <c r="E34" s="1"/>
      <c r="F34" s="1"/>
      <c r="G34" s="1"/>
      <c r="H34" s="1"/>
    </row>
    <row r="35" spans="1:7" ht="15.75">
      <c r="A35" s="23"/>
      <c r="B35" s="23"/>
      <c r="C35" s="23"/>
      <c r="D35" s="23"/>
      <c r="E35" s="23"/>
      <c r="F35" s="23"/>
      <c r="G35" s="24"/>
    </row>
    <row r="45" spans="1:7" ht="15.75">
      <c r="A45" s="23"/>
      <c r="B45" s="23"/>
      <c r="C45" s="23"/>
      <c r="D45" s="23"/>
      <c r="E45" s="23"/>
      <c r="F45" s="23"/>
      <c r="G45" s="23"/>
    </row>
    <row r="49" spans="1:7" ht="15.75">
      <c r="A49" s="23"/>
      <c r="B49" s="23"/>
      <c r="C49" s="23"/>
      <c r="D49" s="23"/>
      <c r="E49" s="22"/>
      <c r="F49" s="23"/>
      <c r="G49" s="23"/>
    </row>
  </sheetData>
  <sheetProtection/>
  <mergeCells count="6">
    <mergeCell ref="G6:H6"/>
    <mergeCell ref="A2:H2"/>
    <mergeCell ref="E5:H5"/>
    <mergeCell ref="E6:E8"/>
    <mergeCell ref="F7:F8"/>
    <mergeCell ref="D6:D8"/>
  </mergeCells>
  <printOptions/>
  <pageMargins left="0.75" right="0.75" top="1" bottom="1" header="0.5" footer="0.5"/>
  <pageSetup blackAndWhite="1" fitToHeight="1" fitToWidth="1" horizontalDpi="600" verticalDpi="600" orientation="portrait" scale="84" r:id="rId1"/>
  <headerFooter alignWithMargins="0">
    <oddHeader xml:space="preserve">&amp;RState of Kansas
County Special District   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inputVehicle!Z$5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inputVehicle!Z$7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inputVehicle!Z$9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inputVehicle!Z$11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Sheet22!C3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inputComp!$Z$5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inputComp!$Z$7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inputComp!$Z$9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inputComp!$Z$11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inputComp!$Z$13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inputComp!$Z$15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inputComp!$Z$17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inputComp!$Z$19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inputVehicle!AA$5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inputVehicle!AA$7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inputVehicle!AA$9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inputVehicle!AA$11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Sheet23!C3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inputComp!$AA$5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inputComp!$AA$7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inputComp!$AA$9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inputComp!$AA$11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inputComp!$AA$13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inputComp!$AA$15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inputComp!$AA$17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inputComp!$AA$19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inputVehicle!AB$5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inputVehicle!AB$7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inputVehicle!AB$9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inputVehicle!AB$11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Sheet24!C3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inputComp!$AB$5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inputComp!$AB$7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inputComp!$AB$9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inputComp!$AB$11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inputComp!$AB$13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inputComp!$AB$15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inputComp!$AB$17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inputComp!$AB$19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199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inputVehicle!AC$5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03">
        <f>SUM(C51:C52)</f>
        <v>0</v>
      </c>
      <c r="D53" s="122">
        <f>SUM(D51:D52)</f>
        <v>0</v>
      </c>
      <c r="E53" s="122">
        <f>SUM(E51:E52)</f>
        <v>0</v>
      </c>
      <c r="F53" s="122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inputVehicle!AC$7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inputVehicle!AC$9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inputVehicle!AC$11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Sheet25!C3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inputComp!$AC$5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inputComp!$AC$7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inputComp!$AC$9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inputComp!$AC$11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inputComp!$AC$13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inputComp!$AC$15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inputComp!$AC$17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inputComp!$AC$19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inputVehicle!AD$5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03">
        <f>SUM(C51:C52)</f>
        <v>0</v>
      </c>
      <c r="D53" s="122">
        <f>SUM(D51:D52)</f>
        <v>0</v>
      </c>
      <c r="E53" s="122">
        <f>SUM(E51:E52)</f>
        <v>0</v>
      </c>
      <c r="F53" s="122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inputVehicle!AD$7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inputVehicle!AD$9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inputVehicle!AD$11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Sheet26!C3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inputComp!$AD$5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inputComp!$AD$7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inputComp!$AD$9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inputComp!$AD$11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inputComp!$AD$13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inputComp!$AD$15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19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inputComp!$AD$17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inputComp!$AD$19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0" zoomScaleNormal="80" zoomScalePageLayoutView="0" workbookViewId="0" topLeftCell="A1">
      <selection activeCell="G33" sqref="G33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0" t="str">
        <f>input!F5</f>
        <v>Chautauqua County</v>
      </c>
      <c r="D2" s="111"/>
      <c r="E2" s="1"/>
      <c r="F2" s="1"/>
    </row>
    <row r="3" spans="1:6" ht="15.75">
      <c r="A3" s="26" t="s">
        <v>8</v>
      </c>
      <c r="B3" s="26"/>
      <c r="C3" s="246" t="str">
        <f>cert2!A10</f>
        <v>Round Mound Cemetery # 1</v>
      </c>
      <c r="D3" s="24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6432</v>
      </c>
      <c r="E9" s="21">
        <f>+D34</f>
        <v>6646</v>
      </c>
      <c r="F9" s="21">
        <f>+E34</f>
        <v>3649</v>
      </c>
    </row>
    <row r="10" spans="1:6" ht="15.75">
      <c r="A10" s="197" t="s">
        <v>14</v>
      </c>
      <c r="B10" s="198"/>
      <c r="C10" s="199"/>
      <c r="D10" s="194">
        <v>6731</v>
      </c>
      <c r="E10" s="37">
        <f>+C49</f>
        <v>8347</v>
      </c>
      <c r="F10" s="20" t="s">
        <v>6</v>
      </c>
    </row>
    <row r="11" spans="1:6" ht="15.75">
      <c r="A11" s="35" t="s">
        <v>15</v>
      </c>
      <c r="B11" s="36"/>
      <c r="C11" s="199"/>
      <c r="D11" s="194">
        <v>331</v>
      </c>
      <c r="E11" s="37"/>
      <c r="F11" s="37"/>
    </row>
    <row r="12" spans="1:6" ht="15.75">
      <c r="A12" s="35" t="s">
        <v>16</v>
      </c>
      <c r="B12" s="36"/>
      <c r="C12" s="199"/>
      <c r="D12" s="194">
        <v>679</v>
      </c>
      <c r="E12" s="37">
        <v>612</v>
      </c>
      <c r="F12" s="21">
        <f>D49</f>
        <v>666</v>
      </c>
    </row>
    <row r="13" spans="1:6" ht="15.75">
      <c r="A13" s="35" t="s">
        <v>17</v>
      </c>
      <c r="B13" s="36"/>
      <c r="C13" s="199"/>
      <c r="D13" s="194">
        <v>21</v>
      </c>
      <c r="E13" s="37">
        <v>11</v>
      </c>
      <c r="F13" s="21">
        <f>E49</f>
        <v>19</v>
      </c>
    </row>
    <row r="14" spans="1:6" ht="15.75">
      <c r="A14" s="35" t="s">
        <v>86</v>
      </c>
      <c r="B14" s="36"/>
      <c r="C14" s="199"/>
      <c r="D14" s="194"/>
      <c r="E14" s="37">
        <v>401</v>
      </c>
      <c r="F14" s="21">
        <f>F49</f>
        <v>307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305</v>
      </c>
      <c r="B17" s="39"/>
      <c r="C17" s="200"/>
      <c r="D17" s="194">
        <v>150</v>
      </c>
      <c r="E17" s="37">
        <v>180</v>
      </c>
      <c r="F17" s="37"/>
    </row>
    <row r="18" spans="1:6" ht="15.75">
      <c r="A18" s="38"/>
      <c r="B18" s="39"/>
      <c r="C18" s="200"/>
      <c r="D18" s="194"/>
      <c r="E18" s="37"/>
      <c r="F18" s="37"/>
    </row>
    <row r="19" spans="1:6" ht="15.75">
      <c r="A19" s="41"/>
      <c r="B19" s="42"/>
      <c r="C19" s="200"/>
      <c r="D19" s="194"/>
      <c r="E19" s="37"/>
      <c r="F19" s="37"/>
    </row>
    <row r="20" spans="1:6" ht="15.75">
      <c r="A20" s="41" t="s">
        <v>21</v>
      </c>
      <c r="B20" s="42"/>
      <c r="C20" s="200"/>
      <c r="D20" s="194"/>
      <c r="E20" s="37"/>
      <c r="F20" s="37"/>
    </row>
    <row r="21" spans="1:6" ht="15.75">
      <c r="A21" s="43" t="s">
        <v>22</v>
      </c>
      <c r="B21" s="36"/>
      <c r="C21" s="199"/>
      <c r="D21" s="195">
        <f>SUM(D10:D20)</f>
        <v>7912</v>
      </c>
      <c r="E21" s="181">
        <f>SUM(E10:E20)</f>
        <v>9551</v>
      </c>
      <c r="F21" s="181">
        <f>SUM(F10:F20)</f>
        <v>992</v>
      </c>
    </row>
    <row r="22" spans="1:6" ht="15.75">
      <c r="A22" s="43" t="s">
        <v>23</v>
      </c>
      <c r="B22" s="36"/>
      <c r="C22" s="199"/>
      <c r="D22" s="195">
        <f>+D9+D21</f>
        <v>14344</v>
      </c>
      <c r="E22" s="181">
        <f>+E9+E21</f>
        <v>16197</v>
      </c>
      <c r="F22" s="181">
        <f>+F9+F21</f>
        <v>4641</v>
      </c>
    </row>
    <row r="23" spans="1:6" ht="15.75">
      <c r="A23" s="35" t="s">
        <v>24</v>
      </c>
      <c r="B23" s="36"/>
      <c r="C23" s="199"/>
      <c r="D23" s="103"/>
      <c r="E23" s="21"/>
      <c r="F23" s="21"/>
    </row>
    <row r="24" spans="1:6" ht="15.75">
      <c r="A24" s="41" t="s">
        <v>306</v>
      </c>
      <c r="B24" s="39"/>
      <c r="C24" s="200"/>
      <c r="D24" s="194">
        <v>6000</v>
      </c>
      <c r="E24" s="37">
        <v>6750</v>
      </c>
      <c r="F24" s="37">
        <v>7000</v>
      </c>
    </row>
    <row r="25" spans="1:6" ht="15.75">
      <c r="A25" s="41" t="s">
        <v>307</v>
      </c>
      <c r="B25" s="39"/>
      <c r="C25" s="200"/>
      <c r="D25" s="194">
        <v>437</v>
      </c>
      <c r="E25" s="37">
        <v>2348</v>
      </c>
      <c r="F25" s="37">
        <f>8358-5809</f>
        <v>2549</v>
      </c>
    </row>
    <row r="26" spans="1:6" ht="15.75">
      <c r="A26" s="41" t="s">
        <v>308</v>
      </c>
      <c r="B26" s="39"/>
      <c r="C26" s="200"/>
      <c r="D26" s="194">
        <v>311</v>
      </c>
      <c r="E26" s="37">
        <v>350</v>
      </c>
      <c r="F26" s="37">
        <v>350</v>
      </c>
    </row>
    <row r="27" spans="1:6" ht="15.75">
      <c r="A27" s="41" t="s">
        <v>309</v>
      </c>
      <c r="B27" s="39"/>
      <c r="C27" s="200"/>
      <c r="D27" s="194">
        <v>100</v>
      </c>
      <c r="E27" s="37">
        <v>100</v>
      </c>
      <c r="F27" s="37">
        <v>100</v>
      </c>
    </row>
    <row r="28" spans="1:6" ht="15.75">
      <c r="A28" s="38" t="s">
        <v>310</v>
      </c>
      <c r="B28" s="39"/>
      <c r="C28" s="200"/>
      <c r="D28" s="194">
        <v>303</v>
      </c>
      <c r="E28" s="37">
        <v>500</v>
      </c>
      <c r="F28" s="37">
        <v>500</v>
      </c>
    </row>
    <row r="29" spans="1:6" ht="15.75">
      <c r="A29" s="38" t="s">
        <v>311</v>
      </c>
      <c r="B29" s="39"/>
      <c r="C29" s="200"/>
      <c r="D29" s="194"/>
      <c r="E29" s="37"/>
      <c r="F29" s="37"/>
    </row>
    <row r="30" spans="1:6" ht="15.75">
      <c r="A30" s="38" t="s">
        <v>312</v>
      </c>
      <c r="B30" s="39"/>
      <c r="C30" s="200"/>
      <c r="D30" s="194">
        <v>397</v>
      </c>
      <c r="E30" s="37">
        <v>500</v>
      </c>
      <c r="F30" s="37">
        <v>500</v>
      </c>
    </row>
    <row r="31" spans="1:6" ht="15.75">
      <c r="A31" s="38" t="s">
        <v>313</v>
      </c>
      <c r="B31" s="39"/>
      <c r="C31" s="200"/>
      <c r="D31" s="194">
        <v>150</v>
      </c>
      <c r="E31" s="37">
        <v>2000</v>
      </c>
      <c r="F31" s="37">
        <v>2000</v>
      </c>
    </row>
    <row r="32" spans="1:6" ht="15.75">
      <c r="A32" s="38" t="s">
        <v>314</v>
      </c>
      <c r="B32" s="39"/>
      <c r="C32" s="200"/>
      <c r="D32" s="194"/>
      <c r="E32" s="37"/>
      <c r="F32" s="37"/>
    </row>
    <row r="33" spans="1:6" ht="15.75">
      <c r="A33" s="43" t="s">
        <v>25</v>
      </c>
      <c r="B33" s="36"/>
      <c r="C33" s="199"/>
      <c r="D33" s="195">
        <f>SUM(D24:D32)</f>
        <v>7698</v>
      </c>
      <c r="E33" s="181">
        <f>SUM(E24:E32)</f>
        <v>12548</v>
      </c>
      <c r="F33" s="181">
        <f>SUM(F24:F32)</f>
        <v>12999</v>
      </c>
    </row>
    <row r="34" spans="1:6" ht="15.75">
      <c r="A34" s="35" t="s">
        <v>26</v>
      </c>
      <c r="B34" s="36"/>
      <c r="C34" s="199"/>
      <c r="D34" s="188">
        <f>+D22-D33</f>
        <v>6646</v>
      </c>
      <c r="E34" s="182">
        <f>+E22-E33</f>
        <v>3649</v>
      </c>
      <c r="F34" s="20" t="s">
        <v>6</v>
      </c>
    </row>
    <row r="35" spans="1:7" ht="15.75">
      <c r="A35" s="1"/>
      <c r="B35" s="1"/>
      <c r="C35" s="1"/>
      <c r="D35" s="46"/>
      <c r="E35" s="47" t="s">
        <v>27</v>
      </c>
      <c r="F35" s="17"/>
      <c r="G35" s="192">
        <f>IF(F33/0.95-F33&lt;F35,"Exceeds 5%","")</f>
      </c>
    </row>
    <row r="36" spans="1:6" ht="15.75">
      <c r="A36" s="1"/>
      <c r="B36" s="26"/>
      <c r="C36" s="1"/>
      <c r="D36" s="46"/>
      <c r="E36" s="47" t="s">
        <v>28</v>
      </c>
      <c r="F36" s="162">
        <f>+F33+F35</f>
        <v>12999</v>
      </c>
    </row>
    <row r="37" spans="1:6" ht="15.75">
      <c r="A37" s="1"/>
      <c r="B37" s="1"/>
      <c r="C37" s="1"/>
      <c r="D37" s="1"/>
      <c r="E37" s="4" t="s">
        <v>29</v>
      </c>
      <c r="F37" s="191">
        <f>IF(F36-F22&gt;0,F36-F22,0)</f>
        <v>8358</v>
      </c>
    </row>
    <row r="38" spans="1:6" ht="15.75">
      <c r="A38" s="316" t="s">
        <v>166</v>
      </c>
      <c r="B38" s="317"/>
      <c r="C38" s="317"/>
      <c r="D38" s="317"/>
      <c r="E38" s="187"/>
      <c r="F38" s="191">
        <f>ROUND(IF($E$38&gt;0,($F$37*$E$38),0),0)</f>
        <v>0</v>
      </c>
    </row>
    <row r="39" spans="1:6" ht="15.75">
      <c r="A39" s="1"/>
      <c r="B39" s="1"/>
      <c r="C39" s="1"/>
      <c r="D39" s="1"/>
      <c r="E39" s="4" t="str">
        <f>CONCATENATE("Amount of ",$F$1-1," Ad Valorem Tax")</f>
        <v>Amount of 2013 Ad Valorem Tax</v>
      </c>
      <c r="F39" s="248">
        <f>SUM(F37:F38)</f>
        <v>8358</v>
      </c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28" t="s">
        <v>78</v>
      </c>
      <c r="C45" s="1"/>
      <c r="D45" s="12"/>
      <c r="E45" s="90"/>
      <c r="F45" s="91"/>
    </row>
    <row r="46" spans="1:6" ht="15.75">
      <c r="A46" s="27"/>
      <c r="B46" s="25" t="s">
        <v>19</v>
      </c>
      <c r="C46" s="1"/>
      <c r="D46" s="88"/>
      <c r="E46" s="92" t="str">
        <f>CONCATENATE("Allocation for Year ",$F$1,"")</f>
        <v>Allocation for Year 2014</v>
      </c>
      <c r="F46" s="89"/>
    </row>
    <row r="47" spans="1:6" ht="15.75">
      <c r="A47" s="51" t="s">
        <v>30</v>
      </c>
      <c r="B47" s="52"/>
      <c r="C47" s="160" t="s">
        <v>167</v>
      </c>
      <c r="D47" s="32" t="s">
        <v>79</v>
      </c>
      <c r="E47" s="32" t="s">
        <v>80</v>
      </c>
      <c r="F47" s="32" t="s">
        <v>81</v>
      </c>
    </row>
    <row r="48" spans="1:6" ht="15.75">
      <c r="A48" s="53" t="s">
        <v>31</v>
      </c>
      <c r="B48" s="104"/>
      <c r="C48" s="106" t="str">
        <f>CONCATENATE("for ",$F$1-1,"")</f>
        <v>for 2013</v>
      </c>
      <c r="D48" s="34" t="s">
        <v>32</v>
      </c>
      <c r="E48" s="34" t="s">
        <v>32</v>
      </c>
      <c r="F48" s="34" t="s">
        <v>32</v>
      </c>
    </row>
    <row r="49" spans="1:6" ht="15.75">
      <c r="A49" s="102" t="s">
        <v>33</v>
      </c>
      <c r="B49" s="108"/>
      <c r="C49" s="250">
        <f>inputVehicle!E$5</f>
        <v>8347</v>
      </c>
      <c r="D49" s="125">
        <f>IF(C49&gt;0,ROUND(+C49*D$57,0)," ")</f>
        <v>666</v>
      </c>
      <c r="E49" s="125">
        <f>IF(C49&gt;0,ROUND(+C49*E$58,0)," ")</f>
        <v>19</v>
      </c>
      <c r="F49" s="125">
        <f>IF(C49&gt;0,ROUND(+C49*F$59,0)," ")</f>
        <v>307</v>
      </c>
    </row>
    <row r="50" spans="1:6" ht="15.75">
      <c r="A50" s="54"/>
      <c r="B50" s="101"/>
      <c r="C50" s="107"/>
      <c r="D50" s="125" t="str">
        <f>IF(C50&gt;0,ROUND(+C50*D$57,0)," ")</f>
        <v> </v>
      </c>
      <c r="E50" s="125" t="str">
        <f>IF(C50&gt;0,ROUND(+D50*E$58,0)," ")</f>
        <v> </v>
      </c>
      <c r="F50" s="125" t="str">
        <f>IF(C50&gt;0,ROUND(+E50*F$59,0)," ")</f>
        <v> </v>
      </c>
    </row>
    <row r="51" spans="1:6" ht="15.75">
      <c r="A51" s="35" t="s">
        <v>34</v>
      </c>
      <c r="B51" s="44"/>
      <c r="C51" s="188">
        <f>SUM(C49:C50)</f>
        <v>8347</v>
      </c>
      <c r="D51" s="189">
        <f>SUM(D49:D50)</f>
        <v>666</v>
      </c>
      <c r="E51" s="189">
        <f>SUM(E49:E50)</f>
        <v>19</v>
      </c>
      <c r="F51" s="189">
        <f>SUM(F49:F50)</f>
        <v>307</v>
      </c>
    </row>
    <row r="52" spans="1:6" ht="15.75">
      <c r="A52" s="29"/>
      <c r="B52" s="29"/>
      <c r="C52" s="50"/>
      <c r="D52" s="123"/>
      <c r="E52" s="123"/>
      <c r="F52" s="123"/>
    </row>
    <row r="53" spans="1:6" ht="15.75">
      <c r="A53" s="29" t="s">
        <v>83</v>
      </c>
      <c r="B53" s="29"/>
      <c r="C53" s="50"/>
      <c r="D53" s="251">
        <f>inputVehicle!E$7</f>
        <v>666</v>
      </c>
      <c r="E53" s="123"/>
      <c r="F53" s="123"/>
    </row>
    <row r="54" spans="1:6" ht="15.75">
      <c r="A54" s="29" t="s">
        <v>84</v>
      </c>
      <c r="B54" s="29"/>
      <c r="C54" s="50"/>
      <c r="D54" s="123"/>
      <c r="E54" s="251">
        <f>inputVehicle!E$9</f>
        <v>19</v>
      </c>
      <c r="F54" s="123"/>
    </row>
    <row r="55" spans="1:6" ht="15.75">
      <c r="A55" s="29" t="s">
        <v>85</v>
      </c>
      <c r="B55" s="29"/>
      <c r="C55" s="50"/>
      <c r="D55" s="123"/>
      <c r="E55" s="123"/>
      <c r="F55" s="251">
        <f>inputVehicle!E$11</f>
        <v>307</v>
      </c>
    </row>
    <row r="56" spans="1:6" ht="15.75">
      <c r="A56" s="1"/>
      <c r="B56" s="1"/>
      <c r="C56" s="1"/>
      <c r="D56" s="92"/>
      <c r="E56" s="92"/>
      <c r="F56" s="92"/>
    </row>
    <row r="57" spans="1:6" ht="15.75">
      <c r="A57" s="1"/>
      <c r="B57" s="1"/>
      <c r="C57" s="1" t="s">
        <v>35</v>
      </c>
      <c r="D57" s="124">
        <f>IF(C51=0,0,D53/C51)</f>
        <v>0.07978914580088654</v>
      </c>
      <c r="E57" s="92"/>
      <c r="F57" s="92"/>
    </row>
    <row r="58" spans="1:6" ht="15.75">
      <c r="A58" s="1"/>
      <c r="B58" s="1"/>
      <c r="C58" s="1"/>
      <c r="D58" s="92" t="s">
        <v>36</v>
      </c>
      <c r="E58" s="124">
        <f>IF(C51=0,0,E54/C51)</f>
        <v>0.002276266922247514</v>
      </c>
      <c r="F58" s="92"/>
    </row>
    <row r="59" spans="1:6" ht="15.75">
      <c r="A59" s="1"/>
      <c r="B59" s="1"/>
      <c r="C59" s="1"/>
      <c r="D59" s="92"/>
      <c r="E59" s="92" t="s">
        <v>82</v>
      </c>
      <c r="F59" s="124">
        <f>IF(C51=0,0,F55/C51)</f>
        <v>0.03677968132263088</v>
      </c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26" t="s">
        <v>37</v>
      </c>
      <c r="C67" s="56"/>
      <c r="D67" s="1"/>
      <c r="E67" s="1"/>
      <c r="F67" s="1"/>
    </row>
  </sheetData>
  <sheetProtection/>
  <mergeCells count="1">
    <mergeCell ref="A38:D38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 t="e">
        <f>cert2!#REF!</f>
        <v>#REF!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inputVehicle!AE$5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inputVehicle!AE$7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inputVehicle!AE$9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inputVehicle!AE$11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e">
        <f>Sheet27!C3</f>
        <v>#REF!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inputComp!$AE$5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inputComp!$AE$7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inputComp!$AE$9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inputComp!$AE$11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inputComp!$AE$13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inputComp!$AE$15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inputComp!$AE$17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inputComp!$AE$19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>
        <f>cert2!A27</f>
        <v>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inputVehicle!AF$5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88">
        <f>SUM(C51:C52)</f>
        <v>0</v>
      </c>
      <c r="D53" s="189">
        <f>SUM(D51:D52)</f>
        <v>0</v>
      </c>
      <c r="E53" s="189">
        <f>SUM(E51:E52)</f>
        <v>0</v>
      </c>
      <c r="F53" s="189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inputVehicle!AF$7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inputVehicle!AF$9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inputVehicle!AF$11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>
        <f>Sheet28!C3</f>
        <v>0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inputComp!$AF$5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inputComp!$AF$7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inputComp!$AF$9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inputComp!$AF$11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inputComp!$AF$13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inputComp!$AF$15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inputComp!$AF$17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inputComp!$AF$19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110">
        <f>cert2!A28</f>
        <v>0</v>
      </c>
      <c r="D3" s="11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/>
      <c r="E9" s="21">
        <f>+D36</f>
        <v>0</v>
      </c>
      <c r="F9" s="21">
        <f>+E36</f>
        <v>0</v>
      </c>
    </row>
    <row r="10" spans="1:6" ht="15.75">
      <c r="A10" s="197" t="s">
        <v>14</v>
      </c>
      <c r="B10" s="198"/>
      <c r="C10" s="199"/>
      <c r="D10" s="194"/>
      <c r="E10" s="37"/>
      <c r="F10" s="20" t="s">
        <v>6</v>
      </c>
    </row>
    <row r="11" spans="1:6" ht="15.75">
      <c r="A11" s="35" t="s">
        <v>15</v>
      </c>
      <c r="B11" s="36"/>
      <c r="C11" s="199"/>
      <c r="D11" s="194"/>
      <c r="E11" s="37"/>
      <c r="F11" s="37"/>
    </row>
    <row r="12" spans="1:6" ht="15.75">
      <c r="A12" s="35" t="s">
        <v>16</v>
      </c>
      <c r="B12" s="36"/>
      <c r="C12" s="199"/>
      <c r="D12" s="194"/>
      <c r="E12" s="37"/>
      <c r="F12" s="21" t="str">
        <f>D51</f>
        <v> </v>
      </c>
    </row>
    <row r="13" spans="1:6" ht="15.75">
      <c r="A13" s="35" t="s">
        <v>17</v>
      </c>
      <c r="B13" s="36"/>
      <c r="C13" s="199"/>
      <c r="D13" s="194"/>
      <c r="E13" s="37"/>
      <c r="F13" s="21" t="str">
        <f>E51</f>
        <v> </v>
      </c>
    </row>
    <row r="14" spans="1:6" ht="15.75">
      <c r="A14" s="35" t="s">
        <v>86</v>
      </c>
      <c r="B14" s="36"/>
      <c r="C14" s="199"/>
      <c r="D14" s="194"/>
      <c r="E14" s="37"/>
      <c r="F14" s="21" t="str">
        <f>F51</f>
        <v> 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6"/>
    </row>
    <row r="16" spans="1:6" ht="15.75">
      <c r="A16" s="35"/>
      <c r="B16" s="36"/>
      <c r="C16" s="199"/>
      <c r="D16" s="194"/>
      <c r="E16" s="37"/>
      <c r="F16" s="16"/>
    </row>
    <row r="17" spans="1:6" ht="15.75">
      <c r="A17" s="38" t="s">
        <v>20</v>
      </c>
      <c r="B17" s="39"/>
      <c r="C17" s="200"/>
      <c r="D17" s="194"/>
      <c r="E17" s="37" t="s">
        <v>19</v>
      </c>
      <c r="F17" s="37" t="s">
        <v>19</v>
      </c>
    </row>
    <row r="18" spans="1:6" ht="15.75">
      <c r="A18" s="40"/>
      <c r="B18" s="39"/>
      <c r="C18" s="200"/>
      <c r="D18" s="194"/>
      <c r="E18" s="37"/>
      <c r="F18" s="37"/>
    </row>
    <row r="19" spans="1:6" ht="15.75">
      <c r="A19" s="40"/>
      <c r="B19" s="39"/>
      <c r="C19" s="200"/>
      <c r="D19" s="194"/>
      <c r="E19" s="37"/>
      <c r="F19" s="37"/>
    </row>
    <row r="20" spans="1:6" ht="15.75">
      <c r="A20" s="38"/>
      <c r="B20" s="39"/>
      <c r="C20" s="200"/>
      <c r="D20" s="194"/>
      <c r="E20" s="37"/>
      <c r="F20" s="37"/>
    </row>
    <row r="21" spans="1:6" ht="15.75">
      <c r="A21" s="41"/>
      <c r="B21" s="42"/>
      <c r="C21" s="200"/>
      <c r="D21" s="194"/>
      <c r="E21" s="37"/>
      <c r="F21" s="37"/>
    </row>
    <row r="22" spans="1:6" ht="15.75">
      <c r="A22" s="41" t="s">
        <v>21</v>
      </c>
      <c r="B22" s="42"/>
      <c r="C22" s="200"/>
      <c r="D22" s="194"/>
      <c r="E22" s="37"/>
      <c r="F22" s="37"/>
    </row>
    <row r="23" spans="1:6" ht="15.75">
      <c r="A23" s="43" t="s">
        <v>22</v>
      </c>
      <c r="B23" s="36"/>
      <c r="C23" s="199"/>
      <c r="D23" s="195">
        <f>SUM(D10:D22)</f>
        <v>0</v>
      </c>
      <c r="E23" s="181">
        <f>SUM(E10:E22)</f>
        <v>0</v>
      </c>
      <c r="F23" s="181">
        <f>SUM(F10:F22)</f>
        <v>0</v>
      </c>
    </row>
    <row r="24" spans="1:6" ht="15.75">
      <c r="A24" s="43" t="s">
        <v>23</v>
      </c>
      <c r="B24" s="36"/>
      <c r="C24" s="199"/>
      <c r="D24" s="195">
        <f>+D9+D23</f>
        <v>0</v>
      </c>
      <c r="E24" s="181">
        <f>+E9+E23</f>
        <v>0</v>
      </c>
      <c r="F24" s="181">
        <f>+F9+F23</f>
        <v>0</v>
      </c>
    </row>
    <row r="25" spans="1:6" ht="15.75">
      <c r="A25" s="35" t="s">
        <v>24</v>
      </c>
      <c r="B25" s="36"/>
      <c r="C25" s="199"/>
      <c r="D25" s="103"/>
      <c r="E25" s="21"/>
      <c r="F25" s="21"/>
    </row>
    <row r="26" spans="1:6" ht="15.75">
      <c r="A26" s="41"/>
      <c r="B26" s="39"/>
      <c r="C26" s="200"/>
      <c r="D26" s="194"/>
      <c r="E26" s="37"/>
      <c r="F26" s="37"/>
    </row>
    <row r="27" spans="1:6" ht="15.75">
      <c r="A27" s="41"/>
      <c r="B27" s="39"/>
      <c r="C27" s="200"/>
      <c r="D27" s="194"/>
      <c r="E27" s="37"/>
      <c r="F27" s="37"/>
    </row>
    <row r="28" spans="1:6" ht="15.75">
      <c r="A28" s="41"/>
      <c r="B28" s="39"/>
      <c r="C28" s="200"/>
      <c r="D28" s="194"/>
      <c r="E28" s="37"/>
      <c r="F28" s="37"/>
    </row>
    <row r="29" spans="1:6" ht="15.75">
      <c r="A29" s="41"/>
      <c r="B29" s="39"/>
      <c r="C29" s="200"/>
      <c r="D29" s="194"/>
      <c r="E29" s="37"/>
      <c r="F29" s="37"/>
    </row>
    <row r="30" spans="1:6" ht="15.75">
      <c r="A30" s="38"/>
      <c r="B30" s="39"/>
      <c r="C30" s="200"/>
      <c r="D30" s="194"/>
      <c r="E30" s="37"/>
      <c r="F30" s="37"/>
    </row>
    <row r="31" spans="1:6" ht="15.75">
      <c r="A31" s="38"/>
      <c r="B31" s="39"/>
      <c r="C31" s="200"/>
      <c r="D31" s="194"/>
      <c r="E31" s="37"/>
      <c r="F31" s="37"/>
    </row>
    <row r="32" spans="1:6" ht="15.75">
      <c r="A32" s="38"/>
      <c r="B32" s="39"/>
      <c r="C32" s="200"/>
      <c r="D32" s="194"/>
      <c r="E32" s="37"/>
      <c r="F32" s="37"/>
    </row>
    <row r="33" spans="1:6" ht="15.75">
      <c r="A33" s="38"/>
      <c r="B33" s="39"/>
      <c r="C33" s="200"/>
      <c r="D33" s="194"/>
      <c r="E33" s="37"/>
      <c r="F33" s="37"/>
    </row>
    <row r="34" spans="1:6" ht="15.75">
      <c r="A34" s="38"/>
      <c r="B34" s="39"/>
      <c r="C34" s="200"/>
      <c r="D34" s="194"/>
      <c r="E34" s="37"/>
      <c r="F34" s="37"/>
    </row>
    <row r="35" spans="1:6" ht="15.75">
      <c r="A35" s="43" t="s">
        <v>25</v>
      </c>
      <c r="B35" s="36"/>
      <c r="C35" s="199"/>
      <c r="D35" s="195">
        <f>SUM(D26:D34)</f>
        <v>0</v>
      </c>
      <c r="E35" s="181">
        <f>SUM(E26:E34)</f>
        <v>0</v>
      </c>
      <c r="F35" s="181">
        <f>SUM(F26:F34)</f>
        <v>0</v>
      </c>
    </row>
    <row r="36" spans="1:6" ht="15.75">
      <c r="A36" s="35" t="s">
        <v>26</v>
      </c>
      <c r="B36" s="44"/>
      <c r="C36" s="203"/>
      <c r="D36" s="182">
        <f>+D24-D35</f>
        <v>0</v>
      </c>
      <c r="E36" s="182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2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2">
        <f>IF(F38-F24&gt;0,F38-F24,0)</f>
        <v>0</v>
      </c>
    </row>
    <row r="40" spans="1:6" ht="15.75">
      <c r="A40" s="316" t="s">
        <v>166</v>
      </c>
      <c r="B40" s="317"/>
      <c r="C40" s="317"/>
      <c r="D40" s="317"/>
      <c r="E40" s="187"/>
      <c r="F40" s="182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2013 Ad Valorem Tax</v>
      </c>
      <c r="F41" s="182">
        <f>SUM(F39:F40)</f>
        <v>0</v>
      </c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1"/>
      <c r="C44" s="1"/>
      <c r="D44" s="1"/>
      <c r="E44" s="4"/>
      <c r="F44" s="50"/>
    </row>
    <row r="45" spans="1:6" ht="15.75">
      <c r="A45" s="1"/>
      <c r="B45" s="1"/>
      <c r="C45" s="1"/>
      <c r="D45" s="1"/>
      <c r="E45" s="4"/>
      <c r="F45" s="50"/>
    </row>
    <row r="46" spans="1:6" ht="15.75">
      <c r="A46" s="1"/>
      <c r="B46" s="1"/>
      <c r="C46" s="1"/>
      <c r="D46" s="1"/>
      <c r="E46" s="4"/>
      <c r="F46" s="50"/>
    </row>
    <row r="47" spans="1:6" ht="15.75">
      <c r="A47" s="1"/>
      <c r="B47" s="28" t="s">
        <v>78</v>
      </c>
      <c r="C47" s="1"/>
      <c r="D47" s="12"/>
      <c r="E47" s="90"/>
      <c r="F47" s="91"/>
    </row>
    <row r="48" spans="1:6" ht="15.75">
      <c r="A48" s="27"/>
      <c r="B48" s="25" t="s">
        <v>19</v>
      </c>
      <c r="C48" s="1"/>
      <c r="D48" s="88"/>
      <c r="E48" s="92" t="str">
        <f>CONCATENATE("Allocation for Year ",$F$1,"")</f>
        <v>Allocation for Year 2014</v>
      </c>
      <c r="F48" s="89"/>
    </row>
    <row r="49" spans="1:6" ht="15.75">
      <c r="A49" s="51" t="s">
        <v>30</v>
      </c>
      <c r="B49" s="52"/>
      <c r="C49" s="160" t="s">
        <v>167</v>
      </c>
      <c r="D49" s="32" t="s">
        <v>79</v>
      </c>
      <c r="E49" s="32" t="s">
        <v>80</v>
      </c>
      <c r="F49" s="32" t="s">
        <v>81</v>
      </c>
    </row>
    <row r="50" spans="1:6" ht="15.75">
      <c r="A50" s="53" t="s">
        <v>31</v>
      </c>
      <c r="B50" s="104"/>
      <c r="C50" s="106" t="str">
        <f>CONCATENATE("for ",$F$1-1,"")</f>
        <v>for 2013</v>
      </c>
      <c r="D50" s="34" t="s">
        <v>32</v>
      </c>
      <c r="E50" s="34" t="s">
        <v>32</v>
      </c>
      <c r="F50" s="34" t="s">
        <v>32</v>
      </c>
    </row>
    <row r="51" spans="1:6" ht="15.75">
      <c r="A51" s="102" t="s">
        <v>33</v>
      </c>
      <c r="B51" s="108"/>
      <c r="C51" s="250">
        <f>inputVehicle!AG$5</f>
        <v>0</v>
      </c>
      <c r="D51" s="125" t="str">
        <f>IF(C51&gt;0,ROUND(+C51*D$59,0)," ")</f>
        <v> </v>
      </c>
      <c r="E51" s="125" t="str">
        <f>IF(C51&gt;0,ROUND(+C51*E$60,0)," ")</f>
        <v> </v>
      </c>
      <c r="F51" s="125" t="str">
        <f>IF(C51&gt;0,ROUND(+C51*F$61,0)," ")</f>
        <v> </v>
      </c>
    </row>
    <row r="52" spans="1:6" ht="15.75">
      <c r="A52" s="54"/>
      <c r="B52" s="101"/>
      <c r="C52" s="107"/>
      <c r="D52" s="125" t="str">
        <f>IF(C52&gt;0,ROUND(+C52*D$59,0)," ")</f>
        <v> </v>
      </c>
      <c r="E52" s="125" t="str">
        <f>IF(C52&gt;0,ROUND(+D52*E$60,0)," ")</f>
        <v> </v>
      </c>
      <c r="F52" s="125" t="str">
        <f>IF(C52&gt;0,ROUND(+E52*F$61,0)," ")</f>
        <v> </v>
      </c>
    </row>
    <row r="53" spans="1:6" ht="15.75">
      <c r="A53" s="35" t="s">
        <v>34</v>
      </c>
      <c r="B53" s="44"/>
      <c r="C53" s="103">
        <f>SUM(C51:C52)</f>
        <v>0</v>
      </c>
      <c r="D53" s="122">
        <f>SUM(D51:D52)</f>
        <v>0</v>
      </c>
      <c r="E53" s="122">
        <f>SUM(E51:E52)</f>
        <v>0</v>
      </c>
      <c r="F53" s="122">
        <f>SUM(F51:F52)</f>
        <v>0</v>
      </c>
    </row>
    <row r="54" spans="1:6" ht="15.75">
      <c r="A54" s="29"/>
      <c r="B54" s="29"/>
      <c r="C54" s="50"/>
      <c r="D54" s="123"/>
      <c r="E54" s="123"/>
      <c r="F54" s="123"/>
    </row>
    <row r="55" spans="1:6" ht="15.75">
      <c r="A55" s="29" t="s">
        <v>83</v>
      </c>
      <c r="B55" s="29"/>
      <c r="C55" s="50"/>
      <c r="D55" s="251">
        <f>inputVehicle!AG$7</f>
        <v>0</v>
      </c>
      <c r="E55" s="123"/>
      <c r="F55" s="123"/>
    </row>
    <row r="56" spans="1:6" ht="15.75">
      <c r="A56" s="29" t="s">
        <v>84</v>
      </c>
      <c r="B56" s="29"/>
      <c r="C56" s="50"/>
      <c r="D56" s="123"/>
      <c r="E56" s="251">
        <f>inputVehicle!AG$9</f>
        <v>0</v>
      </c>
      <c r="F56" s="123"/>
    </row>
    <row r="57" spans="1:6" ht="15.75">
      <c r="A57" s="29" t="s">
        <v>85</v>
      </c>
      <c r="B57" s="29"/>
      <c r="C57" s="50"/>
      <c r="D57" s="123"/>
      <c r="E57" s="123"/>
      <c r="F57" s="251">
        <f>inputVehicle!AG$11</f>
        <v>0</v>
      </c>
    </row>
    <row r="58" spans="1:6" ht="15.75">
      <c r="A58" s="1"/>
      <c r="B58" s="1"/>
      <c r="C58" s="1"/>
      <c r="D58" s="92"/>
      <c r="E58" s="92"/>
      <c r="F58" s="92"/>
    </row>
    <row r="59" spans="1:6" ht="15.75">
      <c r="A59" s="1"/>
      <c r="B59" s="1"/>
      <c r="C59" s="1" t="s">
        <v>35</v>
      </c>
      <c r="D59" s="124">
        <f>IF(C53=0,0,D55/C53)</f>
        <v>0</v>
      </c>
      <c r="E59" s="92"/>
      <c r="F59" s="92"/>
    </row>
    <row r="60" spans="1:6" ht="15.75">
      <c r="A60" s="1"/>
      <c r="B60" s="1"/>
      <c r="C60" s="1"/>
      <c r="D60" s="92" t="s">
        <v>36</v>
      </c>
      <c r="E60" s="124">
        <f>IF(C53=0,0,E56/C53)</f>
        <v>0</v>
      </c>
      <c r="F60" s="92"/>
    </row>
    <row r="61" spans="1:6" ht="15.75">
      <c r="A61" s="1"/>
      <c r="B61" s="1"/>
      <c r="C61" s="1"/>
      <c r="D61" s="92"/>
      <c r="E61" s="92" t="s">
        <v>82</v>
      </c>
      <c r="F61" s="124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6"/>
      <c r="D69" s="1"/>
      <c r="E69" s="1"/>
      <c r="F69" s="1"/>
    </row>
  </sheetData>
  <sheetProtection sheet="1" objects="1" scenarios="1"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>
        <f>Sheet29!C3</f>
        <v>0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inputComp!$AG$5</f>
        <v>0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2">
        <f>inputComp!$AG$7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0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inputComp!$AG$9</f>
        <v>0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inputComp!$AG$11</f>
        <v>0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2">
        <f>inputComp!$AG$13</f>
        <v>0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2">
        <f>inputComp!$AG$15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0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inputComp!$AG$17</f>
        <v>0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0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2">
        <f>inputComp!$AG$19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1" t="str">
        <f>input!$F$5</f>
        <v>Chautauqua County</v>
      </c>
      <c r="B1" s="1"/>
      <c r="C1" s="1"/>
      <c r="D1" s="1"/>
      <c r="E1" s="1"/>
      <c r="F1" s="1"/>
      <c r="G1" s="1"/>
      <c r="H1" s="4"/>
      <c r="I1" s="1">
        <f>input!$F$8</f>
        <v>2014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79" t="s">
        <v>70</v>
      </c>
      <c r="B3" s="7"/>
      <c r="C3" s="7"/>
      <c r="D3" s="7"/>
      <c r="E3" s="7"/>
      <c r="F3" s="7"/>
      <c r="G3" s="7"/>
      <c r="H3" s="80"/>
      <c r="I3" s="7"/>
      <c r="J3" s="1"/>
    </row>
    <row r="4" spans="1:10" ht="15.75">
      <c r="A4" s="1"/>
      <c r="B4" s="81"/>
      <c r="C4" s="81"/>
      <c r="D4" s="81"/>
      <c r="E4" s="81"/>
      <c r="F4" s="81"/>
      <c r="G4" s="81"/>
      <c r="H4" s="81"/>
      <c r="I4" s="1"/>
      <c r="J4" s="1"/>
    </row>
    <row r="5" spans="1:10" ht="15.75">
      <c r="A5" s="1"/>
      <c r="B5" s="82" t="str">
        <f>CONCATENATE("Prior Year Actual ",I1-2,"")</f>
        <v>Prior Year Actual 2012</v>
      </c>
      <c r="C5" s="8"/>
      <c r="D5" s="83" t="str">
        <f>CONCATENATE("Current Year Estimate ",I1-1,"")</f>
        <v>Current Year Estimate 2013</v>
      </c>
      <c r="E5" s="8"/>
      <c r="F5" s="302" t="str">
        <f>CONCATENATE("Proposed Year ",I1,"")</f>
        <v>Proposed Year 2014</v>
      </c>
      <c r="G5" s="326"/>
      <c r="H5" s="326"/>
      <c r="I5" s="303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331" t="str">
        <f>CONCATENATE("Amount of ",I1-1," Ad Valorem Tax")</f>
        <v>Amount of 2013 Ad Valorem Tax</v>
      </c>
      <c r="H6" s="99" t="s">
        <v>72</v>
      </c>
      <c r="I6" s="32" t="s">
        <v>94</v>
      </c>
      <c r="J6" s="1"/>
    </row>
    <row r="7" spans="1:10" ht="15.75">
      <c r="A7" s="84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332"/>
      <c r="H7" s="34" t="s">
        <v>74</v>
      </c>
      <c r="I7" s="34" t="s">
        <v>95</v>
      </c>
      <c r="J7" s="1"/>
    </row>
    <row r="8" spans="1:10" ht="15.75">
      <c r="A8" s="17"/>
      <c r="B8" s="17"/>
      <c r="C8" s="100"/>
      <c r="D8" s="17"/>
      <c r="E8" s="100"/>
      <c r="F8" s="17"/>
      <c r="G8" s="17"/>
      <c r="H8" s="161" t="str">
        <f>IF(G8&gt;0,ROUND(G8/I8*1000,3)," ")</f>
        <v> </v>
      </c>
      <c r="I8" s="178"/>
      <c r="J8" s="72"/>
    </row>
    <row r="9" spans="1:10" ht="15.75">
      <c r="A9" s="17"/>
      <c r="B9" s="17"/>
      <c r="C9" s="100"/>
      <c r="D9" s="17"/>
      <c r="E9" s="100"/>
      <c r="F9" s="17"/>
      <c r="G9" s="17"/>
      <c r="H9" s="161" t="str">
        <f aca="true" t="shared" si="0" ref="H9:H37">IF(G9&gt;0,ROUND(G9/I9*1000,3)," ")</f>
        <v> </v>
      </c>
      <c r="I9" s="18"/>
      <c r="J9" s="72"/>
    </row>
    <row r="10" spans="1:10" ht="15.75">
      <c r="A10" s="17"/>
      <c r="B10" s="17"/>
      <c r="C10" s="100"/>
      <c r="D10" s="17"/>
      <c r="E10" s="100"/>
      <c r="F10" s="17"/>
      <c r="G10" s="17"/>
      <c r="H10" s="161" t="str">
        <f t="shared" si="0"/>
        <v> </v>
      </c>
      <c r="I10" s="18"/>
      <c r="J10" s="72"/>
    </row>
    <row r="11" spans="1:10" ht="15.75">
      <c r="A11" s="17"/>
      <c r="B11" s="17"/>
      <c r="C11" s="100"/>
      <c r="D11" s="17"/>
      <c r="E11" s="100"/>
      <c r="F11" s="17"/>
      <c r="G11" s="17"/>
      <c r="H11" s="161" t="str">
        <f t="shared" si="0"/>
        <v> </v>
      </c>
      <c r="I11" s="18"/>
      <c r="J11" s="72"/>
    </row>
    <row r="12" spans="1:10" ht="15.75">
      <c r="A12" s="17"/>
      <c r="B12" s="17"/>
      <c r="C12" s="100"/>
      <c r="D12" s="17"/>
      <c r="E12" s="100"/>
      <c r="F12" s="17"/>
      <c r="G12" s="17"/>
      <c r="H12" s="161" t="str">
        <f t="shared" si="0"/>
        <v> </v>
      </c>
      <c r="I12" s="18"/>
      <c r="J12" s="72"/>
    </row>
    <row r="13" spans="1:10" ht="15.75">
      <c r="A13" s="17"/>
      <c r="B13" s="17"/>
      <c r="C13" s="100"/>
      <c r="D13" s="17"/>
      <c r="E13" s="100"/>
      <c r="F13" s="17"/>
      <c r="G13" s="17"/>
      <c r="H13" s="161" t="str">
        <f t="shared" si="0"/>
        <v> </v>
      </c>
      <c r="I13" s="18"/>
      <c r="J13" s="72"/>
    </row>
    <row r="14" spans="1:10" ht="15.75">
      <c r="A14" s="17"/>
      <c r="B14" s="17"/>
      <c r="C14" s="100"/>
      <c r="D14" s="17"/>
      <c r="E14" s="100"/>
      <c r="F14" s="17"/>
      <c r="G14" s="17"/>
      <c r="H14" s="161" t="str">
        <f t="shared" si="0"/>
        <v> </v>
      </c>
      <c r="I14" s="18"/>
      <c r="J14" s="72"/>
    </row>
    <row r="15" spans="1:10" ht="15.75">
      <c r="A15" s="17"/>
      <c r="B15" s="17"/>
      <c r="C15" s="100"/>
      <c r="D15" s="17"/>
      <c r="E15" s="100"/>
      <c r="F15" s="17"/>
      <c r="G15" s="17"/>
      <c r="H15" s="161" t="str">
        <f t="shared" si="0"/>
        <v> </v>
      </c>
      <c r="I15" s="18"/>
      <c r="J15" s="72"/>
    </row>
    <row r="16" spans="1:10" ht="15.75">
      <c r="A16" s="17"/>
      <c r="B16" s="17"/>
      <c r="C16" s="100"/>
      <c r="D16" s="17"/>
      <c r="E16" s="100"/>
      <c r="F16" s="17"/>
      <c r="G16" s="17"/>
      <c r="H16" s="161" t="str">
        <f t="shared" si="0"/>
        <v> </v>
      </c>
      <c r="I16" s="18"/>
      <c r="J16" s="72"/>
    </row>
    <row r="17" spans="1:10" ht="15.75">
      <c r="A17" s="17"/>
      <c r="B17" s="17"/>
      <c r="C17" s="100"/>
      <c r="D17" s="17"/>
      <c r="E17" s="100"/>
      <c r="F17" s="17"/>
      <c r="G17" s="17"/>
      <c r="H17" s="161" t="str">
        <f t="shared" si="0"/>
        <v> </v>
      </c>
      <c r="I17" s="18"/>
      <c r="J17" s="72"/>
    </row>
    <row r="18" spans="1:10" ht="15.75">
      <c r="A18" s="17"/>
      <c r="B18" s="17"/>
      <c r="C18" s="100"/>
      <c r="D18" s="17"/>
      <c r="E18" s="100"/>
      <c r="F18" s="17"/>
      <c r="G18" s="17"/>
      <c r="H18" s="161" t="str">
        <f t="shared" si="0"/>
        <v> </v>
      </c>
      <c r="I18" s="18"/>
      <c r="J18" s="72"/>
    </row>
    <row r="19" spans="1:10" ht="15.75">
      <c r="A19" s="17"/>
      <c r="B19" s="17"/>
      <c r="C19" s="100"/>
      <c r="D19" s="17"/>
      <c r="E19" s="100"/>
      <c r="F19" s="17"/>
      <c r="G19" s="17"/>
      <c r="H19" s="161" t="str">
        <f t="shared" si="0"/>
        <v> </v>
      </c>
      <c r="I19" s="18"/>
      <c r="J19" s="72"/>
    </row>
    <row r="20" spans="1:10" ht="15.75">
      <c r="A20" s="17"/>
      <c r="B20" s="17"/>
      <c r="C20" s="100"/>
      <c r="D20" s="17"/>
      <c r="E20" s="100"/>
      <c r="F20" s="17"/>
      <c r="G20" s="17"/>
      <c r="H20" s="161" t="str">
        <f t="shared" si="0"/>
        <v> </v>
      </c>
      <c r="I20" s="18"/>
      <c r="J20" s="72"/>
    </row>
    <row r="21" spans="1:10" ht="15.75">
      <c r="A21" s="17"/>
      <c r="B21" s="17"/>
      <c r="C21" s="100"/>
      <c r="D21" s="17"/>
      <c r="E21" s="100"/>
      <c r="F21" s="17"/>
      <c r="G21" s="17"/>
      <c r="H21" s="161" t="str">
        <f t="shared" si="0"/>
        <v> </v>
      </c>
      <c r="I21" s="18"/>
      <c r="J21" s="72"/>
    </row>
    <row r="22" spans="1:10" ht="15.75">
      <c r="A22" s="17"/>
      <c r="B22" s="17"/>
      <c r="C22" s="100"/>
      <c r="D22" s="17"/>
      <c r="E22" s="100"/>
      <c r="F22" s="17"/>
      <c r="G22" s="17"/>
      <c r="H22" s="161" t="str">
        <f t="shared" si="0"/>
        <v> </v>
      </c>
      <c r="I22" s="18"/>
      <c r="J22" s="72"/>
    </row>
    <row r="23" spans="1:10" ht="15.75">
      <c r="A23" s="17"/>
      <c r="B23" s="17"/>
      <c r="C23" s="100"/>
      <c r="D23" s="17"/>
      <c r="E23" s="100"/>
      <c r="F23" s="17"/>
      <c r="G23" s="17"/>
      <c r="H23" s="161" t="str">
        <f t="shared" si="0"/>
        <v> </v>
      </c>
      <c r="I23" s="18"/>
      <c r="J23" s="72"/>
    </row>
    <row r="24" spans="1:10" ht="15.75">
      <c r="A24" s="17"/>
      <c r="B24" s="17"/>
      <c r="C24" s="100"/>
      <c r="D24" s="17"/>
      <c r="E24" s="100"/>
      <c r="F24" s="17"/>
      <c r="G24" s="17"/>
      <c r="H24" s="161" t="str">
        <f t="shared" si="0"/>
        <v> </v>
      </c>
      <c r="I24" s="18"/>
      <c r="J24" s="72"/>
    </row>
    <row r="25" spans="1:10" ht="15.75">
      <c r="A25" s="17"/>
      <c r="B25" s="17"/>
      <c r="C25" s="100"/>
      <c r="D25" s="17"/>
      <c r="E25" s="100"/>
      <c r="F25" s="17"/>
      <c r="G25" s="17"/>
      <c r="H25" s="161" t="str">
        <f t="shared" si="0"/>
        <v> </v>
      </c>
      <c r="I25" s="18"/>
      <c r="J25" s="72"/>
    </row>
    <row r="26" spans="1:10" ht="15.75">
      <c r="A26" s="17"/>
      <c r="B26" s="17"/>
      <c r="C26" s="100"/>
      <c r="D26" s="17"/>
      <c r="E26" s="100"/>
      <c r="F26" s="17"/>
      <c r="G26" s="17"/>
      <c r="H26" s="161" t="str">
        <f t="shared" si="0"/>
        <v> </v>
      </c>
      <c r="I26" s="18"/>
      <c r="J26" s="72"/>
    </row>
    <row r="27" spans="1:10" ht="15.75">
      <c r="A27" s="17"/>
      <c r="B27" s="17"/>
      <c r="C27" s="100"/>
      <c r="D27" s="17"/>
      <c r="E27" s="100"/>
      <c r="F27" s="17"/>
      <c r="G27" s="17"/>
      <c r="H27" s="161" t="str">
        <f t="shared" si="0"/>
        <v> </v>
      </c>
      <c r="I27" s="18"/>
      <c r="J27" s="72"/>
    </row>
    <row r="28" spans="1:10" ht="15.75">
      <c r="A28" s="17"/>
      <c r="B28" s="17"/>
      <c r="C28" s="100"/>
      <c r="D28" s="17"/>
      <c r="E28" s="100"/>
      <c r="F28" s="17"/>
      <c r="G28" s="17"/>
      <c r="H28" s="161" t="str">
        <f t="shared" si="0"/>
        <v> </v>
      </c>
      <c r="I28" s="18"/>
      <c r="J28" s="72"/>
    </row>
    <row r="29" spans="1:10" ht="15.75">
      <c r="A29" s="17"/>
      <c r="B29" s="17"/>
      <c r="C29" s="100"/>
      <c r="D29" s="17"/>
      <c r="E29" s="100"/>
      <c r="F29" s="17"/>
      <c r="G29" s="17"/>
      <c r="H29" s="161" t="str">
        <f t="shared" si="0"/>
        <v> </v>
      </c>
      <c r="I29" s="18"/>
      <c r="J29" s="72"/>
    </row>
    <row r="30" spans="1:10" ht="15.75">
      <c r="A30" s="17"/>
      <c r="B30" s="17"/>
      <c r="C30" s="100"/>
      <c r="D30" s="17"/>
      <c r="E30" s="100"/>
      <c r="F30" s="17"/>
      <c r="G30" s="17"/>
      <c r="H30" s="161" t="str">
        <f t="shared" si="0"/>
        <v> </v>
      </c>
      <c r="I30" s="18"/>
      <c r="J30" s="72"/>
    </row>
    <row r="31" spans="1:10" ht="15.75">
      <c r="A31" s="17"/>
      <c r="B31" s="17"/>
      <c r="C31" s="100"/>
      <c r="D31" s="17"/>
      <c r="E31" s="100"/>
      <c r="F31" s="17"/>
      <c r="G31" s="17"/>
      <c r="H31" s="161" t="str">
        <f t="shared" si="0"/>
        <v> </v>
      </c>
      <c r="I31" s="18"/>
      <c r="J31" s="72"/>
    </row>
    <row r="32" spans="1:10" ht="15.75">
      <c r="A32" s="17"/>
      <c r="B32" s="17"/>
      <c r="C32" s="100"/>
      <c r="D32" s="17"/>
      <c r="E32" s="100"/>
      <c r="F32" s="17"/>
      <c r="G32" s="17"/>
      <c r="H32" s="161" t="str">
        <f t="shared" si="0"/>
        <v> </v>
      </c>
      <c r="I32" s="18"/>
      <c r="J32" s="72"/>
    </row>
    <row r="33" spans="1:10" ht="15.75">
      <c r="A33" s="17"/>
      <c r="B33" s="17"/>
      <c r="C33" s="100"/>
      <c r="D33" s="17"/>
      <c r="E33" s="100"/>
      <c r="F33" s="17"/>
      <c r="G33" s="17"/>
      <c r="H33" s="161" t="str">
        <f t="shared" si="0"/>
        <v> </v>
      </c>
      <c r="I33" s="18"/>
      <c r="J33" s="72"/>
    </row>
    <row r="34" spans="1:10" ht="15.75">
      <c r="A34" s="17"/>
      <c r="B34" s="17"/>
      <c r="C34" s="100"/>
      <c r="D34" s="17"/>
      <c r="E34" s="100"/>
      <c r="F34" s="17"/>
      <c r="G34" s="17"/>
      <c r="H34" s="161" t="str">
        <f t="shared" si="0"/>
        <v> </v>
      </c>
      <c r="I34" s="18"/>
      <c r="J34" s="72"/>
    </row>
    <row r="35" spans="1:10" ht="15.75">
      <c r="A35" s="17"/>
      <c r="B35" s="17"/>
      <c r="C35" s="100"/>
      <c r="D35" s="17"/>
      <c r="E35" s="100"/>
      <c r="F35" s="17"/>
      <c r="G35" s="17"/>
      <c r="H35" s="161" t="str">
        <f t="shared" si="0"/>
        <v> </v>
      </c>
      <c r="I35" s="18"/>
      <c r="J35" s="72"/>
    </row>
    <row r="36" spans="1:10" ht="15.75">
      <c r="A36" s="17"/>
      <c r="B36" s="17"/>
      <c r="C36" s="100"/>
      <c r="D36" s="17"/>
      <c r="E36" s="100"/>
      <c r="F36" s="17"/>
      <c r="G36" s="17"/>
      <c r="H36" s="161" t="str">
        <f t="shared" si="0"/>
        <v> </v>
      </c>
      <c r="I36" s="18"/>
      <c r="J36" s="72"/>
    </row>
    <row r="37" spans="1:10" ht="15.75">
      <c r="A37" s="112"/>
      <c r="B37" s="17"/>
      <c r="C37" s="109"/>
      <c r="D37" s="17"/>
      <c r="E37" s="109"/>
      <c r="F37" s="17"/>
      <c r="G37" s="17"/>
      <c r="H37" s="161" t="str">
        <f t="shared" si="0"/>
        <v> </v>
      </c>
      <c r="I37" s="18"/>
      <c r="J37" s="72"/>
    </row>
    <row r="38" spans="1:10" ht="15.75">
      <c r="A38" s="1"/>
      <c r="B38" s="1"/>
      <c r="C38" s="1"/>
      <c r="D38" s="1"/>
      <c r="E38" s="1"/>
      <c r="F38" s="1"/>
      <c r="G38" s="1"/>
      <c r="H38" s="1"/>
      <c r="I38" s="72"/>
      <c r="J38" s="72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2"/>
      <c r="J39" s="72"/>
    </row>
    <row r="40" spans="1:10" ht="15.75">
      <c r="A40" s="1"/>
      <c r="B40" s="1"/>
      <c r="C40" s="1"/>
      <c r="D40" s="1"/>
      <c r="E40" s="1"/>
      <c r="F40" s="1"/>
      <c r="G40" s="1"/>
      <c r="H40" s="1"/>
      <c r="I40" s="72"/>
      <c r="J40" s="72"/>
    </row>
    <row r="41" spans="1:10" ht="15.75">
      <c r="A41" s="85"/>
      <c r="B41" s="1"/>
      <c r="C41" s="1"/>
      <c r="D41" s="1"/>
      <c r="E41" s="1"/>
      <c r="F41" s="1"/>
      <c r="G41" s="1"/>
      <c r="H41" s="1"/>
      <c r="I41" s="72"/>
      <c r="J41" s="72"/>
    </row>
    <row r="42" spans="1:10" ht="15.75">
      <c r="A42" s="6" t="s">
        <v>77</v>
      </c>
      <c r="B42" s="1"/>
      <c r="C42" s="1"/>
      <c r="D42" s="47" t="s">
        <v>136</v>
      </c>
      <c r="E42" s="56"/>
      <c r="F42" s="1"/>
      <c r="G42" s="1"/>
      <c r="H42" s="1"/>
      <c r="I42" s="72"/>
      <c r="J42" s="72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6"/>
      <c r="C46" s="23"/>
      <c r="D46" s="86"/>
      <c r="E46" s="23"/>
      <c r="F46" s="86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2"/>
      <c r="C54" s="23"/>
      <c r="D54" s="23"/>
      <c r="E54" s="23"/>
      <c r="F54" s="23"/>
      <c r="G54" s="23"/>
      <c r="H54" s="23"/>
    </row>
    <row r="55" spans="2:8" ht="15.75">
      <c r="B55" s="87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2"/>
      <c r="B1" s="72"/>
      <c r="C1" s="72"/>
      <c r="D1" s="1">
        <f>input!$F$8</f>
        <v>2014</v>
      </c>
    </row>
    <row r="2" spans="1:4" ht="15.75">
      <c r="A2" s="130" t="s">
        <v>38</v>
      </c>
      <c r="B2" s="320" t="str">
        <f>input!F5</f>
        <v>Chautauqua County</v>
      </c>
      <c r="C2" s="320"/>
      <c r="D2" s="136"/>
    </row>
    <row r="3" spans="1:4" ht="15.75">
      <c r="A3" s="130" t="s">
        <v>140</v>
      </c>
      <c r="B3" s="321"/>
      <c r="C3" s="321"/>
      <c r="D3" s="4"/>
    </row>
    <row r="4" spans="1:4" ht="15.75">
      <c r="A4" s="1"/>
      <c r="B4" s="1"/>
      <c r="C4" s="1"/>
      <c r="D4" s="4"/>
    </row>
    <row r="5" spans="1:4" ht="15.75">
      <c r="A5" s="28" t="s">
        <v>138</v>
      </c>
      <c r="B5" s="126"/>
      <c r="C5" s="126"/>
      <c r="D5" s="80"/>
    </row>
    <row r="6" spans="1:4" ht="15.75">
      <c r="A6" s="1"/>
      <c r="B6" s="81"/>
      <c r="C6" s="81"/>
      <c r="D6" s="81"/>
    </row>
    <row r="7" spans="1:4" ht="15.75">
      <c r="A7" s="5" t="s">
        <v>130</v>
      </c>
      <c r="B7" s="118" t="s">
        <v>10</v>
      </c>
      <c r="C7" s="9" t="s">
        <v>11</v>
      </c>
      <c r="D7" s="9" t="s">
        <v>12</v>
      </c>
    </row>
    <row r="8" spans="1:4" ht="15.75">
      <c r="A8" s="119"/>
      <c r="B8" s="34" t="str">
        <f>CONCATENATE("Actual ",'Rd Mound 1'!$F$1-2,"")</f>
        <v>Actual 2012</v>
      </c>
      <c r="C8" s="34" t="str">
        <f>CONCATENATE("Estimate ",'Rd Mound 1'!$F$1-1,"")</f>
        <v>Estimate 2013</v>
      </c>
      <c r="D8" s="34" t="str">
        <f>CONCATENATE("Year ",'Rd Mound 1'!$F$1,"")</f>
        <v>Year 2014</v>
      </c>
    </row>
    <row r="9" spans="1:4" ht="15.75">
      <c r="A9" s="19" t="s">
        <v>131</v>
      </c>
      <c r="B9" s="127"/>
      <c r="C9" s="49">
        <f>B33</f>
        <v>0</v>
      </c>
      <c r="D9" s="49">
        <f>C33</f>
        <v>0</v>
      </c>
    </row>
    <row r="10" spans="1:4" ht="15.75">
      <c r="A10" s="55" t="s">
        <v>132</v>
      </c>
      <c r="B10" s="21"/>
      <c r="C10" s="21"/>
      <c r="D10" s="21"/>
    </row>
    <row r="11" spans="1:4" ht="15.75">
      <c r="A11" s="19" t="s">
        <v>14</v>
      </c>
      <c r="B11" s="127"/>
      <c r="C11" s="127"/>
      <c r="D11" s="128" t="s">
        <v>6</v>
      </c>
    </row>
    <row r="12" spans="1:4" ht="15.75">
      <c r="A12" s="19" t="s">
        <v>15</v>
      </c>
      <c r="B12" s="127"/>
      <c r="C12" s="127"/>
      <c r="D12" s="127"/>
    </row>
    <row r="13" spans="1:4" ht="15.75">
      <c r="A13" s="19" t="s">
        <v>16</v>
      </c>
      <c r="B13" s="127"/>
      <c r="C13" s="127"/>
      <c r="D13" s="135"/>
    </row>
    <row r="14" spans="1:4" ht="15.75">
      <c r="A14" s="19" t="s">
        <v>17</v>
      </c>
      <c r="B14" s="127"/>
      <c r="C14" s="127"/>
      <c r="D14" s="135"/>
    </row>
    <row r="15" spans="1:4" ht="15.75">
      <c r="A15" s="21" t="s">
        <v>139</v>
      </c>
      <c r="B15" s="127"/>
      <c r="C15" s="127"/>
      <c r="D15" s="135"/>
    </row>
    <row r="16" spans="1:4" ht="15.75">
      <c r="A16" s="54"/>
      <c r="B16" s="127"/>
      <c r="C16" s="127"/>
      <c r="D16" s="127"/>
    </row>
    <row r="17" spans="1:4" ht="15.75">
      <c r="A17" s="54"/>
      <c r="B17" s="127"/>
      <c r="C17" s="127"/>
      <c r="D17" s="127"/>
    </row>
    <row r="18" spans="1:4" ht="15.75">
      <c r="A18" s="54"/>
      <c r="B18" s="127"/>
      <c r="C18" s="127"/>
      <c r="D18" s="127"/>
    </row>
    <row r="19" spans="1:4" ht="15.75">
      <c r="A19" s="54"/>
      <c r="B19" s="127"/>
      <c r="C19" s="127"/>
      <c r="D19" s="127"/>
    </row>
    <row r="20" spans="1:4" ht="15.75">
      <c r="A20" s="129" t="s">
        <v>21</v>
      </c>
      <c r="B20" s="127"/>
      <c r="C20" s="127"/>
      <c r="D20" s="127"/>
    </row>
    <row r="21" spans="1:4" ht="15.75">
      <c r="A21" s="121" t="s">
        <v>22</v>
      </c>
      <c r="B21" s="180">
        <f>SUM(B11:B20)</f>
        <v>0</v>
      </c>
      <c r="C21" s="180">
        <f>SUM(C11:C20)</f>
        <v>0</v>
      </c>
      <c r="D21" s="180">
        <f>SUM(D11:D20)</f>
        <v>0</v>
      </c>
    </row>
    <row r="22" spans="1:4" ht="15.75">
      <c r="A22" s="121" t="s">
        <v>23</v>
      </c>
      <c r="B22" s="180">
        <f>B9+B21</f>
        <v>0</v>
      </c>
      <c r="C22" s="180">
        <f>C9+C21</f>
        <v>0</v>
      </c>
      <c r="D22" s="180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4"/>
      <c r="B24" s="127"/>
      <c r="C24" s="127"/>
      <c r="D24" s="127"/>
    </row>
    <row r="25" spans="1:4" ht="15.75">
      <c r="A25" s="54"/>
      <c r="B25" s="127"/>
      <c r="C25" s="127"/>
      <c r="D25" s="127"/>
    </row>
    <row r="26" spans="1:4" ht="15.75">
      <c r="A26" s="54"/>
      <c r="B26" s="127"/>
      <c r="C26" s="127"/>
      <c r="D26" s="127"/>
    </row>
    <row r="27" spans="1:4" ht="15.75">
      <c r="A27" s="54"/>
      <c r="B27" s="127"/>
      <c r="C27" s="127"/>
      <c r="D27" s="127"/>
    </row>
    <row r="28" spans="1:4" ht="15.75">
      <c r="A28" s="54"/>
      <c r="B28" s="127"/>
      <c r="C28" s="127"/>
      <c r="D28" s="127"/>
    </row>
    <row r="29" spans="1:4" ht="15.75">
      <c r="A29" s="54"/>
      <c r="B29" s="127"/>
      <c r="C29" s="127"/>
      <c r="D29" s="127"/>
    </row>
    <row r="30" spans="1:4" ht="15.75">
      <c r="A30" s="54"/>
      <c r="B30" s="127"/>
      <c r="C30" s="127"/>
      <c r="D30" s="127"/>
    </row>
    <row r="31" spans="1:4" ht="15.75">
      <c r="A31" s="54"/>
      <c r="B31" s="127"/>
      <c r="C31" s="127"/>
      <c r="D31" s="127"/>
    </row>
    <row r="32" spans="1:4" ht="15.75">
      <c r="A32" s="121" t="s">
        <v>25</v>
      </c>
      <c r="B32" s="180">
        <f>SUM(B24:B31)</f>
        <v>0</v>
      </c>
      <c r="C32" s="180">
        <f>SUM(C24:C31)</f>
        <v>0</v>
      </c>
      <c r="D32" s="180">
        <f>SUM(D24:D31)</f>
        <v>0</v>
      </c>
    </row>
    <row r="33" spans="1:4" ht="15.75">
      <c r="A33" s="19" t="s">
        <v>135</v>
      </c>
      <c r="B33" s="179">
        <f>B22-B32</f>
        <v>0</v>
      </c>
      <c r="C33" s="179">
        <f>C22-C32</f>
        <v>0</v>
      </c>
      <c r="D33" s="128" t="s">
        <v>6</v>
      </c>
    </row>
    <row r="34" spans="1:5" ht="15.75">
      <c r="A34" s="1"/>
      <c r="B34" s="1"/>
      <c r="C34" s="4" t="s">
        <v>27</v>
      </c>
      <c r="D34" s="127"/>
      <c r="E34" s="193">
        <f>IF(D32/0.95-D32&lt;D34,"Exceeds 5%","")</f>
      </c>
    </row>
    <row r="35" spans="1:4" ht="15.75">
      <c r="A35" s="1"/>
      <c r="B35" s="1"/>
      <c r="C35" s="4" t="s">
        <v>28</v>
      </c>
      <c r="D35" s="49">
        <f>D32+D34</f>
        <v>0</v>
      </c>
    </row>
    <row r="36" spans="1:4" ht="15.75">
      <c r="A36" s="1"/>
      <c r="B36" s="1"/>
      <c r="C36" s="4" t="s">
        <v>29</v>
      </c>
      <c r="D36" s="179">
        <f>IF(D35-D22&gt;0,D35-D22,0)</f>
        <v>0</v>
      </c>
    </row>
    <row r="37" spans="1:4" ht="15.75">
      <c r="A37" s="316" t="s">
        <v>166</v>
      </c>
      <c r="B37" s="317"/>
      <c r="C37" s="163"/>
      <c r="D37" s="49">
        <f>ROUND(IF(C37&gt;0,(D36*C37),0),0)</f>
        <v>0</v>
      </c>
    </row>
    <row r="38" spans="1:4" ht="15.75">
      <c r="A38" s="1"/>
      <c r="B38" s="1"/>
      <c r="C38" s="4" t="str">
        <f>CONCATENATE("Amount of ",'Rd Mound 1'!$F$1-1," Ad Valorem Tax")</f>
        <v>Amount of 2013 Ad Valorem Tax</v>
      </c>
      <c r="D38" s="179">
        <f>D36+D37</f>
        <v>0</v>
      </c>
    </row>
    <row r="39" spans="1:4" ht="15.75">
      <c r="A39" s="1"/>
      <c r="B39" s="1"/>
      <c r="C39" s="47"/>
      <c r="D39" s="66"/>
    </row>
    <row r="40" spans="1:4" ht="15.75">
      <c r="A40" s="47" t="s">
        <v>136</v>
      </c>
      <c r="B40" s="143"/>
      <c r="C40" s="47"/>
      <c r="D40" s="66"/>
    </row>
    <row r="41" spans="1:4" ht="15.75">
      <c r="A41" s="1"/>
      <c r="B41" s="1"/>
      <c r="C41" s="47"/>
      <c r="D41" s="66"/>
    </row>
    <row r="42" spans="1:4" ht="15.75">
      <c r="A42" s="131"/>
      <c r="B42" s="131"/>
      <c r="C42" s="132"/>
      <c r="D42" s="133"/>
    </row>
    <row r="43" spans="1:4" ht="15.75">
      <c r="A43" s="131"/>
      <c r="B43" s="131"/>
      <c r="C43" s="132"/>
      <c r="D43" s="133"/>
    </row>
    <row r="44" spans="1:4" ht="15.75">
      <c r="A44" s="131"/>
      <c r="B44" s="131"/>
      <c r="C44" s="132"/>
      <c r="D44" s="133"/>
    </row>
    <row r="45" spans="1:4" ht="15.75">
      <c r="A45" s="131"/>
      <c r="B45" s="131"/>
      <c r="C45" s="132"/>
      <c r="D45" s="133"/>
    </row>
    <row r="46" spans="1:4" ht="15.75">
      <c r="A46" s="131"/>
      <c r="B46" s="131"/>
      <c r="C46" s="132"/>
      <c r="D46" s="133"/>
    </row>
    <row r="47" spans="1:4" ht="15.75">
      <c r="A47" s="131"/>
      <c r="B47" s="131"/>
      <c r="C47" s="132"/>
      <c r="D47" s="133"/>
    </row>
    <row r="48" spans="1:4" ht="15.75">
      <c r="A48" s="131"/>
      <c r="B48" s="131"/>
      <c r="C48" s="132"/>
      <c r="D48" s="133"/>
    </row>
    <row r="49" spans="1:4" ht="15.75">
      <c r="A49" s="131"/>
      <c r="B49" s="131"/>
      <c r="C49" s="132"/>
      <c r="D49" s="133"/>
    </row>
    <row r="50" spans="1:4" ht="15.75">
      <c r="A50" s="1"/>
      <c r="B50" s="1"/>
      <c r="C50" s="47"/>
      <c r="D50" s="1">
        <f>input!$F$8</f>
        <v>2014</v>
      </c>
    </row>
    <row r="51" spans="1:4" ht="15.75">
      <c r="A51" s="1"/>
      <c r="B51" s="1"/>
      <c r="C51" s="47"/>
      <c r="D51" s="66"/>
    </row>
    <row r="52" spans="1:4" ht="15.75">
      <c r="A52" s="1" t="s">
        <v>38</v>
      </c>
      <c r="B52" s="322" t="str">
        <f>input!F5</f>
        <v>Chautauqua County</v>
      </c>
      <c r="C52" s="322"/>
      <c r="D52" s="66"/>
    </row>
    <row r="53" spans="1:4" ht="15.75">
      <c r="A53" s="1" t="s">
        <v>140</v>
      </c>
      <c r="B53" s="333"/>
      <c r="C53" s="333"/>
      <c r="D53" s="81"/>
    </row>
    <row r="54" spans="1:4" ht="15.75">
      <c r="A54" s="1"/>
      <c r="B54" s="123"/>
      <c r="C54" s="123"/>
      <c r="D54" s="81"/>
    </row>
    <row r="55" spans="1:4" ht="15.75">
      <c r="A55" s="28" t="s">
        <v>138</v>
      </c>
      <c r="B55" s="123"/>
      <c r="C55" s="123"/>
      <c r="D55" s="81"/>
    </row>
    <row r="56" spans="1:4" ht="15.75">
      <c r="A56" s="1"/>
      <c r="B56" s="123"/>
      <c r="C56" s="123"/>
      <c r="D56" s="81"/>
    </row>
    <row r="57" spans="1:4" ht="15.75">
      <c r="A57" s="5" t="s">
        <v>130</v>
      </c>
      <c r="B57" s="118" t="s">
        <v>10</v>
      </c>
      <c r="C57" s="9" t="s">
        <v>11</v>
      </c>
      <c r="D57" s="9" t="s">
        <v>12</v>
      </c>
    </row>
    <row r="58" spans="1:4" ht="15.75">
      <c r="A58" s="119"/>
      <c r="B58" s="13" t="str">
        <f>B8</f>
        <v>Actual 2012</v>
      </c>
      <c r="C58" s="13" t="str">
        <f>C8</f>
        <v>Estimate 2013</v>
      </c>
      <c r="D58" s="13" t="str">
        <f>D8</f>
        <v>Year 2014</v>
      </c>
    </row>
    <row r="59" spans="1:4" ht="15.75">
      <c r="A59" s="19" t="s">
        <v>131</v>
      </c>
      <c r="B59" s="127"/>
      <c r="C59" s="49">
        <f>B83</f>
        <v>0</v>
      </c>
      <c r="D59" s="49">
        <f>C83</f>
        <v>0</v>
      </c>
    </row>
    <row r="60" spans="1:4" ht="15.75">
      <c r="A60" s="55" t="s">
        <v>132</v>
      </c>
      <c r="B60" s="21"/>
      <c r="C60" s="21"/>
      <c r="D60" s="21"/>
    </row>
    <row r="61" spans="1:4" ht="15.75">
      <c r="A61" s="19" t="s">
        <v>14</v>
      </c>
      <c r="B61" s="127"/>
      <c r="C61" s="127"/>
      <c r="D61" s="128" t="s">
        <v>6</v>
      </c>
    </row>
    <row r="62" spans="1:4" ht="15.75">
      <c r="A62" s="19" t="s">
        <v>15</v>
      </c>
      <c r="B62" s="127"/>
      <c r="C62" s="127"/>
      <c r="D62" s="127"/>
    </row>
    <row r="63" spans="1:4" ht="15.75">
      <c r="A63" s="19" t="s">
        <v>16</v>
      </c>
      <c r="B63" s="127"/>
      <c r="C63" s="127"/>
      <c r="D63" s="135"/>
    </row>
    <row r="64" spans="1:4" ht="15.75">
      <c r="A64" s="19" t="s">
        <v>17</v>
      </c>
      <c r="B64" s="127"/>
      <c r="C64" s="127"/>
      <c r="D64" s="135"/>
    </row>
    <row r="65" spans="1:4" ht="15.75">
      <c r="A65" s="21" t="s">
        <v>139</v>
      </c>
      <c r="B65" s="127"/>
      <c r="C65" s="127"/>
      <c r="D65" s="135"/>
    </row>
    <row r="66" spans="1:4" ht="15.75">
      <c r="A66" s="54"/>
      <c r="B66" s="127"/>
      <c r="C66" s="127"/>
      <c r="D66" s="127"/>
    </row>
    <row r="67" spans="1:4" ht="15.75">
      <c r="A67" s="54"/>
      <c r="B67" s="127"/>
      <c r="C67" s="127"/>
      <c r="D67" s="127"/>
    </row>
    <row r="68" spans="1:4" ht="15.75">
      <c r="A68" s="54"/>
      <c r="B68" s="127"/>
      <c r="C68" s="127"/>
      <c r="D68" s="127"/>
    </row>
    <row r="69" spans="1:4" ht="15.75">
      <c r="A69" s="54"/>
      <c r="B69" s="127"/>
      <c r="C69" s="127"/>
      <c r="D69" s="127"/>
    </row>
    <row r="70" spans="1:4" ht="15.75">
      <c r="A70" s="129" t="s">
        <v>21</v>
      </c>
      <c r="B70" s="127"/>
      <c r="C70" s="127"/>
      <c r="D70" s="127"/>
    </row>
    <row r="71" spans="1:4" ht="15.75">
      <c r="A71" s="121" t="s">
        <v>22</v>
      </c>
      <c r="B71" s="180">
        <f>SUM(B61:B70)</f>
        <v>0</v>
      </c>
      <c r="C71" s="180">
        <f>SUM(C61:C70)</f>
        <v>0</v>
      </c>
      <c r="D71" s="180">
        <f>SUM(D61:D70)</f>
        <v>0</v>
      </c>
    </row>
    <row r="72" spans="1:4" ht="15.75">
      <c r="A72" s="121" t="s">
        <v>23</v>
      </c>
      <c r="B72" s="180">
        <f>B59+B71</f>
        <v>0</v>
      </c>
      <c r="C72" s="180">
        <f>C59+C71</f>
        <v>0</v>
      </c>
      <c r="D72" s="180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4"/>
      <c r="B74" s="127"/>
      <c r="C74" s="127"/>
      <c r="D74" s="127"/>
    </row>
    <row r="75" spans="1:4" ht="15.75">
      <c r="A75" s="54"/>
      <c r="B75" s="127"/>
      <c r="C75" s="127"/>
      <c r="D75" s="127"/>
    </row>
    <row r="76" spans="1:4" ht="15.75">
      <c r="A76" s="54"/>
      <c r="B76" s="127"/>
      <c r="C76" s="127"/>
      <c r="D76" s="127"/>
    </row>
    <row r="77" spans="1:4" ht="15.75">
      <c r="A77" s="54"/>
      <c r="B77" s="127"/>
      <c r="C77" s="127"/>
      <c r="D77" s="127"/>
    </row>
    <row r="78" spans="1:4" ht="15.75">
      <c r="A78" s="54"/>
      <c r="B78" s="127"/>
      <c r="C78" s="127"/>
      <c r="D78" s="127"/>
    </row>
    <row r="79" spans="1:4" ht="15.75">
      <c r="A79" s="54"/>
      <c r="B79" s="127"/>
      <c r="C79" s="127"/>
      <c r="D79" s="127"/>
    </row>
    <row r="80" spans="1:4" ht="15.75">
      <c r="A80" s="54"/>
      <c r="B80" s="127"/>
      <c r="C80" s="127"/>
      <c r="D80" s="127"/>
    </row>
    <row r="81" spans="1:4" ht="15.75">
      <c r="A81" s="54"/>
      <c r="B81" s="127"/>
      <c r="C81" s="127"/>
      <c r="D81" s="127"/>
    </row>
    <row r="82" spans="1:4" ht="15.75">
      <c r="A82" s="121" t="s">
        <v>25</v>
      </c>
      <c r="B82" s="180">
        <f>SUM(B74:B81)</f>
        <v>0</v>
      </c>
      <c r="C82" s="180">
        <f>SUM(C74:C81)</f>
        <v>0</v>
      </c>
      <c r="D82" s="180">
        <f>SUM(D74:D81)</f>
        <v>0</v>
      </c>
    </row>
    <row r="83" spans="1:4" ht="15.75">
      <c r="A83" s="19" t="s">
        <v>135</v>
      </c>
      <c r="B83" s="179">
        <f>B72-B82</f>
        <v>0</v>
      </c>
      <c r="C83" s="179">
        <f>C72-C82</f>
        <v>0</v>
      </c>
      <c r="D83" s="128" t="s">
        <v>6</v>
      </c>
    </row>
    <row r="84" spans="1:5" ht="15.75">
      <c r="A84" s="1"/>
      <c r="B84" s="60"/>
      <c r="C84" s="4" t="s">
        <v>27</v>
      </c>
      <c r="D84" s="127"/>
      <c r="E84" s="193">
        <f>IF(D82/0.95-D82&lt;D84,"Exceeds 5%","")</f>
      </c>
    </row>
    <row r="85" spans="1:4" ht="15.75">
      <c r="A85" s="1"/>
      <c r="B85" s="60"/>
      <c r="C85" s="4" t="s">
        <v>28</v>
      </c>
      <c r="D85" s="49">
        <f>D82+D84</f>
        <v>0</v>
      </c>
    </row>
    <row r="86" spans="1:4" ht="15.75">
      <c r="A86" s="1"/>
      <c r="B86" s="1"/>
      <c r="C86" s="4" t="s">
        <v>29</v>
      </c>
      <c r="D86" s="179">
        <f>IF(D85-D72&gt;0,D85-D72,0)</f>
        <v>0</v>
      </c>
    </row>
    <row r="87" spans="1:4" ht="15.75">
      <c r="A87" s="316" t="s">
        <v>166</v>
      </c>
      <c r="B87" s="317"/>
      <c r="C87" s="163"/>
      <c r="D87" s="49">
        <f>ROUND(IF(C87&gt;0,(D86*C87),0),0)</f>
        <v>0</v>
      </c>
    </row>
    <row r="88" spans="1:4" ht="15.75">
      <c r="A88" s="1"/>
      <c r="B88" s="1"/>
      <c r="C88" s="4" t="str">
        <f>CONCATENATE("Amount of ",'Rd Mound 1'!$F$1-1," Ad Valorem Tax")</f>
        <v>Amount of 2013 Ad Valorem Tax</v>
      </c>
      <c r="D88" s="179">
        <f>D86+D87</f>
        <v>0</v>
      </c>
    </row>
    <row r="89" spans="1:4" ht="15.75">
      <c r="A89" s="1"/>
      <c r="B89" s="1"/>
      <c r="C89" s="47"/>
      <c r="D89" s="66"/>
    </row>
    <row r="90" spans="1:4" ht="15.75">
      <c r="A90" s="4" t="s">
        <v>136</v>
      </c>
      <c r="B90" s="56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input!$F$8</f>
        <v>2014</v>
      </c>
    </row>
    <row r="2" spans="1:4" ht="15.75">
      <c r="A2" s="113" t="s">
        <v>8</v>
      </c>
      <c r="B2" s="334"/>
      <c r="C2" s="334"/>
      <c r="D2" s="115"/>
    </row>
    <row r="3" spans="1:4" ht="15.75">
      <c r="A3" s="113"/>
      <c r="B3" s="114"/>
      <c r="C3" s="115"/>
      <c r="D3" s="115"/>
    </row>
    <row r="4" spans="1:4" ht="15.75">
      <c r="A4" s="114" t="s">
        <v>128</v>
      </c>
      <c r="B4" s="337" t="str">
        <f>input!F5</f>
        <v>Chautauqua County</v>
      </c>
      <c r="C4" s="337"/>
      <c r="D4" s="115"/>
    </row>
    <row r="5" spans="1:4" ht="15.75">
      <c r="A5" s="1"/>
      <c r="B5" s="1"/>
      <c r="C5" s="1"/>
      <c r="D5" s="4"/>
    </row>
    <row r="6" spans="1:4" ht="15.75">
      <c r="A6" s="28" t="s">
        <v>129</v>
      </c>
      <c r="B6" s="116"/>
      <c r="C6" s="116"/>
      <c r="D6" s="117"/>
    </row>
    <row r="7" spans="1:4" ht="15.75">
      <c r="A7" s="5" t="s">
        <v>130</v>
      </c>
      <c r="B7" s="118" t="s">
        <v>10</v>
      </c>
      <c r="C7" s="9" t="s">
        <v>11</v>
      </c>
      <c r="D7" s="9" t="s">
        <v>12</v>
      </c>
    </row>
    <row r="8" spans="1:4" ht="15.75">
      <c r="A8" s="119"/>
      <c r="B8" s="34" t="str">
        <f>CONCATENATE("Actual ",'Rd Mound 1'!$F$1-2,"")</f>
        <v>Actual 2012</v>
      </c>
      <c r="C8" s="34" t="str">
        <f>CONCATENATE("Estimate ",'Rd Mound 1'!$F$1-1,"")</f>
        <v>Estimate 2013</v>
      </c>
      <c r="D8" s="34" t="str">
        <f>CONCATENATE("Year ",'Rd Mound 1'!$F$1,"")</f>
        <v>Year 2014</v>
      </c>
    </row>
    <row r="9" spans="1:4" ht="15.75">
      <c r="A9" s="19" t="s">
        <v>131</v>
      </c>
      <c r="B9" s="37"/>
      <c r="C9" s="21">
        <f>B35</f>
        <v>0</v>
      </c>
      <c r="D9" s="21">
        <f>C35</f>
        <v>0</v>
      </c>
    </row>
    <row r="10" spans="1:4" ht="15.75">
      <c r="A10" s="19" t="s">
        <v>132</v>
      </c>
      <c r="B10" s="21"/>
      <c r="C10" s="21"/>
      <c r="D10" s="21"/>
    </row>
    <row r="11" spans="1:4" ht="15.75">
      <c r="A11" s="134"/>
      <c r="B11" s="105"/>
      <c r="C11" s="105"/>
      <c r="D11" s="105"/>
    </row>
    <row r="12" spans="1:4" ht="15.75">
      <c r="A12" s="54"/>
      <c r="B12" s="37"/>
      <c r="C12" s="37"/>
      <c r="D12" s="37"/>
    </row>
    <row r="13" spans="1:4" ht="15.75">
      <c r="A13" s="54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4"/>
      <c r="B15" s="37"/>
      <c r="C15" s="37"/>
      <c r="D15" s="37"/>
    </row>
    <row r="16" spans="1:4" ht="15.75">
      <c r="A16" s="54"/>
      <c r="B16" s="37"/>
      <c r="C16" s="37"/>
      <c r="D16" s="37"/>
    </row>
    <row r="17" spans="1:4" ht="15.75">
      <c r="A17" s="54"/>
      <c r="B17" s="37"/>
      <c r="C17" s="37"/>
      <c r="D17" s="37"/>
    </row>
    <row r="18" spans="1:4" ht="15.75">
      <c r="A18" s="120" t="s">
        <v>21</v>
      </c>
      <c r="B18" s="37"/>
      <c r="C18" s="37"/>
      <c r="D18" s="37"/>
    </row>
    <row r="19" spans="1:4" ht="15.75">
      <c r="A19" s="121" t="s">
        <v>22</v>
      </c>
      <c r="B19" s="181">
        <f>SUM(B12:B18)</f>
        <v>0</v>
      </c>
      <c r="C19" s="181">
        <f>SUM(C12:C18)</f>
        <v>0</v>
      </c>
      <c r="D19" s="181">
        <f>SUM(D12:D18)</f>
        <v>0</v>
      </c>
    </row>
    <row r="20" spans="1:4" ht="15.75">
      <c r="A20" s="121" t="s">
        <v>23</v>
      </c>
      <c r="B20" s="181">
        <f>B9+B19</f>
        <v>0</v>
      </c>
      <c r="C20" s="181">
        <f>C9+C19</f>
        <v>0</v>
      </c>
      <c r="D20" s="181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4" t="s">
        <v>133</v>
      </c>
      <c r="B22" s="37"/>
      <c r="C22" s="37"/>
      <c r="D22" s="37"/>
    </row>
    <row r="23" spans="1:4" ht="15.75">
      <c r="A23" s="54" t="s">
        <v>134</v>
      </c>
      <c r="B23" s="37"/>
      <c r="C23" s="37"/>
      <c r="D23" s="37"/>
    </row>
    <row r="24" spans="1:4" ht="15.75">
      <c r="A24" s="54"/>
      <c r="B24" s="17"/>
      <c r="C24" s="17"/>
      <c r="D24" s="17"/>
    </row>
    <row r="25" spans="1:4" ht="15.75">
      <c r="A25" s="54"/>
      <c r="B25" s="17"/>
      <c r="C25" s="17"/>
      <c r="D25" s="17"/>
    </row>
    <row r="26" spans="1:4" ht="15.75">
      <c r="A26" s="54"/>
      <c r="B26" s="37"/>
      <c r="C26" s="37"/>
      <c r="D26" s="37"/>
    </row>
    <row r="27" spans="1:4" ht="15.75">
      <c r="A27" s="54"/>
      <c r="B27" s="37"/>
      <c r="C27" s="37"/>
      <c r="D27" s="37"/>
    </row>
    <row r="28" spans="1:4" ht="15.75">
      <c r="A28" s="54"/>
      <c r="B28" s="37"/>
      <c r="C28" s="37"/>
      <c r="D28" s="37"/>
    </row>
    <row r="29" spans="1:4" ht="15.75">
      <c r="A29" s="54"/>
      <c r="B29" s="37"/>
      <c r="C29" s="37"/>
      <c r="D29" s="37"/>
    </row>
    <row r="30" spans="1:4" ht="15.75">
      <c r="A30" s="54"/>
      <c r="B30" s="37"/>
      <c r="C30" s="37"/>
      <c r="D30" s="37"/>
    </row>
    <row r="31" spans="1:4" ht="15.75">
      <c r="A31" s="54"/>
      <c r="B31" s="37"/>
      <c r="C31" s="37"/>
      <c r="D31" s="37"/>
    </row>
    <row r="32" spans="1:4" ht="15.75">
      <c r="A32" s="54"/>
      <c r="B32" s="37"/>
      <c r="C32" s="37"/>
      <c r="D32" s="37"/>
    </row>
    <row r="33" spans="1:4" ht="15.75">
      <c r="A33" s="54"/>
      <c r="B33" s="37"/>
      <c r="C33" s="37"/>
      <c r="D33" s="37"/>
    </row>
    <row r="34" spans="1:4" ht="15.75">
      <c r="A34" s="121" t="s">
        <v>25</v>
      </c>
      <c r="B34" s="181">
        <f>SUM(B22:B33)</f>
        <v>0</v>
      </c>
      <c r="C34" s="181">
        <f>SUM(C22:C33)</f>
        <v>0</v>
      </c>
      <c r="D34" s="181">
        <f>SUM(D22:D33)</f>
        <v>0</v>
      </c>
    </row>
    <row r="35" spans="1:4" ht="15.75">
      <c r="A35" s="19" t="s">
        <v>135</v>
      </c>
      <c r="B35" s="182">
        <f>B20-B34</f>
        <v>0</v>
      </c>
      <c r="C35" s="182">
        <f>C20-C34</f>
        <v>0</v>
      </c>
      <c r="D35" s="182">
        <f>D20-D34</f>
        <v>0</v>
      </c>
    </row>
    <row r="36" spans="1:4" ht="15.75">
      <c r="A36" s="141"/>
      <c r="B36" s="141"/>
      <c r="C36" s="141"/>
      <c r="D36" s="141"/>
    </row>
    <row r="37" spans="1:4" ht="15.75">
      <c r="A37" s="147" t="s">
        <v>136</v>
      </c>
      <c r="B37" s="183"/>
      <c r="C37" s="141"/>
      <c r="D37" s="141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6"/>
      <c r="B46" s="50"/>
      <c r="C46" s="50"/>
      <c r="D46" s="145"/>
    </row>
    <row r="47" spans="1:4" ht="15.75">
      <c r="A47" s="96"/>
      <c r="B47" s="50"/>
      <c r="C47" s="50"/>
      <c r="D47" s="1">
        <f>input!$F$8</f>
        <v>2014</v>
      </c>
    </row>
    <row r="48" spans="1:4" ht="15.75">
      <c r="A48" s="96"/>
      <c r="B48" s="50"/>
      <c r="C48" s="50"/>
      <c r="D48" s="50"/>
    </row>
    <row r="49" spans="1:4" ht="15.75">
      <c r="A49" s="96" t="s">
        <v>140</v>
      </c>
      <c r="B49" s="321"/>
      <c r="C49" s="321"/>
      <c r="D49" s="50"/>
    </row>
    <row r="50" spans="1:4" ht="15.75">
      <c r="A50" s="96"/>
      <c r="B50" s="123"/>
      <c r="C50" s="123"/>
      <c r="D50" s="50"/>
    </row>
    <row r="51" spans="1:4" ht="15.75">
      <c r="A51" s="1" t="s">
        <v>38</v>
      </c>
      <c r="B51" s="336" t="str">
        <f>input!F5</f>
        <v>Chautauqua County</v>
      </c>
      <c r="C51" s="336"/>
      <c r="D51" s="50"/>
    </row>
    <row r="52" spans="1:4" ht="15.75">
      <c r="A52" s="1"/>
      <c r="B52" s="123"/>
      <c r="C52" s="123"/>
      <c r="D52" s="50"/>
    </row>
    <row r="53" spans="1:4" ht="15.75">
      <c r="A53" s="28" t="s">
        <v>129</v>
      </c>
      <c r="B53" s="123"/>
      <c r="C53" s="123"/>
      <c r="D53" s="50"/>
    </row>
    <row r="54" spans="1:4" ht="15.75">
      <c r="A54" s="146"/>
      <c r="B54" s="335"/>
      <c r="C54" s="335"/>
      <c r="D54" s="67"/>
    </row>
    <row r="55" spans="1:4" ht="15.75">
      <c r="A55" s="5" t="s">
        <v>130</v>
      </c>
      <c r="B55" s="118" t="s">
        <v>10</v>
      </c>
      <c r="C55" s="9" t="s">
        <v>11</v>
      </c>
      <c r="D55" s="9" t="s">
        <v>12</v>
      </c>
    </row>
    <row r="56" spans="1:4" ht="15.75">
      <c r="A56" s="119"/>
      <c r="B56" s="34" t="str">
        <f>CONCATENATE("Actual ",'Rd Mound 1'!$F$1-2,"")</f>
        <v>Actual 2012</v>
      </c>
      <c r="C56" s="34" t="str">
        <f>CONCATENATE("Estimate ",'Rd Mound 1'!$F$1-1,"")</f>
        <v>Estimate 2013</v>
      </c>
      <c r="D56" s="34" t="str">
        <f>CONCATENATE("Year ",'Rd Mound 1'!$F$1,"")</f>
        <v>Year 2014</v>
      </c>
    </row>
    <row r="57" spans="1:4" ht="15.75">
      <c r="A57" s="19" t="s">
        <v>131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132</v>
      </c>
      <c r="B58" s="21"/>
      <c r="C58" s="21"/>
      <c r="D58" s="21"/>
    </row>
    <row r="59" spans="1:4" ht="15.75">
      <c r="A59" s="54"/>
      <c r="B59" s="37"/>
      <c r="C59" s="37"/>
      <c r="D59" s="37"/>
    </row>
    <row r="60" spans="1:4" ht="15.75">
      <c r="A60" s="54"/>
      <c r="B60" s="37"/>
      <c r="C60" s="37"/>
      <c r="D60" s="37"/>
    </row>
    <row r="61" spans="1:4" ht="15.75">
      <c r="A61" s="54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4"/>
      <c r="B63" s="37"/>
      <c r="C63" s="37"/>
      <c r="D63" s="37"/>
    </row>
    <row r="64" spans="1:4" ht="15.75">
      <c r="A64" s="54"/>
      <c r="B64" s="37"/>
      <c r="C64" s="37"/>
      <c r="D64" s="37"/>
    </row>
    <row r="65" spans="1:4" ht="15.75">
      <c r="A65" s="54"/>
      <c r="B65" s="37"/>
      <c r="C65" s="37"/>
      <c r="D65" s="37"/>
    </row>
    <row r="66" spans="1:4" ht="15.75">
      <c r="A66" s="120" t="s">
        <v>21</v>
      </c>
      <c r="B66" s="37"/>
      <c r="C66" s="37"/>
      <c r="D66" s="37"/>
    </row>
    <row r="67" spans="1:4" ht="15.75">
      <c r="A67" s="121" t="s">
        <v>22</v>
      </c>
      <c r="B67" s="181">
        <f>SUM(B59:B66)</f>
        <v>0</v>
      </c>
      <c r="C67" s="181">
        <f>SUM(C59:C66)</f>
        <v>0</v>
      </c>
      <c r="D67" s="181">
        <f>SUM(D59:D66)</f>
        <v>0</v>
      </c>
    </row>
    <row r="68" spans="1:4" ht="15.75">
      <c r="A68" s="121" t="s">
        <v>23</v>
      </c>
      <c r="B68" s="181">
        <f>B57+B67</f>
        <v>0</v>
      </c>
      <c r="C68" s="181">
        <f>C57+C67</f>
        <v>0</v>
      </c>
      <c r="D68" s="181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4" t="s">
        <v>133</v>
      </c>
      <c r="B70" s="37"/>
      <c r="C70" s="37"/>
      <c r="D70" s="37"/>
    </row>
    <row r="71" spans="1:4" ht="15.75">
      <c r="A71" s="54" t="s">
        <v>134</v>
      </c>
      <c r="B71" s="37"/>
      <c r="C71" s="37"/>
      <c r="D71" s="37"/>
    </row>
    <row r="72" spans="1:4" ht="15.75">
      <c r="A72" s="54"/>
      <c r="B72" s="37"/>
      <c r="C72" s="37"/>
      <c r="D72" s="37"/>
    </row>
    <row r="73" spans="1:4" ht="15.75">
      <c r="A73" s="54"/>
      <c r="B73" s="37"/>
      <c r="C73" s="37"/>
      <c r="D73" s="37"/>
    </row>
    <row r="74" spans="1:4" ht="15.75">
      <c r="A74" s="54"/>
      <c r="B74" s="37"/>
      <c r="C74" s="37"/>
      <c r="D74" s="37"/>
    </row>
    <row r="75" spans="1:4" ht="15.75">
      <c r="A75" s="54"/>
      <c r="B75" s="37"/>
      <c r="C75" s="37"/>
      <c r="D75" s="37"/>
    </row>
    <row r="76" spans="1:4" ht="15.75">
      <c r="A76" s="54"/>
      <c r="B76" s="37"/>
      <c r="C76" s="37"/>
      <c r="D76" s="37"/>
    </row>
    <row r="77" spans="1:4" ht="15.75">
      <c r="A77" s="54"/>
      <c r="B77" s="17"/>
      <c r="C77" s="17"/>
      <c r="D77" s="17"/>
    </row>
    <row r="78" spans="1:4" ht="15.75">
      <c r="A78" s="54"/>
      <c r="B78" s="37"/>
      <c r="C78" s="17"/>
      <c r="D78" s="17"/>
    </row>
    <row r="79" spans="1:4" ht="15.75">
      <c r="A79" s="54"/>
      <c r="B79" s="37"/>
      <c r="C79" s="17"/>
      <c r="D79" s="17"/>
    </row>
    <row r="80" spans="1:4" ht="15.75">
      <c r="A80" s="54"/>
      <c r="B80" s="37"/>
      <c r="C80" s="17"/>
      <c r="D80" s="17"/>
    </row>
    <row r="81" spans="1:4" ht="15.75">
      <c r="A81" s="54"/>
      <c r="B81" s="37"/>
      <c r="C81" s="37"/>
      <c r="D81" s="37"/>
    </row>
    <row r="82" spans="1:4" ht="15.75">
      <c r="A82" s="121" t="s">
        <v>25</v>
      </c>
      <c r="B82" s="181">
        <f>SUM(B70:B81)</f>
        <v>0</v>
      </c>
      <c r="C82" s="181">
        <f>SUM(C70:C81)</f>
        <v>0</v>
      </c>
      <c r="D82" s="181">
        <f>SUM(D70:D81)</f>
        <v>0</v>
      </c>
    </row>
    <row r="83" spans="1:4" ht="15.75">
      <c r="A83" s="19" t="s">
        <v>135</v>
      </c>
      <c r="B83" s="182">
        <f>B68-B82</f>
        <v>0</v>
      </c>
      <c r="C83" s="182">
        <f>C68-C82</f>
        <v>0</v>
      </c>
      <c r="D83" s="182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136</v>
      </c>
      <c r="B85" s="144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4.8515625" style="208" customWidth="1"/>
    <col min="2" max="2" width="9.57421875" style="208" customWidth="1"/>
    <col min="3" max="3" width="14.8515625" style="208" customWidth="1"/>
    <col min="4" max="4" width="9.57421875" style="208" customWidth="1"/>
    <col min="5" max="5" width="14.8515625" style="208" customWidth="1"/>
    <col min="6" max="6" width="9.57421875" style="208" customWidth="1"/>
    <col min="7" max="7" width="14.8515625" style="208" customWidth="1"/>
    <col min="8" max="8" width="9.57421875" style="208" customWidth="1"/>
    <col min="9" max="9" width="14.8515625" style="208" customWidth="1"/>
    <col min="10" max="16384" width="9.140625" style="208" customWidth="1"/>
  </cols>
  <sheetData>
    <row r="1" spans="1:11" ht="15.75">
      <c r="A1" s="204" t="str">
        <f>input!F5</f>
        <v>Chautauqua County</v>
      </c>
      <c r="B1" s="205"/>
      <c r="C1" s="206"/>
      <c r="D1" s="206"/>
      <c r="E1" s="206"/>
      <c r="F1" s="207" t="s">
        <v>209</v>
      </c>
      <c r="G1" s="206"/>
      <c r="H1" s="206"/>
      <c r="I1" s="206"/>
      <c r="J1" s="206"/>
      <c r="K1" s="206">
        <f>input!F8</f>
        <v>2014</v>
      </c>
    </row>
    <row r="2" spans="1:11" ht="15.75">
      <c r="A2" s="206"/>
      <c r="B2" s="206"/>
      <c r="C2" s="206"/>
      <c r="D2" s="206"/>
      <c r="E2" s="206"/>
      <c r="F2" s="209" t="str">
        <f>CONCATENATE("(Only the actual budget year for ",input!F8-2," is to be shown)")</f>
        <v>(Only the actual budget year for 2012 is to be shown)</v>
      </c>
      <c r="G2" s="206"/>
      <c r="H2" s="206"/>
      <c r="I2" s="206"/>
      <c r="J2" s="206"/>
      <c r="K2" s="206"/>
    </row>
    <row r="3" spans="1:11" ht="15.75">
      <c r="A3" s="206" t="s">
        <v>210</v>
      </c>
      <c r="B3" s="206"/>
      <c r="C3" s="206"/>
      <c r="D3" s="206"/>
      <c r="E3" s="206"/>
      <c r="F3" s="205"/>
      <c r="G3" s="206"/>
      <c r="H3" s="206"/>
      <c r="I3" s="206"/>
      <c r="J3" s="206"/>
      <c r="K3" s="206"/>
    </row>
    <row r="4" spans="1:11" ht="15.75">
      <c r="A4" s="206" t="s">
        <v>211</v>
      </c>
      <c r="B4" s="206"/>
      <c r="C4" s="206" t="s">
        <v>212</v>
      </c>
      <c r="D4" s="206"/>
      <c r="E4" s="206" t="s">
        <v>213</v>
      </c>
      <c r="F4" s="205"/>
      <c r="G4" s="206" t="s">
        <v>214</v>
      </c>
      <c r="H4" s="206"/>
      <c r="I4" s="206" t="s">
        <v>215</v>
      </c>
      <c r="J4" s="206"/>
      <c r="K4" s="206"/>
    </row>
    <row r="5" spans="1:11" ht="15.75">
      <c r="A5" s="338"/>
      <c r="B5" s="339"/>
      <c r="C5" s="338"/>
      <c r="D5" s="339"/>
      <c r="E5" s="338"/>
      <c r="F5" s="339"/>
      <c r="G5" s="338"/>
      <c r="H5" s="339"/>
      <c r="I5" s="338"/>
      <c r="J5" s="339"/>
      <c r="K5" s="210"/>
    </row>
    <row r="6" spans="1:11" ht="15.75">
      <c r="A6" s="211" t="s">
        <v>216</v>
      </c>
      <c r="B6" s="212"/>
      <c r="C6" s="213" t="s">
        <v>216</v>
      </c>
      <c r="D6" s="214"/>
      <c r="E6" s="213" t="s">
        <v>216</v>
      </c>
      <c r="F6" s="215"/>
      <c r="G6" s="213" t="s">
        <v>216</v>
      </c>
      <c r="H6" s="216"/>
      <c r="I6" s="213" t="s">
        <v>216</v>
      </c>
      <c r="J6" s="206"/>
      <c r="K6" s="217" t="s">
        <v>34</v>
      </c>
    </row>
    <row r="7" spans="1:11" ht="15.75">
      <c r="A7" s="218" t="s">
        <v>217</v>
      </c>
      <c r="B7" s="219"/>
      <c r="C7" s="220" t="s">
        <v>217</v>
      </c>
      <c r="D7" s="219"/>
      <c r="E7" s="220" t="s">
        <v>217</v>
      </c>
      <c r="F7" s="219"/>
      <c r="G7" s="220" t="s">
        <v>217</v>
      </c>
      <c r="H7" s="219"/>
      <c r="I7" s="220" t="s">
        <v>217</v>
      </c>
      <c r="J7" s="219"/>
      <c r="K7" s="221">
        <f>SUM(B7+D7+F7+H7+J7)</f>
        <v>0</v>
      </c>
    </row>
    <row r="8" spans="1:11" ht="15.75">
      <c r="A8" s="222" t="s">
        <v>132</v>
      </c>
      <c r="B8" s="223"/>
      <c r="C8" s="222" t="s">
        <v>132</v>
      </c>
      <c r="D8" s="224"/>
      <c r="E8" s="222" t="s">
        <v>132</v>
      </c>
      <c r="F8" s="205"/>
      <c r="G8" s="222" t="s">
        <v>132</v>
      </c>
      <c r="H8" s="206"/>
      <c r="I8" s="222" t="s">
        <v>132</v>
      </c>
      <c r="J8" s="206"/>
      <c r="K8" s="205"/>
    </row>
    <row r="9" spans="1:11" ht="15.75">
      <c r="A9" s="225"/>
      <c r="B9" s="219"/>
      <c r="C9" s="225"/>
      <c r="D9" s="219"/>
      <c r="E9" s="225"/>
      <c r="F9" s="219"/>
      <c r="G9" s="225"/>
      <c r="H9" s="219"/>
      <c r="I9" s="225"/>
      <c r="J9" s="219"/>
      <c r="K9" s="205"/>
    </row>
    <row r="10" spans="1:11" ht="15.75">
      <c r="A10" s="225"/>
      <c r="B10" s="219"/>
      <c r="C10" s="225"/>
      <c r="D10" s="219"/>
      <c r="E10" s="225"/>
      <c r="F10" s="219"/>
      <c r="G10" s="225"/>
      <c r="H10" s="219"/>
      <c r="I10" s="225"/>
      <c r="J10" s="219"/>
      <c r="K10" s="205"/>
    </row>
    <row r="11" spans="1:11" ht="15.75">
      <c r="A11" s="225"/>
      <c r="B11" s="219"/>
      <c r="C11" s="226"/>
      <c r="D11" s="227"/>
      <c r="E11" s="226"/>
      <c r="F11" s="219"/>
      <c r="G11" s="226"/>
      <c r="H11" s="219"/>
      <c r="I11" s="228"/>
      <c r="J11" s="219"/>
      <c r="K11" s="205"/>
    </row>
    <row r="12" spans="1:11" ht="15.75">
      <c r="A12" s="225"/>
      <c r="B12" s="229"/>
      <c r="C12" s="225"/>
      <c r="D12" s="230"/>
      <c r="E12" s="231"/>
      <c r="F12" s="219"/>
      <c r="G12" s="231"/>
      <c r="H12" s="219"/>
      <c r="I12" s="231"/>
      <c r="J12" s="219"/>
      <c r="K12" s="205"/>
    </row>
    <row r="13" spans="1:11" ht="15.75">
      <c r="A13" s="232"/>
      <c r="B13" s="233"/>
      <c r="C13" s="234"/>
      <c r="D13" s="230"/>
      <c r="E13" s="234"/>
      <c r="F13" s="219"/>
      <c r="G13" s="234"/>
      <c r="H13" s="219"/>
      <c r="I13" s="228"/>
      <c r="J13" s="219"/>
      <c r="K13" s="205"/>
    </row>
    <row r="14" spans="1:11" ht="15.75">
      <c r="A14" s="225"/>
      <c r="B14" s="219"/>
      <c r="C14" s="231"/>
      <c r="D14" s="230"/>
      <c r="E14" s="231"/>
      <c r="F14" s="219"/>
      <c r="G14" s="231"/>
      <c r="H14" s="219"/>
      <c r="I14" s="231"/>
      <c r="J14" s="219"/>
      <c r="K14" s="205"/>
    </row>
    <row r="15" spans="1:11" ht="15.75">
      <c r="A15" s="225"/>
      <c r="B15" s="219"/>
      <c r="C15" s="231"/>
      <c r="D15" s="230"/>
      <c r="E15" s="231"/>
      <c r="F15" s="219"/>
      <c r="G15" s="231"/>
      <c r="H15" s="219"/>
      <c r="I15" s="231"/>
      <c r="J15" s="219"/>
      <c r="K15" s="205"/>
    </row>
    <row r="16" spans="1:11" ht="15.75">
      <c r="A16" s="225"/>
      <c r="B16" s="233"/>
      <c r="C16" s="225"/>
      <c r="D16" s="230"/>
      <c r="E16" s="225"/>
      <c r="F16" s="219"/>
      <c r="G16" s="231"/>
      <c r="H16" s="219"/>
      <c r="I16" s="225"/>
      <c r="J16" s="219"/>
      <c r="K16" s="205"/>
    </row>
    <row r="17" spans="1:11" ht="15.75">
      <c r="A17" s="222" t="s">
        <v>22</v>
      </c>
      <c r="B17" s="221">
        <f>SUM(B9:B16)</f>
        <v>0</v>
      </c>
      <c r="C17" s="222" t="s">
        <v>22</v>
      </c>
      <c r="D17" s="221">
        <f>SUM(D9:D16)</f>
        <v>0</v>
      </c>
      <c r="E17" s="222" t="s">
        <v>22</v>
      </c>
      <c r="F17" s="235">
        <f>SUM(F9:F16)</f>
        <v>0</v>
      </c>
      <c r="G17" s="222" t="s">
        <v>22</v>
      </c>
      <c r="H17" s="221">
        <f>SUM(H9:H16)</f>
        <v>0</v>
      </c>
      <c r="I17" s="222" t="s">
        <v>22</v>
      </c>
      <c r="J17" s="221">
        <f>SUM(J9:J16)</f>
        <v>0</v>
      </c>
      <c r="K17" s="221">
        <f>SUM(B17+D17+F17+H17+J17)</f>
        <v>0</v>
      </c>
    </row>
    <row r="18" spans="1:11" ht="15.75">
      <c r="A18" s="222" t="s">
        <v>23</v>
      </c>
      <c r="B18" s="221">
        <f>SUM(B7+B17)</f>
        <v>0</v>
      </c>
      <c r="C18" s="222" t="s">
        <v>23</v>
      </c>
      <c r="D18" s="221">
        <f>SUM(D7+D17)</f>
        <v>0</v>
      </c>
      <c r="E18" s="222" t="s">
        <v>23</v>
      </c>
      <c r="F18" s="221">
        <f>SUM(F7+F17)</f>
        <v>0</v>
      </c>
      <c r="G18" s="222" t="s">
        <v>23</v>
      </c>
      <c r="H18" s="221">
        <f>SUM(H7+H17)</f>
        <v>0</v>
      </c>
      <c r="I18" s="222" t="s">
        <v>23</v>
      </c>
      <c r="J18" s="221">
        <f>SUM(J7+J17)</f>
        <v>0</v>
      </c>
      <c r="K18" s="221">
        <f>SUM(B18+D18+F18+H18+J18)</f>
        <v>0</v>
      </c>
    </row>
    <row r="19" spans="1:11" ht="15.75">
      <c r="A19" s="222" t="s">
        <v>24</v>
      </c>
      <c r="B19" s="223"/>
      <c r="C19" s="222" t="s">
        <v>24</v>
      </c>
      <c r="D19" s="224"/>
      <c r="E19" s="222" t="s">
        <v>24</v>
      </c>
      <c r="F19" s="205"/>
      <c r="G19" s="222" t="s">
        <v>24</v>
      </c>
      <c r="H19" s="206"/>
      <c r="I19" s="222" t="s">
        <v>24</v>
      </c>
      <c r="J19" s="206"/>
      <c r="K19" s="205"/>
    </row>
    <row r="20" spans="1:11" ht="15.75">
      <c r="A20" s="225"/>
      <c r="B20" s="219"/>
      <c r="C20" s="231"/>
      <c r="D20" s="219"/>
      <c r="E20" s="231"/>
      <c r="F20" s="219"/>
      <c r="G20" s="231"/>
      <c r="H20" s="219"/>
      <c r="I20" s="231"/>
      <c r="J20" s="219"/>
      <c r="K20" s="205"/>
    </row>
    <row r="21" spans="1:11" ht="15.75">
      <c r="A21" s="225"/>
      <c r="B21" s="219"/>
      <c r="C21" s="231"/>
      <c r="D21" s="219"/>
      <c r="E21" s="231"/>
      <c r="F21" s="219"/>
      <c r="G21" s="231"/>
      <c r="H21" s="219"/>
      <c r="I21" s="231"/>
      <c r="J21" s="219"/>
      <c r="K21" s="205"/>
    </row>
    <row r="22" spans="1:11" ht="15.75">
      <c r="A22" s="225"/>
      <c r="B22" s="219"/>
      <c r="C22" s="234"/>
      <c r="D22" s="219"/>
      <c r="E22" s="234"/>
      <c r="F22" s="219"/>
      <c r="G22" s="234"/>
      <c r="H22" s="219"/>
      <c r="I22" s="228"/>
      <c r="J22" s="219"/>
      <c r="K22" s="205"/>
    </row>
    <row r="23" spans="1:11" ht="15.75">
      <c r="A23" s="225"/>
      <c r="B23" s="219"/>
      <c r="C23" s="231"/>
      <c r="D23" s="219"/>
      <c r="E23" s="231"/>
      <c r="F23" s="219"/>
      <c r="G23" s="231"/>
      <c r="H23" s="219"/>
      <c r="I23" s="231"/>
      <c r="J23" s="219"/>
      <c r="K23" s="205"/>
    </row>
    <row r="24" spans="1:11" ht="15.75">
      <c r="A24" s="225"/>
      <c r="B24" s="219"/>
      <c r="C24" s="234"/>
      <c r="D24" s="219"/>
      <c r="E24" s="234"/>
      <c r="F24" s="219"/>
      <c r="G24" s="234"/>
      <c r="H24" s="219"/>
      <c r="I24" s="228"/>
      <c r="J24" s="219"/>
      <c r="K24" s="205"/>
    </row>
    <row r="25" spans="1:11" ht="15.75">
      <c r="A25" s="225"/>
      <c r="B25" s="219"/>
      <c r="C25" s="231"/>
      <c r="D25" s="219"/>
      <c r="E25" s="231"/>
      <c r="F25" s="219"/>
      <c r="G25" s="231"/>
      <c r="H25" s="219"/>
      <c r="I25" s="231"/>
      <c r="J25" s="219"/>
      <c r="K25" s="205"/>
    </row>
    <row r="26" spans="1:11" ht="15.75">
      <c r="A26" s="225"/>
      <c r="B26" s="219"/>
      <c r="C26" s="231"/>
      <c r="D26" s="219"/>
      <c r="E26" s="231"/>
      <c r="F26" s="219"/>
      <c r="G26" s="231"/>
      <c r="H26" s="219"/>
      <c r="I26" s="231"/>
      <c r="J26" s="219"/>
      <c r="K26" s="205"/>
    </row>
    <row r="27" spans="1:11" ht="15.75">
      <c r="A27" s="225"/>
      <c r="B27" s="219"/>
      <c r="C27" s="225"/>
      <c r="D27" s="219"/>
      <c r="E27" s="225"/>
      <c r="F27" s="219"/>
      <c r="G27" s="231"/>
      <c r="H27" s="219"/>
      <c r="I27" s="231"/>
      <c r="J27" s="219"/>
      <c r="K27" s="205"/>
    </row>
    <row r="28" spans="1:11" ht="15.75">
      <c r="A28" s="222" t="s">
        <v>25</v>
      </c>
      <c r="B28" s="221">
        <f>SUM(B20:B27)</f>
        <v>0</v>
      </c>
      <c r="C28" s="222" t="s">
        <v>25</v>
      </c>
      <c r="D28" s="221">
        <f>SUM(D20:D27)</f>
        <v>0</v>
      </c>
      <c r="E28" s="222" t="s">
        <v>25</v>
      </c>
      <c r="F28" s="235">
        <f>SUM(F20:F27)</f>
        <v>0</v>
      </c>
      <c r="G28" s="222" t="s">
        <v>25</v>
      </c>
      <c r="H28" s="235">
        <f>SUM(H20:H27)</f>
        <v>0</v>
      </c>
      <c r="I28" s="222" t="s">
        <v>25</v>
      </c>
      <c r="J28" s="221">
        <f>SUM(J20:J27)</f>
        <v>0</v>
      </c>
      <c r="K28" s="221">
        <f>SUM(B28+D28+F28+H28+J28)</f>
        <v>0</v>
      </c>
    </row>
    <row r="29" spans="1:12" ht="15.75">
      <c r="A29" s="222" t="s">
        <v>218</v>
      </c>
      <c r="B29" s="221">
        <f>SUM(B18-B28)</f>
        <v>0</v>
      </c>
      <c r="C29" s="222" t="s">
        <v>218</v>
      </c>
      <c r="D29" s="221">
        <f>SUM(D18-D28)</f>
        <v>0</v>
      </c>
      <c r="E29" s="222" t="s">
        <v>218</v>
      </c>
      <c r="F29" s="221">
        <f>SUM(F18-F28)</f>
        <v>0</v>
      </c>
      <c r="G29" s="222" t="s">
        <v>218</v>
      </c>
      <c r="H29" s="221">
        <f>SUM(H18-H28)</f>
        <v>0</v>
      </c>
      <c r="I29" s="222" t="s">
        <v>218</v>
      </c>
      <c r="J29" s="221">
        <f>SUM(J18-J28)</f>
        <v>0</v>
      </c>
      <c r="K29" s="236">
        <f>SUM(B29+D29+F29+H29+J29)</f>
        <v>0</v>
      </c>
      <c r="L29" s="208" t="s">
        <v>219</v>
      </c>
    </row>
    <row r="30" spans="1:12" ht="15.75">
      <c r="A30" s="222"/>
      <c r="B30" s="237">
        <f>IF(B29&lt;0,"See Tab B","")</f>
      </c>
      <c r="C30" s="222"/>
      <c r="D30" s="237">
        <f>IF(D29&lt;0,"See Tab B","")</f>
      </c>
      <c r="E30" s="222"/>
      <c r="F30" s="237">
        <f>IF(F29&lt;0,"See Tab B","")</f>
      </c>
      <c r="G30" s="206"/>
      <c r="H30" s="237">
        <f>IF(H29&lt;0,"See Tab B","")</f>
      </c>
      <c r="I30" s="206"/>
      <c r="J30" s="237">
        <f>IF(J29&lt;0,"See Tab B","")</f>
      </c>
      <c r="K30" s="236">
        <f>SUM(K7+K17-K28)</f>
        <v>0</v>
      </c>
      <c r="L30" s="208" t="s">
        <v>219</v>
      </c>
    </row>
    <row r="31" spans="1:11" ht="15.75">
      <c r="A31" s="206"/>
      <c r="B31" s="238"/>
      <c r="C31" s="206"/>
      <c r="D31" s="205"/>
      <c r="E31" s="206"/>
      <c r="F31" s="206"/>
      <c r="G31" s="239" t="s">
        <v>220</v>
      </c>
      <c r="H31" s="239"/>
      <c r="I31" s="239"/>
      <c r="J31" s="239"/>
      <c r="K31" s="206"/>
    </row>
    <row r="32" spans="1:11" ht="15.75">
      <c r="A32" s="206"/>
      <c r="B32" s="238"/>
      <c r="C32" s="206"/>
      <c r="D32" s="206"/>
      <c r="E32" s="206"/>
      <c r="F32" s="206"/>
      <c r="G32" s="206"/>
      <c r="H32" s="206"/>
      <c r="I32" s="206"/>
      <c r="J32" s="206"/>
      <c r="K32" s="206"/>
    </row>
    <row r="33" spans="1:11" ht="15.75">
      <c r="A33" s="206"/>
      <c r="B33" s="238"/>
      <c r="C33" s="206"/>
      <c r="D33" s="206"/>
      <c r="E33" s="240" t="s">
        <v>136</v>
      </c>
      <c r="F33" s="241"/>
      <c r="G33" s="206"/>
      <c r="H33" s="206"/>
      <c r="I33" s="206"/>
      <c r="J33" s="206"/>
      <c r="K33" s="206"/>
    </row>
    <row r="34" ht="15.75">
      <c r="B34" s="242"/>
    </row>
    <row r="35" ht="15.75">
      <c r="B35" s="242"/>
    </row>
    <row r="36" ht="15.75">
      <c r="B36" s="242"/>
    </row>
    <row r="37" ht="15.75">
      <c r="B37" s="242"/>
    </row>
    <row r="38" ht="15.75">
      <c r="B38" s="242"/>
    </row>
    <row r="39" ht="15.75">
      <c r="B39" s="242"/>
    </row>
    <row r="40" ht="15.75">
      <c r="B40" s="242"/>
    </row>
    <row r="41" ht="15.75">
      <c r="B41" s="242"/>
    </row>
  </sheetData>
  <sheetProtection sheet="1" objects="1" scenarios="1"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'Rd Mound 1'!C3</f>
        <v>Round Mound Cemetery # 1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inputComp!E5</f>
        <v>8347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5">
        <f>inputComp!E7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8347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inputComp!E9</f>
        <v>2593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inputComp!E11</f>
        <v>152689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5">
        <f>inputComp!E13</f>
        <v>152689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4">
        <f>inputComp!E15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2593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inputComp!E17</f>
        <v>1960453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1957860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0.0013244052179420388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ROUND(G27*J7,0)</f>
        <v>11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8358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3">
        <f>inputComp!E19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8358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4.8515625" style="208" customWidth="1"/>
    <col min="2" max="2" width="9.57421875" style="208" customWidth="1"/>
    <col min="3" max="3" width="14.8515625" style="208" customWidth="1"/>
    <col min="4" max="4" width="9.57421875" style="208" customWidth="1"/>
    <col min="5" max="5" width="14.8515625" style="208" customWidth="1"/>
    <col min="6" max="6" width="9.57421875" style="208" customWidth="1"/>
    <col min="7" max="7" width="14.8515625" style="208" customWidth="1"/>
    <col min="8" max="8" width="9.57421875" style="208" customWidth="1"/>
    <col min="9" max="9" width="14.8515625" style="208" customWidth="1"/>
    <col min="10" max="16384" width="9.140625" style="208" customWidth="1"/>
  </cols>
  <sheetData>
    <row r="1" spans="1:11" ht="15.75">
      <c r="A1" s="204" t="str">
        <f>input!F5</f>
        <v>Chautauqua County</v>
      </c>
      <c r="B1" s="205"/>
      <c r="C1" s="206"/>
      <c r="D1" s="206"/>
      <c r="E1" s="206"/>
      <c r="F1" s="207" t="s">
        <v>209</v>
      </c>
      <c r="G1" s="206"/>
      <c r="H1" s="206"/>
      <c r="I1" s="206"/>
      <c r="J1" s="206"/>
      <c r="K1" s="206">
        <f>input!F8</f>
        <v>2014</v>
      </c>
    </row>
    <row r="2" spans="1:11" ht="15.75">
      <c r="A2" s="206"/>
      <c r="B2" s="206"/>
      <c r="C2" s="206"/>
      <c r="D2" s="206"/>
      <c r="E2" s="206"/>
      <c r="F2" s="209" t="str">
        <f>CONCATENATE("(Only the actual budget year for ",input!F8-2," is to be shown)")</f>
        <v>(Only the actual budget year for 2012 is to be shown)</v>
      </c>
      <c r="G2" s="206"/>
      <c r="H2" s="206"/>
      <c r="I2" s="206"/>
      <c r="J2" s="206"/>
      <c r="K2" s="206"/>
    </row>
    <row r="3" spans="1:11" ht="15.75">
      <c r="A3" s="206" t="s">
        <v>210</v>
      </c>
      <c r="B3" s="206"/>
      <c r="C3" s="206"/>
      <c r="D3" s="206"/>
      <c r="E3" s="206"/>
      <c r="F3" s="205"/>
      <c r="G3" s="206"/>
      <c r="H3" s="206"/>
      <c r="I3" s="206"/>
      <c r="J3" s="206"/>
      <c r="K3" s="206"/>
    </row>
    <row r="4" spans="1:11" ht="15.75">
      <c r="A4" s="206" t="s">
        <v>211</v>
      </c>
      <c r="B4" s="206"/>
      <c r="C4" s="206" t="s">
        <v>212</v>
      </c>
      <c r="D4" s="206"/>
      <c r="E4" s="206" t="s">
        <v>213</v>
      </c>
      <c r="F4" s="205"/>
      <c r="G4" s="206" t="s">
        <v>214</v>
      </c>
      <c r="H4" s="206"/>
      <c r="I4" s="206" t="s">
        <v>215</v>
      </c>
      <c r="J4" s="206"/>
      <c r="K4" s="206"/>
    </row>
    <row r="5" spans="1:11" ht="15.75">
      <c r="A5" s="338"/>
      <c r="B5" s="339"/>
      <c r="C5" s="338"/>
      <c r="D5" s="339"/>
      <c r="E5" s="338"/>
      <c r="F5" s="339"/>
      <c r="G5" s="338"/>
      <c r="H5" s="339"/>
      <c r="I5" s="338"/>
      <c r="J5" s="339"/>
      <c r="K5" s="210"/>
    </row>
    <row r="6" spans="1:11" ht="15.75">
      <c r="A6" s="211" t="s">
        <v>216</v>
      </c>
      <c r="B6" s="212"/>
      <c r="C6" s="213" t="s">
        <v>216</v>
      </c>
      <c r="D6" s="214"/>
      <c r="E6" s="213" t="s">
        <v>216</v>
      </c>
      <c r="F6" s="215"/>
      <c r="G6" s="213" t="s">
        <v>216</v>
      </c>
      <c r="H6" s="216"/>
      <c r="I6" s="213" t="s">
        <v>216</v>
      </c>
      <c r="J6" s="206"/>
      <c r="K6" s="217" t="s">
        <v>34</v>
      </c>
    </row>
    <row r="7" spans="1:11" ht="15.75">
      <c r="A7" s="218" t="s">
        <v>217</v>
      </c>
      <c r="B7" s="219"/>
      <c r="C7" s="220" t="s">
        <v>217</v>
      </c>
      <c r="D7" s="219"/>
      <c r="E7" s="220" t="s">
        <v>217</v>
      </c>
      <c r="F7" s="219"/>
      <c r="G7" s="220" t="s">
        <v>217</v>
      </c>
      <c r="H7" s="219"/>
      <c r="I7" s="220" t="s">
        <v>217</v>
      </c>
      <c r="J7" s="219"/>
      <c r="K7" s="221">
        <f>SUM(B7+D7+F7+H7+J7)</f>
        <v>0</v>
      </c>
    </row>
    <row r="8" spans="1:11" ht="15.75">
      <c r="A8" s="222" t="s">
        <v>132</v>
      </c>
      <c r="B8" s="223"/>
      <c r="C8" s="222" t="s">
        <v>132</v>
      </c>
      <c r="D8" s="224"/>
      <c r="E8" s="222" t="s">
        <v>132</v>
      </c>
      <c r="F8" s="205"/>
      <c r="G8" s="222" t="s">
        <v>132</v>
      </c>
      <c r="H8" s="206"/>
      <c r="I8" s="222" t="s">
        <v>132</v>
      </c>
      <c r="J8" s="206"/>
      <c r="K8" s="205"/>
    </row>
    <row r="9" spans="1:11" ht="15.75">
      <c r="A9" s="225"/>
      <c r="B9" s="219"/>
      <c r="C9" s="225"/>
      <c r="D9" s="219"/>
      <c r="E9" s="225"/>
      <c r="F9" s="219"/>
      <c r="G9" s="225"/>
      <c r="H9" s="219"/>
      <c r="I9" s="225"/>
      <c r="J9" s="219"/>
      <c r="K9" s="205"/>
    </row>
    <row r="10" spans="1:11" ht="15.75">
      <c r="A10" s="225"/>
      <c r="B10" s="219"/>
      <c r="C10" s="225"/>
      <c r="D10" s="219"/>
      <c r="E10" s="225"/>
      <c r="F10" s="219"/>
      <c r="G10" s="225"/>
      <c r="H10" s="219"/>
      <c r="I10" s="225"/>
      <c r="J10" s="219"/>
      <c r="K10" s="205"/>
    </row>
    <row r="11" spans="1:11" ht="15.75">
      <c r="A11" s="225"/>
      <c r="B11" s="219"/>
      <c r="C11" s="226"/>
      <c r="D11" s="227"/>
      <c r="E11" s="226"/>
      <c r="F11" s="219"/>
      <c r="G11" s="226"/>
      <c r="H11" s="219"/>
      <c r="I11" s="228"/>
      <c r="J11" s="219"/>
      <c r="K11" s="205"/>
    </row>
    <row r="12" spans="1:11" ht="15.75">
      <c r="A12" s="225"/>
      <c r="B12" s="229"/>
      <c r="C12" s="225"/>
      <c r="D12" s="230"/>
      <c r="E12" s="231"/>
      <c r="F12" s="219"/>
      <c r="G12" s="231"/>
      <c r="H12" s="219"/>
      <c r="I12" s="231"/>
      <c r="J12" s="219"/>
      <c r="K12" s="205"/>
    </row>
    <row r="13" spans="1:11" ht="15.75">
      <c r="A13" s="232"/>
      <c r="B13" s="233"/>
      <c r="C13" s="234"/>
      <c r="D13" s="230"/>
      <c r="E13" s="234"/>
      <c r="F13" s="219"/>
      <c r="G13" s="234"/>
      <c r="H13" s="219"/>
      <c r="I13" s="228"/>
      <c r="J13" s="219"/>
      <c r="K13" s="205"/>
    </row>
    <row r="14" spans="1:11" ht="15.75">
      <c r="A14" s="225"/>
      <c r="B14" s="219"/>
      <c r="C14" s="231"/>
      <c r="D14" s="230"/>
      <c r="E14" s="231"/>
      <c r="F14" s="219"/>
      <c r="G14" s="231"/>
      <c r="H14" s="219"/>
      <c r="I14" s="231"/>
      <c r="J14" s="219"/>
      <c r="K14" s="205"/>
    </row>
    <row r="15" spans="1:11" ht="15.75">
      <c r="A15" s="225"/>
      <c r="B15" s="219"/>
      <c r="C15" s="231"/>
      <c r="D15" s="230"/>
      <c r="E15" s="231"/>
      <c r="F15" s="219"/>
      <c r="G15" s="231"/>
      <c r="H15" s="219"/>
      <c r="I15" s="231"/>
      <c r="J15" s="219"/>
      <c r="K15" s="205"/>
    </row>
    <row r="16" spans="1:11" ht="15.75">
      <c r="A16" s="225"/>
      <c r="B16" s="233"/>
      <c r="C16" s="225"/>
      <c r="D16" s="230"/>
      <c r="E16" s="225"/>
      <c r="F16" s="219"/>
      <c r="G16" s="231"/>
      <c r="H16" s="219"/>
      <c r="I16" s="225"/>
      <c r="J16" s="219"/>
      <c r="K16" s="205"/>
    </row>
    <row r="17" spans="1:11" ht="15.75">
      <c r="A17" s="222" t="s">
        <v>22</v>
      </c>
      <c r="B17" s="221">
        <f>SUM(B9:B16)</f>
        <v>0</v>
      </c>
      <c r="C17" s="222" t="s">
        <v>22</v>
      </c>
      <c r="D17" s="221">
        <f>SUM(D9:D16)</f>
        <v>0</v>
      </c>
      <c r="E17" s="222" t="s">
        <v>22</v>
      </c>
      <c r="F17" s="235">
        <f>SUM(F9:F16)</f>
        <v>0</v>
      </c>
      <c r="G17" s="222" t="s">
        <v>22</v>
      </c>
      <c r="H17" s="221">
        <f>SUM(H9:H16)</f>
        <v>0</v>
      </c>
      <c r="I17" s="222" t="s">
        <v>22</v>
      </c>
      <c r="J17" s="221">
        <f>SUM(J9:J16)</f>
        <v>0</v>
      </c>
      <c r="K17" s="221">
        <f>SUM(B17+D17+F17+H17+J17)</f>
        <v>0</v>
      </c>
    </row>
    <row r="18" spans="1:11" ht="15.75">
      <c r="A18" s="222" t="s">
        <v>23</v>
      </c>
      <c r="B18" s="221">
        <f>SUM(B7+B17)</f>
        <v>0</v>
      </c>
      <c r="C18" s="222" t="s">
        <v>23</v>
      </c>
      <c r="D18" s="221">
        <f>SUM(D7+D17)</f>
        <v>0</v>
      </c>
      <c r="E18" s="222" t="s">
        <v>23</v>
      </c>
      <c r="F18" s="221">
        <f>SUM(F7+F17)</f>
        <v>0</v>
      </c>
      <c r="G18" s="222" t="s">
        <v>23</v>
      </c>
      <c r="H18" s="221">
        <f>SUM(H7+H17)</f>
        <v>0</v>
      </c>
      <c r="I18" s="222" t="s">
        <v>23</v>
      </c>
      <c r="J18" s="221">
        <f>SUM(J7+J17)</f>
        <v>0</v>
      </c>
      <c r="K18" s="221">
        <f>SUM(B18+D18+F18+H18+J18)</f>
        <v>0</v>
      </c>
    </row>
    <row r="19" spans="1:11" ht="15.75">
      <c r="A19" s="222" t="s">
        <v>24</v>
      </c>
      <c r="B19" s="223"/>
      <c r="C19" s="222" t="s">
        <v>24</v>
      </c>
      <c r="D19" s="224"/>
      <c r="E19" s="222" t="s">
        <v>24</v>
      </c>
      <c r="F19" s="205"/>
      <c r="G19" s="222" t="s">
        <v>24</v>
      </c>
      <c r="H19" s="206"/>
      <c r="I19" s="222" t="s">
        <v>24</v>
      </c>
      <c r="J19" s="206"/>
      <c r="K19" s="205"/>
    </row>
    <row r="20" spans="1:11" ht="15.75">
      <c r="A20" s="225"/>
      <c r="B20" s="219"/>
      <c r="C20" s="231"/>
      <c r="D20" s="219"/>
      <c r="E20" s="231"/>
      <c r="F20" s="219"/>
      <c r="G20" s="231"/>
      <c r="H20" s="219"/>
      <c r="I20" s="231"/>
      <c r="J20" s="219"/>
      <c r="K20" s="205"/>
    </row>
    <row r="21" spans="1:11" ht="15.75">
      <c r="A21" s="225"/>
      <c r="B21" s="219"/>
      <c r="C21" s="231"/>
      <c r="D21" s="219"/>
      <c r="E21" s="231"/>
      <c r="F21" s="219"/>
      <c r="G21" s="231"/>
      <c r="H21" s="219"/>
      <c r="I21" s="231"/>
      <c r="J21" s="219"/>
      <c r="K21" s="205"/>
    </row>
    <row r="22" spans="1:11" ht="15.75">
      <c r="A22" s="225"/>
      <c r="B22" s="219"/>
      <c r="C22" s="234"/>
      <c r="D22" s="219"/>
      <c r="E22" s="234"/>
      <c r="F22" s="219"/>
      <c r="G22" s="234"/>
      <c r="H22" s="219"/>
      <c r="I22" s="228"/>
      <c r="J22" s="219"/>
      <c r="K22" s="205"/>
    </row>
    <row r="23" spans="1:11" ht="15.75">
      <c r="A23" s="225"/>
      <c r="B23" s="219"/>
      <c r="C23" s="231"/>
      <c r="D23" s="219"/>
      <c r="E23" s="231"/>
      <c r="F23" s="219"/>
      <c r="G23" s="231"/>
      <c r="H23" s="219"/>
      <c r="I23" s="231"/>
      <c r="J23" s="219"/>
      <c r="K23" s="205"/>
    </row>
    <row r="24" spans="1:11" ht="15.75">
      <c r="A24" s="225"/>
      <c r="B24" s="219"/>
      <c r="C24" s="234"/>
      <c r="D24" s="219"/>
      <c r="E24" s="234"/>
      <c r="F24" s="219"/>
      <c r="G24" s="234"/>
      <c r="H24" s="219"/>
      <c r="I24" s="228"/>
      <c r="J24" s="219"/>
      <c r="K24" s="205"/>
    </row>
    <row r="25" spans="1:11" ht="15.75">
      <c r="A25" s="225"/>
      <c r="B25" s="219"/>
      <c r="C25" s="231"/>
      <c r="D25" s="219"/>
      <c r="E25" s="231"/>
      <c r="F25" s="219"/>
      <c r="G25" s="231"/>
      <c r="H25" s="219"/>
      <c r="I25" s="231"/>
      <c r="J25" s="219"/>
      <c r="K25" s="205"/>
    </row>
    <row r="26" spans="1:11" ht="15.75">
      <c r="A26" s="225"/>
      <c r="B26" s="219"/>
      <c r="C26" s="231"/>
      <c r="D26" s="219"/>
      <c r="E26" s="231"/>
      <c r="F26" s="219"/>
      <c r="G26" s="231"/>
      <c r="H26" s="219"/>
      <c r="I26" s="231"/>
      <c r="J26" s="219"/>
      <c r="K26" s="205"/>
    </row>
    <row r="27" spans="1:11" ht="15.75">
      <c r="A27" s="225"/>
      <c r="B27" s="219"/>
      <c r="C27" s="225"/>
      <c r="D27" s="219"/>
      <c r="E27" s="225"/>
      <c r="F27" s="219"/>
      <c r="G27" s="231"/>
      <c r="H27" s="219"/>
      <c r="I27" s="231"/>
      <c r="J27" s="219"/>
      <c r="K27" s="205"/>
    </row>
    <row r="28" spans="1:11" ht="15.75">
      <c r="A28" s="222" t="s">
        <v>25</v>
      </c>
      <c r="B28" s="221">
        <f>SUM(B20:B27)</f>
        <v>0</v>
      </c>
      <c r="C28" s="222" t="s">
        <v>25</v>
      </c>
      <c r="D28" s="221">
        <f>SUM(D20:D27)</f>
        <v>0</v>
      </c>
      <c r="E28" s="222" t="s">
        <v>25</v>
      </c>
      <c r="F28" s="235">
        <f>SUM(F20:F27)</f>
        <v>0</v>
      </c>
      <c r="G28" s="222" t="s">
        <v>25</v>
      </c>
      <c r="H28" s="235">
        <f>SUM(H20:H27)</f>
        <v>0</v>
      </c>
      <c r="I28" s="222" t="s">
        <v>25</v>
      </c>
      <c r="J28" s="221">
        <f>SUM(J20:J27)</f>
        <v>0</v>
      </c>
      <c r="K28" s="221">
        <f>SUM(B28+D28+F28+H28+J28)</f>
        <v>0</v>
      </c>
    </row>
    <row r="29" spans="1:12" ht="15.75">
      <c r="A29" s="222" t="s">
        <v>218</v>
      </c>
      <c r="B29" s="221">
        <f>SUM(B18-B28)</f>
        <v>0</v>
      </c>
      <c r="C29" s="222" t="s">
        <v>218</v>
      </c>
      <c r="D29" s="221">
        <f>SUM(D18-D28)</f>
        <v>0</v>
      </c>
      <c r="E29" s="222" t="s">
        <v>218</v>
      </c>
      <c r="F29" s="221">
        <f>SUM(F18-F28)</f>
        <v>0</v>
      </c>
      <c r="G29" s="222" t="s">
        <v>218</v>
      </c>
      <c r="H29" s="221">
        <f>SUM(H18-H28)</f>
        <v>0</v>
      </c>
      <c r="I29" s="222" t="s">
        <v>218</v>
      </c>
      <c r="J29" s="221">
        <f>SUM(J18-J28)</f>
        <v>0</v>
      </c>
      <c r="K29" s="236">
        <f>SUM(B29+D29+F29+H29+J29)</f>
        <v>0</v>
      </c>
      <c r="L29" s="208" t="s">
        <v>219</v>
      </c>
    </row>
    <row r="30" spans="1:12" ht="15.75">
      <c r="A30" s="222"/>
      <c r="B30" s="237">
        <f>IF(B29&lt;0,"See Tab B","")</f>
      </c>
      <c r="C30" s="222"/>
      <c r="D30" s="237">
        <f>IF(D29&lt;0,"See Tab B","")</f>
      </c>
      <c r="E30" s="222"/>
      <c r="F30" s="237">
        <f>IF(F29&lt;0,"See Tab B","")</f>
      </c>
      <c r="G30" s="206"/>
      <c r="H30" s="237">
        <f>IF(H29&lt;0,"See Tab B","")</f>
      </c>
      <c r="I30" s="206"/>
      <c r="J30" s="237">
        <f>IF(J29&lt;0,"See Tab B","")</f>
      </c>
      <c r="K30" s="236">
        <f>SUM(K7+K17-K28)</f>
        <v>0</v>
      </c>
      <c r="L30" s="208" t="s">
        <v>219</v>
      </c>
    </row>
    <row r="31" spans="1:11" ht="15.75">
      <c r="A31" s="206"/>
      <c r="B31" s="238"/>
      <c r="C31" s="206"/>
      <c r="D31" s="205"/>
      <c r="E31" s="206"/>
      <c r="F31" s="206"/>
      <c r="G31" s="239" t="s">
        <v>220</v>
      </c>
      <c r="H31" s="239"/>
      <c r="I31" s="239"/>
      <c r="J31" s="239"/>
      <c r="K31" s="206"/>
    </row>
    <row r="32" spans="1:11" ht="15.75">
      <c r="A32" s="206"/>
      <c r="B32" s="238"/>
      <c r="C32" s="206"/>
      <c r="D32" s="206"/>
      <c r="E32" s="206"/>
      <c r="F32" s="206"/>
      <c r="G32" s="206"/>
      <c r="H32" s="206"/>
      <c r="I32" s="206"/>
      <c r="J32" s="206"/>
      <c r="K32" s="206"/>
    </row>
    <row r="33" spans="1:11" ht="15.75">
      <c r="A33" s="206"/>
      <c r="B33" s="238"/>
      <c r="C33" s="206"/>
      <c r="D33" s="206"/>
      <c r="E33" s="240" t="s">
        <v>136</v>
      </c>
      <c r="F33" s="241"/>
      <c r="G33" s="206"/>
      <c r="H33" s="206"/>
      <c r="I33" s="206"/>
      <c r="J33" s="206"/>
      <c r="K33" s="206"/>
    </row>
    <row r="34" ht="15.75">
      <c r="B34" s="242"/>
    </row>
    <row r="35" ht="15.75">
      <c r="B35" s="242"/>
    </row>
    <row r="36" ht="15.75">
      <c r="B36" s="242"/>
    </row>
    <row r="37" ht="15.75">
      <c r="B37" s="242"/>
    </row>
    <row r="38" ht="15.75">
      <c r="B38" s="242"/>
    </row>
    <row r="39" ht="15.75">
      <c r="B39" s="242"/>
    </row>
    <row r="40" ht="15.75">
      <c r="B40" s="242"/>
    </row>
    <row r="41" ht="15.75">
      <c r="B41" s="242"/>
    </row>
  </sheetData>
  <sheetProtection sheet="1" objects="1" scenarios="1"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6384" width="9.140625" style="3" customWidth="1"/>
  </cols>
  <sheetData>
    <row r="1" spans="1:9" ht="15.75">
      <c r="A1" s="341" t="s">
        <v>99</v>
      </c>
      <c r="B1" s="341"/>
      <c r="C1" s="341"/>
      <c r="D1" s="341"/>
      <c r="E1" s="341"/>
      <c r="F1" s="341"/>
      <c r="G1" s="341"/>
      <c r="H1" s="341"/>
      <c r="I1" s="341"/>
    </row>
    <row r="3" spans="1:9" ht="15.75">
      <c r="A3" s="340" t="s">
        <v>336</v>
      </c>
      <c r="B3" s="340"/>
      <c r="C3" s="340"/>
      <c r="D3" s="340"/>
      <c r="E3" s="340"/>
      <c r="F3" s="340"/>
      <c r="G3" s="340"/>
      <c r="H3" s="340"/>
      <c r="I3" s="340"/>
    </row>
    <row r="4" spans="5:7" ht="15.75">
      <c r="E4" s="164"/>
      <c r="F4" s="164"/>
      <c r="G4" s="164"/>
    </row>
    <row r="5" ht="15.75">
      <c r="A5" s="23" t="s">
        <v>339</v>
      </c>
    </row>
    <row r="6" ht="15.75">
      <c r="A6" s="23" t="s">
        <v>340</v>
      </c>
    </row>
    <row r="9" ht="15.75">
      <c r="A9" s="3" t="s">
        <v>168</v>
      </c>
    </row>
    <row r="10" ht="15.75">
      <c r="A10" s="23" t="s">
        <v>341</v>
      </c>
    </row>
    <row r="11" ht="15.75">
      <c r="A11" s="3" t="s">
        <v>100</v>
      </c>
    </row>
    <row r="12" ht="15.75">
      <c r="A12" s="3" t="s">
        <v>101</v>
      </c>
    </row>
    <row r="13" ht="15.75">
      <c r="A13" s="3" t="s">
        <v>102</v>
      </c>
    </row>
    <row r="14" ht="15.75">
      <c r="A14" s="3" t="s">
        <v>103</v>
      </c>
    </row>
    <row r="15" ht="15.75">
      <c r="A15" s="3" t="s">
        <v>104</v>
      </c>
    </row>
    <row r="17" ht="15.75">
      <c r="A17" s="3" t="s">
        <v>169</v>
      </c>
    </row>
    <row r="18" ht="15.75">
      <c r="A18" s="3" t="s">
        <v>105</v>
      </c>
    </row>
    <row r="20" ht="15.75">
      <c r="A20" s="23" t="s">
        <v>342</v>
      </c>
    </row>
    <row r="22" ht="15.75">
      <c r="A22" s="3" t="s">
        <v>170</v>
      </c>
    </row>
    <row r="24" ht="15.75">
      <c r="A24" s="23" t="s">
        <v>343</v>
      </c>
    </row>
    <row r="25" ht="15.75">
      <c r="A25" s="23" t="s">
        <v>344</v>
      </c>
    </row>
    <row r="26" ht="15.75">
      <c r="A26" s="3" t="s">
        <v>106</v>
      </c>
    </row>
    <row r="28" ht="15.75">
      <c r="A28" s="23" t="s">
        <v>345</v>
      </c>
    </row>
    <row r="29" ht="15.75">
      <c r="A29" s="3" t="s">
        <v>107</v>
      </c>
    </row>
    <row r="32" ht="15.75">
      <c r="E32" s="23" t="s">
        <v>346</v>
      </c>
    </row>
    <row r="35" spans="5:8" ht="15.75">
      <c r="E35" s="165"/>
      <c r="F35" s="165"/>
      <c r="G35" s="165"/>
      <c r="H35" s="165"/>
    </row>
    <row r="36" ht="15.75">
      <c r="E36" s="3" t="s">
        <v>108</v>
      </c>
    </row>
    <row r="39" spans="5:8" ht="15.75">
      <c r="E39" s="165"/>
      <c r="F39" s="165"/>
      <c r="G39" s="165"/>
      <c r="H39" s="165"/>
    </row>
    <row r="40" ht="15.75">
      <c r="E40" s="3" t="s">
        <v>109</v>
      </c>
    </row>
    <row r="43" spans="5:8" ht="15.75">
      <c r="E43" s="165"/>
      <c r="F43" s="165"/>
      <c r="G43" s="165"/>
      <c r="H43" s="165"/>
    </row>
    <row r="44" ht="15.75">
      <c r="F44" s="3" t="s">
        <v>110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Footer>&amp;Lrevised 8/06/07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2" t="str">
        <f>input!F5</f>
        <v>Chautauqua County</v>
      </c>
      <c r="B1" s="72"/>
      <c r="C1" s="72"/>
      <c r="D1" s="72"/>
      <c r="E1" s="72"/>
      <c r="F1" s="72"/>
      <c r="G1" s="72">
        <f>input!F8</f>
        <v>2014</v>
      </c>
    </row>
    <row r="2" spans="1:7" ht="15.75">
      <c r="A2" s="1"/>
      <c r="B2" s="1"/>
      <c r="C2" s="2" t="s">
        <v>143</v>
      </c>
      <c r="D2" s="1"/>
      <c r="E2" s="1"/>
      <c r="F2" s="72"/>
      <c r="G2" s="72"/>
    </row>
    <row r="3" spans="1:7" ht="15.75">
      <c r="A3" s="130"/>
      <c r="B3" s="1"/>
      <c r="C3" s="2"/>
      <c r="D3" s="30"/>
      <c r="E3" s="30"/>
      <c r="F3" s="70"/>
      <c r="G3" s="72"/>
    </row>
    <row r="4" spans="1:7" ht="15.75">
      <c r="A4" s="1"/>
      <c r="B4" s="1"/>
      <c r="C4" s="1"/>
      <c r="D4" s="302" t="str">
        <f>CONCATENATE("",input!F8," Adopted Budget")</f>
        <v>2014 Adopted Budget</v>
      </c>
      <c r="E4" s="306"/>
      <c r="F4" s="306"/>
      <c r="G4" s="307"/>
    </row>
    <row r="5" spans="1:7" ht="19.5" customHeight="1">
      <c r="A5" s="1"/>
      <c r="B5" s="1"/>
      <c r="C5" s="9"/>
      <c r="D5" s="99"/>
      <c r="E5" s="148">
        <f>G1-1</f>
        <v>2013</v>
      </c>
      <c r="F5" s="302" t="s">
        <v>88</v>
      </c>
      <c r="G5" s="307"/>
    </row>
    <row r="6" spans="1:7" ht="32.25" customHeight="1">
      <c r="A6" s="11" t="s">
        <v>1</v>
      </c>
      <c r="B6" s="12"/>
      <c r="C6" s="140" t="s">
        <v>136</v>
      </c>
      <c r="D6" s="13" t="s">
        <v>3</v>
      </c>
      <c r="E6" s="149" t="s">
        <v>160</v>
      </c>
      <c r="F6" s="152" t="s">
        <v>164</v>
      </c>
      <c r="G6" s="151" t="s">
        <v>204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98"/>
    </row>
    <row r="8" spans="1:7" ht="15.75">
      <c r="A8" s="112"/>
      <c r="B8" s="137"/>
      <c r="C8" s="137"/>
      <c r="D8" s="137"/>
      <c r="E8" s="137"/>
      <c r="F8" s="18"/>
      <c r="G8" s="161" t="str">
        <f>IF(F8&gt;0,ROUND(E8/$F8*1000,3),"  ")</f>
        <v>  </v>
      </c>
    </row>
    <row r="9" spans="1:7" ht="15.75">
      <c r="A9" s="17"/>
      <c r="B9" s="137"/>
      <c r="C9" s="137"/>
      <c r="D9" s="137"/>
      <c r="E9" s="137"/>
      <c r="F9" s="18"/>
      <c r="G9" s="161" t="str">
        <f aca="true" t="shared" si="0" ref="G9:G36">IF(F9&gt;0,ROUND(E9/$F9*1000,3),"  ")</f>
        <v>  </v>
      </c>
    </row>
    <row r="10" spans="1:7" ht="15.75">
      <c r="A10" s="17"/>
      <c r="B10" s="137"/>
      <c r="C10" s="137"/>
      <c r="D10" s="137"/>
      <c r="E10" s="137"/>
      <c r="F10" s="18"/>
      <c r="G10" s="161" t="str">
        <f t="shared" si="0"/>
        <v>  </v>
      </c>
    </row>
    <row r="11" spans="1:7" ht="15.75">
      <c r="A11" s="17"/>
      <c r="B11" s="137"/>
      <c r="C11" s="137"/>
      <c r="D11" s="137"/>
      <c r="E11" s="137"/>
      <c r="F11" s="18"/>
      <c r="G11" s="161" t="str">
        <f t="shared" si="0"/>
        <v>  </v>
      </c>
    </row>
    <row r="12" spans="1:7" ht="15.75">
      <c r="A12" s="17"/>
      <c r="B12" s="137"/>
      <c r="C12" s="137"/>
      <c r="D12" s="137"/>
      <c r="E12" s="137"/>
      <c r="F12" s="18"/>
      <c r="G12" s="161" t="str">
        <f t="shared" si="0"/>
        <v>  </v>
      </c>
    </row>
    <row r="13" spans="1:7" ht="15.75">
      <c r="A13" s="17"/>
      <c r="B13" s="137"/>
      <c r="C13" s="137"/>
      <c r="D13" s="137"/>
      <c r="E13" s="137"/>
      <c r="F13" s="18"/>
      <c r="G13" s="161" t="str">
        <f t="shared" si="0"/>
        <v>  </v>
      </c>
    </row>
    <row r="14" spans="1:7" ht="15.75">
      <c r="A14" s="17"/>
      <c r="B14" s="137"/>
      <c r="C14" s="137"/>
      <c r="D14" s="137"/>
      <c r="E14" s="137"/>
      <c r="F14" s="18"/>
      <c r="G14" s="161" t="str">
        <f t="shared" si="0"/>
        <v>  </v>
      </c>
    </row>
    <row r="15" spans="1:7" ht="15.75">
      <c r="A15" s="17"/>
      <c r="B15" s="137"/>
      <c r="C15" s="137"/>
      <c r="D15" s="137"/>
      <c r="E15" s="137"/>
      <c r="F15" s="18"/>
      <c r="G15" s="161" t="str">
        <f t="shared" si="0"/>
        <v>  </v>
      </c>
    </row>
    <row r="16" spans="1:7" ht="15.75">
      <c r="A16" s="17"/>
      <c r="B16" s="137"/>
      <c r="C16" s="137"/>
      <c r="D16" s="137"/>
      <c r="E16" s="137"/>
      <c r="F16" s="18"/>
      <c r="G16" s="161" t="str">
        <f t="shared" si="0"/>
        <v>  </v>
      </c>
    </row>
    <row r="17" spans="1:7" ht="15.75">
      <c r="A17" s="17"/>
      <c r="B17" s="137"/>
      <c r="C17" s="137"/>
      <c r="D17" s="137"/>
      <c r="E17" s="137"/>
      <c r="F17" s="18"/>
      <c r="G17" s="161" t="str">
        <f t="shared" si="0"/>
        <v>  </v>
      </c>
    </row>
    <row r="18" spans="1:7" ht="15.75">
      <c r="A18" s="17"/>
      <c r="B18" s="137"/>
      <c r="C18" s="137"/>
      <c r="D18" s="137"/>
      <c r="E18" s="137"/>
      <c r="F18" s="18"/>
      <c r="G18" s="161" t="str">
        <f t="shared" si="0"/>
        <v>  </v>
      </c>
    </row>
    <row r="19" spans="1:7" ht="15.75">
      <c r="A19" s="17"/>
      <c r="B19" s="137"/>
      <c r="C19" s="137"/>
      <c r="D19" s="137"/>
      <c r="E19" s="137"/>
      <c r="F19" s="18"/>
      <c r="G19" s="161" t="str">
        <f t="shared" si="0"/>
        <v>  </v>
      </c>
    </row>
    <row r="20" spans="1:7" ht="15.75">
      <c r="A20" s="17"/>
      <c r="B20" s="137"/>
      <c r="C20" s="137"/>
      <c r="D20" s="137"/>
      <c r="E20" s="137"/>
      <c r="F20" s="18"/>
      <c r="G20" s="161" t="str">
        <f t="shared" si="0"/>
        <v>  </v>
      </c>
    </row>
    <row r="21" spans="1:7" ht="15.75">
      <c r="A21" s="17"/>
      <c r="B21" s="137"/>
      <c r="C21" s="137"/>
      <c r="D21" s="137"/>
      <c r="E21" s="137"/>
      <c r="F21" s="18"/>
      <c r="G21" s="161" t="str">
        <f t="shared" si="0"/>
        <v>  </v>
      </c>
    </row>
    <row r="22" spans="1:7" ht="15.75">
      <c r="A22" s="17"/>
      <c r="B22" s="137"/>
      <c r="C22" s="137"/>
      <c r="D22" s="137"/>
      <c r="E22" s="137"/>
      <c r="F22" s="18"/>
      <c r="G22" s="161" t="str">
        <f t="shared" si="0"/>
        <v>  </v>
      </c>
    </row>
    <row r="23" spans="1:7" ht="15.75">
      <c r="A23" s="17"/>
      <c r="B23" s="137"/>
      <c r="C23" s="137"/>
      <c r="D23" s="137"/>
      <c r="E23" s="137"/>
      <c r="F23" s="18"/>
      <c r="G23" s="161" t="str">
        <f t="shared" si="0"/>
        <v>  </v>
      </c>
    </row>
    <row r="24" spans="1:7" ht="15.75">
      <c r="A24" s="17"/>
      <c r="B24" s="137"/>
      <c r="C24" s="137"/>
      <c r="D24" s="137"/>
      <c r="E24" s="137"/>
      <c r="F24" s="18"/>
      <c r="G24" s="161" t="str">
        <f t="shared" si="0"/>
        <v>  </v>
      </c>
    </row>
    <row r="25" spans="1:7" ht="15.75">
      <c r="A25" s="17"/>
      <c r="B25" s="137"/>
      <c r="C25" s="137"/>
      <c r="D25" s="137"/>
      <c r="E25" s="137"/>
      <c r="F25" s="18"/>
      <c r="G25" s="161" t="str">
        <f t="shared" si="0"/>
        <v>  </v>
      </c>
    </row>
    <row r="26" spans="1:7" ht="15.75">
      <c r="A26" s="17"/>
      <c r="B26" s="137"/>
      <c r="C26" s="137"/>
      <c r="D26" s="137"/>
      <c r="E26" s="137"/>
      <c r="F26" s="18"/>
      <c r="G26" s="161" t="str">
        <f t="shared" si="0"/>
        <v>  </v>
      </c>
    </row>
    <row r="27" spans="1:7" ht="15.75">
      <c r="A27" s="17"/>
      <c r="B27" s="138"/>
      <c r="C27" s="137"/>
      <c r="D27" s="137"/>
      <c r="E27" s="138"/>
      <c r="F27" s="18"/>
      <c r="G27" s="161" t="str">
        <f t="shared" si="0"/>
        <v>  </v>
      </c>
    </row>
    <row r="28" spans="1:7" ht="15.75">
      <c r="A28" s="17"/>
      <c r="B28" s="138"/>
      <c r="C28" s="137"/>
      <c r="D28" s="137"/>
      <c r="E28" s="138"/>
      <c r="F28" s="18"/>
      <c r="G28" s="161" t="str">
        <f t="shared" si="0"/>
        <v>  </v>
      </c>
    </row>
    <row r="29" spans="1:7" ht="15.75">
      <c r="A29" s="17"/>
      <c r="B29" s="138"/>
      <c r="C29" s="137"/>
      <c r="D29" s="137"/>
      <c r="E29" s="138"/>
      <c r="F29" s="18"/>
      <c r="G29" s="161" t="str">
        <f t="shared" si="0"/>
        <v>  </v>
      </c>
    </row>
    <row r="30" spans="1:7" ht="15.75">
      <c r="A30" s="17"/>
      <c r="B30" s="138"/>
      <c r="C30" s="137"/>
      <c r="D30" s="137"/>
      <c r="E30" s="138"/>
      <c r="F30" s="18"/>
      <c r="G30" s="161" t="str">
        <f t="shared" si="0"/>
        <v>  </v>
      </c>
    </row>
    <row r="31" spans="1:7" ht="15.75">
      <c r="A31" s="17"/>
      <c r="B31" s="138"/>
      <c r="C31" s="137"/>
      <c r="D31" s="137"/>
      <c r="E31" s="138"/>
      <c r="F31" s="18"/>
      <c r="G31" s="161" t="str">
        <f t="shared" si="0"/>
        <v>  </v>
      </c>
    </row>
    <row r="32" spans="1:7" ht="15.75">
      <c r="A32" s="17"/>
      <c r="B32" s="138"/>
      <c r="C32" s="137"/>
      <c r="D32" s="137"/>
      <c r="E32" s="138"/>
      <c r="F32" s="18"/>
      <c r="G32" s="161" t="str">
        <f t="shared" si="0"/>
        <v>  </v>
      </c>
    </row>
    <row r="33" spans="1:7" ht="15.75">
      <c r="A33" s="17"/>
      <c r="B33" s="138"/>
      <c r="C33" s="137"/>
      <c r="D33" s="137"/>
      <c r="E33" s="138"/>
      <c r="F33" s="18"/>
      <c r="G33" s="161" t="str">
        <f t="shared" si="0"/>
        <v>  </v>
      </c>
    </row>
    <row r="34" spans="1:7" ht="15.75">
      <c r="A34" s="17"/>
      <c r="B34" s="138"/>
      <c r="C34" s="137"/>
      <c r="D34" s="137"/>
      <c r="E34" s="138"/>
      <c r="F34" s="18"/>
      <c r="G34" s="161" t="str">
        <f t="shared" si="0"/>
        <v>  </v>
      </c>
    </row>
    <row r="35" spans="1:7" ht="15.75">
      <c r="A35" s="17"/>
      <c r="B35" s="138"/>
      <c r="C35" s="137"/>
      <c r="D35" s="137"/>
      <c r="E35" s="138"/>
      <c r="F35" s="18"/>
      <c r="G35" s="161" t="str">
        <f t="shared" si="0"/>
        <v>  </v>
      </c>
    </row>
    <row r="36" spans="1:7" ht="15.75">
      <c r="A36" s="17"/>
      <c r="B36" s="138"/>
      <c r="C36" s="137"/>
      <c r="D36" s="137"/>
      <c r="E36" s="138"/>
      <c r="F36" s="18"/>
      <c r="G36" s="161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2"/>
    </row>
    <row r="38" spans="1:7" ht="15.75">
      <c r="A38" s="176" t="s">
        <v>205</v>
      </c>
      <c r="B38" s="176"/>
      <c r="C38" s="176"/>
      <c r="D38" s="176"/>
      <c r="E38" s="176"/>
      <c r="F38" s="176"/>
      <c r="G38" s="177"/>
    </row>
    <row r="39" spans="1:7" ht="15.75">
      <c r="A39" s="141"/>
      <c r="B39" s="26" t="s">
        <v>37</v>
      </c>
      <c r="C39" s="56">
        <v>32</v>
      </c>
      <c r="D39" s="141"/>
      <c r="E39" s="141"/>
      <c r="F39" s="141"/>
      <c r="G39" s="72"/>
    </row>
    <row r="40" spans="1:7" ht="15.75">
      <c r="A40" s="141"/>
      <c r="B40" s="141"/>
      <c r="C40" s="141"/>
      <c r="D40" s="141"/>
      <c r="E40" s="141"/>
      <c r="F40" s="141"/>
      <c r="G40" s="72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39"/>
      <c r="B42" s="139"/>
      <c r="C42" s="139"/>
      <c r="D42" s="139"/>
      <c r="E42" s="139"/>
      <c r="F42" s="139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421875" style="0" customWidth="1"/>
  </cols>
  <sheetData>
    <row r="1" spans="1:9" ht="15.75">
      <c r="A1" s="3"/>
      <c r="B1" s="169"/>
      <c r="C1" s="3"/>
      <c r="D1" s="3"/>
      <c r="E1" s="3"/>
      <c r="F1" s="3"/>
      <c r="G1" s="3"/>
      <c r="H1" s="3"/>
      <c r="I1" s="3"/>
    </row>
    <row r="2" spans="1:9" ht="15.75">
      <c r="A2" s="168" t="s">
        <v>224</v>
      </c>
      <c r="B2" s="169"/>
      <c r="C2" s="3"/>
      <c r="D2" s="3"/>
      <c r="E2" s="3"/>
      <c r="F2" s="3"/>
      <c r="G2" s="3"/>
      <c r="H2" s="3"/>
      <c r="I2" s="3"/>
    </row>
    <row r="3" spans="1:9" ht="15.75">
      <c r="A3" s="3" t="s">
        <v>225</v>
      </c>
      <c r="B3" s="169"/>
      <c r="C3" s="3"/>
      <c r="D3" s="3"/>
      <c r="E3" s="3"/>
      <c r="F3" s="3"/>
      <c r="G3" s="3"/>
      <c r="H3" s="3"/>
      <c r="I3" s="3"/>
    </row>
    <row r="4" spans="1:9" ht="15.75">
      <c r="A4" s="3" t="s">
        <v>226</v>
      </c>
      <c r="B4" s="169"/>
      <c r="C4" s="3"/>
      <c r="D4" s="3"/>
      <c r="E4" s="3"/>
      <c r="F4" s="3"/>
      <c r="G4" s="3"/>
      <c r="H4" s="3"/>
      <c r="I4" s="3"/>
    </row>
    <row r="5" spans="1:9" ht="15.75">
      <c r="A5" s="3" t="s">
        <v>284</v>
      </c>
      <c r="B5" s="169"/>
      <c r="C5" s="3"/>
      <c r="D5" s="3"/>
      <c r="E5" s="3"/>
      <c r="F5" s="3"/>
      <c r="G5" s="3"/>
      <c r="H5" s="3"/>
      <c r="I5" s="3"/>
    </row>
    <row r="6" spans="1:9" ht="15.75">
      <c r="A6" s="3" t="s">
        <v>285</v>
      </c>
      <c r="B6" s="169"/>
      <c r="C6" s="3"/>
      <c r="D6" s="3"/>
      <c r="E6" s="3"/>
      <c r="F6" s="3"/>
      <c r="G6" s="3"/>
      <c r="H6" s="3"/>
      <c r="I6" s="3"/>
    </row>
    <row r="7" spans="1:9" ht="15.75">
      <c r="A7" s="3" t="s">
        <v>286</v>
      </c>
      <c r="B7" s="169"/>
      <c r="C7" s="3"/>
      <c r="D7" s="3"/>
      <c r="E7" s="3"/>
      <c r="F7" s="3"/>
      <c r="G7" s="3"/>
      <c r="H7" s="3"/>
      <c r="I7" s="3"/>
    </row>
    <row r="8" spans="1:9" ht="15.75">
      <c r="A8" s="3" t="s">
        <v>287</v>
      </c>
      <c r="B8" s="169"/>
      <c r="C8" s="3"/>
      <c r="D8" s="3"/>
      <c r="E8" s="3"/>
      <c r="F8" s="3"/>
      <c r="G8" s="3"/>
      <c r="H8" s="3"/>
      <c r="I8" s="3"/>
    </row>
    <row r="9" spans="1:9" ht="15.75">
      <c r="A9" s="3" t="s">
        <v>288</v>
      </c>
      <c r="B9" s="169"/>
      <c r="C9" s="3"/>
      <c r="D9" s="3"/>
      <c r="E9" s="3"/>
      <c r="F9" s="3"/>
      <c r="G9" s="3"/>
      <c r="H9" s="3"/>
      <c r="I9" s="3"/>
    </row>
    <row r="10" spans="1:9" ht="15.75">
      <c r="A10" s="3"/>
      <c r="B10" s="169"/>
      <c r="C10" s="3"/>
      <c r="D10" s="3"/>
      <c r="E10" s="3"/>
      <c r="F10" s="3"/>
      <c r="G10" s="3"/>
      <c r="H10" s="3"/>
      <c r="I10" s="3"/>
    </row>
    <row r="11" spans="1:9" ht="15.75">
      <c r="A11" s="168" t="s">
        <v>191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199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3" t="s">
        <v>192</v>
      </c>
      <c r="B13" s="3"/>
      <c r="C13" s="3"/>
      <c r="D13" s="3"/>
      <c r="E13" s="3"/>
      <c r="F13" s="3"/>
      <c r="G13" s="3"/>
      <c r="H13" s="3"/>
      <c r="I13" s="3"/>
    </row>
    <row r="14" spans="1:9" ht="15.75">
      <c r="A14" s="3" t="s">
        <v>193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194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 t="s">
        <v>196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3" t="s">
        <v>195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3" t="s">
        <v>197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3" t="s">
        <v>198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3" t="s">
        <v>200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3" t="s">
        <v>201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3" t="s">
        <v>202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3" t="s">
        <v>206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3" t="s">
        <v>207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3"/>
      <c r="B25" s="3"/>
      <c r="C25" s="3"/>
      <c r="D25" s="3"/>
      <c r="E25" s="3"/>
      <c r="F25" s="3"/>
      <c r="G25" s="3"/>
      <c r="H25" s="3"/>
      <c r="I25" s="3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86" zoomScaleNormal="86" zoomScalePageLayoutView="0" workbookViewId="0" topLeftCell="A1">
      <selection activeCell="F5" sqref="F5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2014</v>
      </c>
    </row>
    <row r="2" spans="1:6" ht="15.75">
      <c r="A2" s="1" t="s">
        <v>38</v>
      </c>
      <c r="B2" s="1"/>
      <c r="C2" s="110" t="str">
        <f>input!$F$5</f>
        <v>Chautauqua County</v>
      </c>
      <c r="D2" s="111"/>
      <c r="E2" s="1"/>
      <c r="F2" s="1"/>
    </row>
    <row r="3" spans="1:6" ht="15.75">
      <c r="A3" s="26" t="s">
        <v>8</v>
      </c>
      <c r="B3" s="26"/>
      <c r="C3" s="246" t="str">
        <f>cert2!A11</f>
        <v>Peru Cemetery # 2</v>
      </c>
      <c r="D3" s="247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6" t="s">
        <v>119</v>
      </c>
      <c r="B8" s="27"/>
      <c r="C8" s="95"/>
      <c r="D8" s="34" t="str">
        <f>CONCATENATE("Actual ",$F$1-2,"")</f>
        <v>Actual 2012</v>
      </c>
      <c r="E8" s="34" t="str">
        <f>CONCATENATE("Estimate ",$F$1-1,"")</f>
        <v>Estimate 2013</v>
      </c>
      <c r="F8" s="34" t="str">
        <f>CONCATENATE("Year ",$F$1,"")</f>
        <v>Year 2014</v>
      </c>
    </row>
    <row r="9" spans="1:6" ht="15.75">
      <c r="A9" s="35" t="s">
        <v>13</v>
      </c>
      <c r="B9" s="36"/>
      <c r="C9" s="199"/>
      <c r="D9" s="194">
        <v>1421</v>
      </c>
      <c r="E9" s="21">
        <f>+D33</f>
        <v>2889</v>
      </c>
      <c r="F9" s="21">
        <f>+E33</f>
        <v>1982</v>
      </c>
    </row>
    <row r="10" spans="1:6" ht="15.75">
      <c r="A10" s="197" t="s">
        <v>14</v>
      </c>
      <c r="B10" s="198"/>
      <c r="C10" s="199"/>
      <c r="D10" s="194">
        <v>5191</v>
      </c>
      <c r="E10" s="37">
        <f>+C48</f>
        <v>5765</v>
      </c>
      <c r="F10" s="20" t="s">
        <v>6</v>
      </c>
    </row>
    <row r="11" spans="1:6" ht="15.75">
      <c r="A11" s="35" t="s">
        <v>15</v>
      </c>
      <c r="B11" s="36"/>
      <c r="C11" s="199"/>
      <c r="D11" s="194">
        <v>260</v>
      </c>
      <c r="E11" s="37"/>
      <c r="F11" s="37"/>
    </row>
    <row r="12" spans="1:6" ht="15.75">
      <c r="A12" s="35" t="s">
        <v>16</v>
      </c>
      <c r="B12" s="36"/>
      <c r="C12" s="199"/>
      <c r="D12" s="194">
        <v>641</v>
      </c>
      <c r="E12" s="37">
        <v>563</v>
      </c>
      <c r="F12" s="21">
        <f>D48</f>
        <v>553</v>
      </c>
    </row>
    <row r="13" spans="1:6" ht="15.75">
      <c r="A13" s="35" t="s">
        <v>17</v>
      </c>
      <c r="B13" s="36"/>
      <c r="C13" s="199"/>
      <c r="D13" s="194">
        <v>15</v>
      </c>
      <c r="E13" s="37">
        <v>2</v>
      </c>
      <c r="F13" s="21">
        <f>E48</f>
        <v>10</v>
      </c>
    </row>
    <row r="14" spans="1:6" ht="15.75">
      <c r="A14" s="35" t="s">
        <v>86</v>
      </c>
      <c r="B14" s="36"/>
      <c r="C14" s="199"/>
      <c r="D14" s="194"/>
      <c r="E14" s="37">
        <v>57</v>
      </c>
      <c r="F14" s="21">
        <f>F48</f>
        <v>39</v>
      </c>
    </row>
    <row r="15" spans="1:6" ht="15.75">
      <c r="A15" s="35" t="s">
        <v>18</v>
      </c>
      <c r="B15" s="36"/>
      <c r="C15" s="199"/>
      <c r="D15" s="194"/>
      <c r="E15" s="37" t="s">
        <v>19</v>
      </c>
      <c r="F15" s="105"/>
    </row>
    <row r="16" spans="1:6" ht="15.75">
      <c r="A16" s="35"/>
      <c r="B16" s="36"/>
      <c r="C16" s="199"/>
      <c r="D16" s="194"/>
      <c r="E16" s="37"/>
      <c r="F16" s="105"/>
    </row>
    <row r="17" spans="1:6" ht="15.75">
      <c r="A17" s="38" t="s">
        <v>315</v>
      </c>
      <c r="B17" s="39"/>
      <c r="C17" s="200"/>
      <c r="D17" s="194">
        <v>260</v>
      </c>
      <c r="E17" s="37">
        <v>30</v>
      </c>
      <c r="F17" s="37" t="s">
        <v>19</v>
      </c>
    </row>
    <row r="18" spans="1:6" ht="15.75">
      <c r="A18" s="41"/>
      <c r="B18" s="42"/>
      <c r="C18" s="200"/>
      <c r="D18" s="194"/>
      <c r="E18" s="37"/>
      <c r="F18" s="37"/>
    </row>
    <row r="19" spans="1:6" ht="15.75">
      <c r="A19" s="41" t="s">
        <v>21</v>
      </c>
      <c r="B19" s="42"/>
      <c r="C19" s="200"/>
      <c r="D19" s="194"/>
      <c r="E19" s="37"/>
      <c r="F19" s="37"/>
    </row>
    <row r="20" spans="1:6" ht="15.75">
      <c r="A20" s="43" t="s">
        <v>22</v>
      </c>
      <c r="B20" s="36"/>
      <c r="C20" s="199"/>
      <c r="D20" s="195">
        <f>SUM(D10:D19)</f>
        <v>6367</v>
      </c>
      <c r="E20" s="181">
        <f>SUM(E10:E19)</f>
        <v>6417</v>
      </c>
      <c r="F20" s="181">
        <f>SUM(F10:F19)</f>
        <v>602</v>
      </c>
    </row>
    <row r="21" spans="1:6" ht="15.75">
      <c r="A21" s="43" t="s">
        <v>23</v>
      </c>
      <c r="B21" s="36"/>
      <c r="C21" s="199"/>
      <c r="D21" s="195">
        <f>+D9+D20</f>
        <v>7788</v>
      </c>
      <c r="E21" s="181">
        <f>+E9+E20</f>
        <v>9306</v>
      </c>
      <c r="F21" s="181">
        <f>+F9+F20</f>
        <v>2584</v>
      </c>
    </row>
    <row r="22" spans="1:6" ht="15.75">
      <c r="A22" s="35" t="s">
        <v>24</v>
      </c>
      <c r="B22" s="36"/>
      <c r="C22" s="199"/>
      <c r="D22" s="103"/>
      <c r="E22" s="21"/>
      <c r="F22" s="21"/>
    </row>
    <row r="23" spans="1:6" ht="15.75">
      <c r="A23" s="41" t="s">
        <v>306</v>
      </c>
      <c r="B23" s="39"/>
      <c r="C23" s="200"/>
      <c r="D23" s="194">
        <v>4780</v>
      </c>
      <c r="E23" s="37">
        <v>6000</v>
      </c>
      <c r="F23" s="37">
        <v>6000</v>
      </c>
    </row>
    <row r="24" spans="1:6" ht="15.75">
      <c r="A24" s="41" t="s">
        <v>307</v>
      </c>
      <c r="B24" s="39"/>
      <c r="C24" s="200"/>
      <c r="D24" s="194"/>
      <c r="E24" s="37"/>
      <c r="F24" s="37"/>
    </row>
    <row r="25" spans="1:6" ht="15.75">
      <c r="A25" s="41" t="s">
        <v>308</v>
      </c>
      <c r="B25" s="39"/>
      <c r="C25" s="200"/>
      <c r="D25" s="194"/>
      <c r="E25" s="37"/>
      <c r="F25" s="37"/>
    </row>
    <row r="26" spans="1:6" ht="15.75">
      <c r="A26" s="41" t="s">
        <v>309</v>
      </c>
      <c r="B26" s="39"/>
      <c r="C26" s="200"/>
      <c r="D26" s="194">
        <v>110</v>
      </c>
      <c r="E26" s="37">
        <v>200</v>
      </c>
      <c r="F26" s="37">
        <v>200</v>
      </c>
    </row>
    <row r="27" spans="1:6" ht="15.75">
      <c r="A27" s="38" t="s">
        <v>310</v>
      </c>
      <c r="B27" s="39"/>
      <c r="C27" s="200"/>
      <c r="D27" s="194"/>
      <c r="E27" s="37"/>
      <c r="F27" s="37"/>
    </row>
    <row r="28" spans="1:6" ht="15.75">
      <c r="A28" s="38" t="s">
        <v>311</v>
      </c>
      <c r="B28" s="39"/>
      <c r="C28" s="200"/>
      <c r="D28" s="194"/>
      <c r="E28" s="37">
        <v>824</v>
      </c>
      <c r="F28" s="37">
        <f>5777-4116</f>
        <v>1661</v>
      </c>
    </row>
    <row r="29" spans="1:6" ht="15.75">
      <c r="A29" s="38" t="s">
        <v>312</v>
      </c>
      <c r="B29" s="39"/>
      <c r="C29" s="200"/>
      <c r="D29" s="194">
        <v>9</v>
      </c>
      <c r="E29" s="37"/>
      <c r="F29" s="37"/>
    </row>
    <row r="30" spans="1:6" ht="15.75">
      <c r="A30" s="38" t="s">
        <v>313</v>
      </c>
      <c r="B30" s="39"/>
      <c r="C30" s="200"/>
      <c r="D30" s="194"/>
      <c r="E30" s="37">
        <v>300</v>
      </c>
      <c r="F30" s="37">
        <v>500</v>
      </c>
    </row>
    <row r="31" spans="1:6" ht="15.75">
      <c r="A31" s="38" t="s">
        <v>314</v>
      </c>
      <c r="B31" s="39"/>
      <c r="C31" s="200"/>
      <c r="D31" s="194"/>
      <c r="E31" s="37"/>
      <c r="F31" s="37"/>
    </row>
    <row r="32" spans="1:6" ht="15.75">
      <c r="A32" s="43" t="s">
        <v>25</v>
      </c>
      <c r="B32" s="36"/>
      <c r="C32" s="199"/>
      <c r="D32" s="195">
        <f>SUM(D23:D31)</f>
        <v>4899</v>
      </c>
      <c r="E32" s="181">
        <f>SUM(E23:E31)</f>
        <v>7324</v>
      </c>
      <c r="F32" s="181">
        <f>SUM(F23:F31)</f>
        <v>8361</v>
      </c>
    </row>
    <row r="33" spans="1:6" ht="15.75">
      <c r="A33" s="35" t="s">
        <v>26</v>
      </c>
      <c r="B33" s="36"/>
      <c r="C33" s="199"/>
      <c r="D33" s="188">
        <f>+D21-D32</f>
        <v>2889</v>
      </c>
      <c r="E33" s="182">
        <f>+E21-E32</f>
        <v>1982</v>
      </c>
      <c r="F33" s="20" t="s">
        <v>6</v>
      </c>
    </row>
    <row r="34" spans="1:7" ht="15.75">
      <c r="A34" s="1"/>
      <c r="B34" s="1"/>
      <c r="C34" s="1"/>
      <c r="D34" s="46"/>
      <c r="E34" s="47" t="s">
        <v>27</v>
      </c>
      <c r="F34" s="17"/>
      <c r="G34" s="192">
        <f>IF(F32/0.95-F32&lt;F34,"Exceeds 5%","")</f>
      </c>
    </row>
    <row r="35" spans="1:6" ht="15.75">
      <c r="A35" s="1"/>
      <c r="B35" s="26"/>
      <c r="C35" s="1"/>
      <c r="D35" s="46"/>
      <c r="E35" s="47" t="s">
        <v>28</v>
      </c>
      <c r="F35" s="162">
        <f>+F32+F34</f>
        <v>8361</v>
      </c>
    </row>
    <row r="36" spans="1:6" ht="15.75">
      <c r="A36" s="1"/>
      <c r="B36" s="1"/>
      <c r="C36" s="1"/>
      <c r="D36" s="1"/>
      <c r="E36" s="4" t="s">
        <v>29</v>
      </c>
      <c r="F36" s="162">
        <f>IF(F35-F21&gt;0,F35-F21,0)</f>
        <v>5777</v>
      </c>
    </row>
    <row r="37" spans="1:6" ht="15.75">
      <c r="A37" s="316" t="s">
        <v>166</v>
      </c>
      <c r="B37" s="317"/>
      <c r="C37" s="317"/>
      <c r="D37" s="317"/>
      <c r="E37" s="48"/>
      <c r="F37" s="162">
        <f>ROUND(IF(E37&gt;0,(F36*E37),0),0)</f>
        <v>0</v>
      </c>
    </row>
    <row r="38" spans="1:6" ht="15.75">
      <c r="A38" s="1"/>
      <c r="B38" s="1"/>
      <c r="C38" s="1"/>
      <c r="D38" s="1"/>
      <c r="E38" s="4" t="str">
        <f>CONCATENATE("Amount of ",$F$1-1," Ad Valorem Tax")</f>
        <v>Amount of 2013 Ad Valorem Tax</v>
      </c>
      <c r="F38" s="191">
        <f>SUM(F36:F37)</f>
        <v>5777</v>
      </c>
    </row>
    <row r="39" spans="1:6" ht="15.75">
      <c r="A39" s="1"/>
      <c r="B39" s="1"/>
      <c r="C39" s="1"/>
      <c r="D39" s="1"/>
      <c r="E39" s="4"/>
      <c r="F39" s="50"/>
    </row>
    <row r="40" spans="1:6" ht="15.75">
      <c r="A40" s="1"/>
      <c r="B40" s="1"/>
      <c r="C40" s="1"/>
      <c r="D40" s="1"/>
      <c r="E40" s="4"/>
      <c r="F40" s="50"/>
    </row>
    <row r="41" spans="1:6" ht="15.75">
      <c r="A41" s="1"/>
      <c r="B41" s="1"/>
      <c r="C41" s="1"/>
      <c r="D41" s="1"/>
      <c r="E41" s="4"/>
      <c r="F41" s="50"/>
    </row>
    <row r="42" spans="1:6" ht="15.75">
      <c r="A42" s="1"/>
      <c r="B42" s="1"/>
      <c r="C42" s="1"/>
      <c r="D42" s="1"/>
      <c r="E42" s="4"/>
      <c r="F42" s="50"/>
    </row>
    <row r="43" spans="1:6" ht="15.75">
      <c r="A43" s="1"/>
      <c r="B43" s="1"/>
      <c r="C43" s="1"/>
      <c r="D43" s="1"/>
      <c r="E43" s="4"/>
      <c r="F43" s="50"/>
    </row>
    <row r="44" spans="1:6" ht="15.75">
      <c r="A44" s="1"/>
      <c r="B44" s="28" t="s">
        <v>78</v>
      </c>
      <c r="C44" s="1"/>
      <c r="D44" s="12"/>
      <c r="E44" s="90"/>
      <c r="F44" s="91"/>
    </row>
    <row r="45" spans="1:6" ht="15.75">
      <c r="A45" s="27"/>
      <c r="B45" s="25" t="s">
        <v>19</v>
      </c>
      <c r="C45" s="1"/>
      <c r="D45" s="88"/>
      <c r="E45" s="92" t="str">
        <f>CONCATENATE("Allocation for Year ",$F$1,"")</f>
        <v>Allocation for Year 2014</v>
      </c>
      <c r="F45" s="89"/>
    </row>
    <row r="46" spans="1:6" ht="15.75">
      <c r="A46" s="51" t="s">
        <v>30</v>
      </c>
      <c r="B46" s="52"/>
      <c r="C46" s="160" t="s">
        <v>167</v>
      </c>
      <c r="D46" s="32" t="s">
        <v>79</v>
      </c>
      <c r="E46" s="32" t="s">
        <v>80</v>
      </c>
      <c r="F46" s="32" t="s">
        <v>81</v>
      </c>
    </row>
    <row r="47" spans="1:6" ht="15.75">
      <c r="A47" s="53" t="s">
        <v>31</v>
      </c>
      <c r="B47" s="104"/>
      <c r="C47" s="106" t="str">
        <f>CONCATENATE("for ",$F$1-1,"")</f>
        <v>for 2013</v>
      </c>
      <c r="D47" s="34" t="s">
        <v>32</v>
      </c>
      <c r="E47" s="34" t="s">
        <v>32</v>
      </c>
      <c r="F47" s="34" t="s">
        <v>32</v>
      </c>
    </row>
    <row r="48" spans="1:6" ht="15.75">
      <c r="A48" s="102" t="s">
        <v>33</v>
      </c>
      <c r="B48" s="108"/>
      <c r="C48" s="250">
        <f>inputVehicle!F$5</f>
        <v>5765</v>
      </c>
      <c r="D48" s="125">
        <f>IF(C48&gt;0,ROUND(+C48*D$56,0)," ")</f>
        <v>553</v>
      </c>
      <c r="E48" s="125">
        <f>IF(C48&gt;0,ROUND(+C48*E$57,0)," ")</f>
        <v>10</v>
      </c>
      <c r="F48" s="125">
        <f>IF(C48&gt;0,ROUND(+C48*F$58,0)," ")</f>
        <v>39</v>
      </c>
    </row>
    <row r="49" spans="1:6" ht="15.75">
      <c r="A49" s="54"/>
      <c r="B49" s="101"/>
      <c r="C49" s="107"/>
      <c r="D49" s="125" t="str">
        <f>IF(C49&gt;0,ROUND(+C49*D$56,0)," ")</f>
        <v> </v>
      </c>
      <c r="E49" s="125" t="str">
        <f>IF(C49&gt;0,ROUND(+D49*E$57,0)," ")</f>
        <v> </v>
      </c>
      <c r="F49" s="125" t="str">
        <f>IF(C49&gt;0,ROUND(+E49*F$58,0)," ")</f>
        <v> </v>
      </c>
    </row>
    <row r="50" spans="1:6" ht="15.75">
      <c r="A50" s="35" t="s">
        <v>34</v>
      </c>
      <c r="B50" s="44"/>
      <c r="C50" s="188">
        <f>SUM(C48:C49)</f>
        <v>5765</v>
      </c>
      <c r="D50" s="189">
        <f>SUM(D48:D49)</f>
        <v>553</v>
      </c>
      <c r="E50" s="189">
        <f>SUM(E48:E49)</f>
        <v>10</v>
      </c>
      <c r="F50" s="189">
        <f>SUM(F48:F49)</f>
        <v>39</v>
      </c>
    </row>
    <row r="51" spans="1:6" ht="15.75">
      <c r="A51" s="29"/>
      <c r="B51" s="29"/>
      <c r="C51" s="50"/>
      <c r="D51" s="123"/>
      <c r="E51" s="123"/>
      <c r="F51" s="123"/>
    </row>
    <row r="52" spans="1:6" ht="15.75">
      <c r="A52" s="29" t="s">
        <v>83</v>
      </c>
      <c r="B52" s="29"/>
      <c r="C52" s="50"/>
      <c r="D52" s="251">
        <f>inputVehicle!F$7</f>
        <v>553</v>
      </c>
      <c r="E52" s="123"/>
      <c r="F52" s="123"/>
    </row>
    <row r="53" spans="1:6" ht="15.75">
      <c r="A53" s="29" t="s">
        <v>84</v>
      </c>
      <c r="B53" s="29"/>
      <c r="C53" s="50"/>
      <c r="D53" s="123"/>
      <c r="E53" s="251">
        <f>inputVehicle!F$9</f>
        <v>10</v>
      </c>
      <c r="F53" s="123"/>
    </row>
    <row r="54" spans="1:6" ht="15.75">
      <c r="A54" s="29" t="s">
        <v>85</v>
      </c>
      <c r="B54" s="29"/>
      <c r="C54" s="50"/>
      <c r="D54" s="123"/>
      <c r="E54" s="123"/>
      <c r="F54" s="251">
        <f>inputVehicle!F$11</f>
        <v>39</v>
      </c>
    </row>
    <row r="55" spans="1:6" ht="15.75">
      <c r="A55" s="1"/>
      <c r="B55" s="1"/>
      <c r="C55" s="1"/>
      <c r="D55" s="92"/>
      <c r="E55" s="92"/>
      <c r="F55" s="92"/>
    </row>
    <row r="56" spans="1:6" ht="15.75">
      <c r="A56" s="1"/>
      <c r="B56" s="1"/>
      <c r="C56" s="1" t="s">
        <v>35</v>
      </c>
      <c r="D56" s="124">
        <f>IF(C50=0,0,D52/C50)</f>
        <v>0.09592367736339982</v>
      </c>
      <c r="E56" s="92"/>
      <c r="F56" s="92"/>
    </row>
    <row r="57" spans="1:6" ht="15.75">
      <c r="A57" s="1"/>
      <c r="B57" s="1"/>
      <c r="C57" s="1"/>
      <c r="D57" s="92" t="s">
        <v>36</v>
      </c>
      <c r="E57" s="124">
        <f>IF(C50=0,0,E53/C50)</f>
        <v>0.0017346053772766695</v>
      </c>
      <c r="F57" s="92"/>
    </row>
    <row r="58" spans="1:6" ht="15.75">
      <c r="A58" s="1"/>
      <c r="B58" s="1"/>
      <c r="C58" s="1"/>
      <c r="D58" s="92"/>
      <c r="E58" s="92" t="s">
        <v>82</v>
      </c>
      <c r="F58" s="124">
        <f>IF(C50=0,0,F54/C50)</f>
        <v>0.0067649609713790115</v>
      </c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26" t="s">
        <v>37</v>
      </c>
      <c r="C66" s="56"/>
      <c r="D66" s="1"/>
      <c r="E66" s="1"/>
      <c r="F66" s="1"/>
    </row>
  </sheetData>
  <sheetProtection/>
  <mergeCells count="1">
    <mergeCell ref="A37:D37"/>
  </mergeCells>
  <printOptions/>
  <pageMargins left="0.75" right="0.75" top="1" bottom="1" header="0.5" footer="0.5"/>
  <pageSetup blackAndWhite="1" fitToHeight="1" fitToWidth="1" horizontalDpi="300" verticalDpi="300" orientation="portrait" scale="63" r:id="rId1"/>
  <headerFooter alignWithMargins="0">
    <oddHeader>&amp;RState of Kansas
County Special District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6" t="str">
        <f>input!$F$5</f>
        <v>Chautauqua County</v>
      </c>
      <c r="D1" s="1"/>
      <c r="E1" s="1"/>
      <c r="F1" s="1"/>
      <c r="G1" s="1"/>
      <c r="H1" s="1"/>
      <c r="I1" s="1"/>
      <c r="J1" s="1">
        <f>input!$F$8</f>
        <v>2014</v>
      </c>
    </row>
    <row r="2" spans="1:10" ht="15.75" customHeight="1">
      <c r="A2" s="1"/>
      <c r="B2" s="1"/>
      <c r="C2" s="167" t="str">
        <f>'Peru 2'!C3</f>
        <v>Peru Cemetery # 2</v>
      </c>
      <c r="D2" s="1"/>
      <c r="E2" s="1"/>
      <c r="F2" s="1"/>
      <c r="G2" s="1"/>
      <c r="H2" s="1"/>
      <c r="I2" s="1"/>
      <c r="J2" s="1"/>
    </row>
    <row r="3" spans="1:10" ht="15.75">
      <c r="A3" s="318" t="str">
        <f>CONCATENATE("Computation to Determine Limit for ",$J$1,"")</f>
        <v>Computation to Determine Limit for 2014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5.75">
      <c r="A4" s="1"/>
      <c r="B4" s="1"/>
      <c r="C4" s="1"/>
      <c r="D4" s="1"/>
      <c r="E4" s="304"/>
      <c r="F4" s="304"/>
      <c r="G4" s="304"/>
      <c r="H4" s="57"/>
      <c r="I4" s="1"/>
      <c r="J4" s="58" t="s">
        <v>39</v>
      </c>
    </row>
    <row r="5" spans="1:10" ht="15.75">
      <c r="A5" s="59" t="s">
        <v>40</v>
      </c>
      <c r="B5" s="1" t="str">
        <f>CONCATENATE("Tax Levy Amount in ",$J$1-1," Budget")</f>
        <v>Tax Levy Amount in 2013 Budget</v>
      </c>
      <c r="C5" s="1"/>
      <c r="D5" s="1"/>
      <c r="E5" s="60"/>
      <c r="F5" s="60"/>
      <c r="G5" s="60"/>
      <c r="H5" s="61" t="s">
        <v>41</v>
      </c>
      <c r="I5" s="60" t="s">
        <v>42</v>
      </c>
      <c r="J5" s="252">
        <f>inputComp!F5</f>
        <v>5765</v>
      </c>
    </row>
    <row r="6" spans="1:10" ht="15.75">
      <c r="A6" s="59" t="s">
        <v>43</v>
      </c>
      <c r="B6" s="1" t="str">
        <f>CONCATENATE("Debt Service Levy in ",$J$1-1," Budget")</f>
        <v>Debt Service Levy in 2013 Budget</v>
      </c>
      <c r="C6" s="1"/>
      <c r="D6" s="1"/>
      <c r="E6" s="60"/>
      <c r="F6" s="60"/>
      <c r="G6" s="60"/>
      <c r="H6" s="62" t="s">
        <v>44</v>
      </c>
      <c r="I6" s="63" t="s">
        <v>42</v>
      </c>
      <c r="J6" s="255">
        <f>inputComp!F7</f>
        <v>0</v>
      </c>
    </row>
    <row r="7" spans="1:10" ht="15.75">
      <c r="A7" s="59" t="s">
        <v>45</v>
      </c>
      <c r="B7" s="28" t="s">
        <v>46</v>
      </c>
      <c r="C7" s="1"/>
      <c r="D7" s="1"/>
      <c r="E7" s="60"/>
      <c r="F7" s="60"/>
      <c r="G7" s="60"/>
      <c r="H7" s="63"/>
      <c r="I7" s="63" t="s">
        <v>42</v>
      </c>
      <c r="J7" s="64">
        <f>J5-J6</f>
        <v>5765</v>
      </c>
    </row>
    <row r="8" spans="1:10" ht="15.75">
      <c r="A8" s="1"/>
      <c r="B8" s="1"/>
      <c r="C8" s="1"/>
      <c r="D8" s="1"/>
      <c r="E8" s="60"/>
      <c r="F8" s="60"/>
      <c r="G8" s="60"/>
      <c r="H8" s="63"/>
      <c r="I8" s="63"/>
      <c r="J8" s="63"/>
    </row>
    <row r="9" spans="1:10" ht="15.75">
      <c r="A9" s="1"/>
      <c r="B9" s="28" t="str">
        <f>CONCATENATE("",$J$1-1," Valuation Information for Valuation Adjustments:")</f>
        <v>2013 Valuation Information for Valuation Adjustments:</v>
      </c>
      <c r="C9" s="1"/>
      <c r="D9" s="1"/>
      <c r="E9" s="60"/>
      <c r="F9" s="60"/>
      <c r="G9" s="60"/>
      <c r="H9" s="63"/>
      <c r="I9" s="63"/>
      <c r="J9" s="63"/>
    </row>
    <row r="10" spans="1:10" ht="15.75">
      <c r="A10" s="1"/>
      <c r="B10" s="1"/>
      <c r="C10" s="28"/>
      <c r="D10" s="1"/>
      <c r="E10" s="60"/>
      <c r="F10" s="60"/>
      <c r="G10" s="60"/>
      <c r="H10" s="63"/>
      <c r="I10" s="63"/>
      <c r="J10" s="63"/>
    </row>
    <row r="11" spans="1:10" ht="15.75">
      <c r="A11" s="59" t="s">
        <v>47</v>
      </c>
      <c r="B11" s="28" t="str">
        <f>CONCATENATE("New Improvements for ",$J$1-1,":")</f>
        <v>New Improvements for 2013:</v>
      </c>
      <c r="C11" s="1"/>
      <c r="D11" s="1"/>
      <c r="E11" s="61"/>
      <c r="F11" s="61" t="s">
        <v>41</v>
      </c>
      <c r="G11" s="252">
        <f>inputComp!F9</f>
        <v>3696</v>
      </c>
      <c r="H11" s="65"/>
      <c r="I11" s="63"/>
      <c r="J11" s="63"/>
    </row>
    <row r="12" spans="1:10" ht="15.75">
      <c r="A12" s="59"/>
      <c r="B12" s="59"/>
      <c r="C12" s="1"/>
      <c r="D12" s="1"/>
      <c r="E12" s="61"/>
      <c r="F12" s="61"/>
      <c r="G12" s="66"/>
      <c r="H12" s="65"/>
      <c r="I12" s="63"/>
      <c r="J12" s="63"/>
    </row>
    <row r="13" spans="1:10" ht="15.75">
      <c r="A13" s="59" t="s">
        <v>48</v>
      </c>
      <c r="B13" s="28" t="str">
        <f>CONCATENATE("Increase in Personal Property for ",$J$1-1,":")</f>
        <v>Increase in Personal Property for 2013:</v>
      </c>
      <c r="C13" s="1"/>
      <c r="D13" s="1"/>
      <c r="E13" s="61"/>
      <c r="F13" s="61"/>
      <c r="G13" s="66"/>
      <c r="H13" s="65"/>
      <c r="I13" s="63"/>
      <c r="J13" s="63"/>
    </row>
    <row r="14" spans="1:10" ht="15.75">
      <c r="A14" s="1"/>
      <c r="B14" s="1" t="s">
        <v>49</v>
      </c>
      <c r="C14" s="1" t="str">
        <f>CONCATENATE("Personal Property ",$J$1-1,"")</f>
        <v>Personal Property 2013</v>
      </c>
      <c r="D14" s="59" t="s">
        <v>41</v>
      </c>
      <c r="E14" s="252">
        <f>inputComp!F11</f>
        <v>40141</v>
      </c>
      <c r="F14" s="61"/>
      <c r="G14" s="60"/>
      <c r="H14" s="63"/>
      <c r="I14" s="65"/>
      <c r="J14" s="63"/>
    </row>
    <row r="15" spans="1:10" ht="15.75">
      <c r="A15" s="59"/>
      <c r="B15" s="1" t="s">
        <v>50</v>
      </c>
      <c r="C15" s="1" t="str">
        <f>CONCATENATE("Personal Property ",$J$1-2,"")</f>
        <v>Personal Property 2012</v>
      </c>
      <c r="D15" s="59" t="s">
        <v>44</v>
      </c>
      <c r="E15" s="255">
        <f>inputComp!F13</f>
        <v>40141</v>
      </c>
      <c r="F15" s="61"/>
      <c r="G15" s="66"/>
      <c r="H15" s="65"/>
      <c r="I15" s="63"/>
      <c r="J15" s="63"/>
    </row>
    <row r="16" spans="1:10" ht="15.75">
      <c r="A16" s="59"/>
      <c r="B16" s="1" t="s">
        <v>51</v>
      </c>
      <c r="C16" s="1" t="s">
        <v>52</v>
      </c>
      <c r="D16" s="1"/>
      <c r="E16" s="60"/>
      <c r="F16" s="60" t="s">
        <v>41</v>
      </c>
      <c r="G16" s="67">
        <f>IF(E14&gt;E15,E14-E15,0)</f>
        <v>0</v>
      </c>
      <c r="H16" s="65"/>
      <c r="I16" s="63"/>
      <c r="J16" s="63"/>
    </row>
    <row r="17" spans="1:10" ht="15.75">
      <c r="A17" s="59"/>
      <c r="B17" s="59"/>
      <c r="C17" s="1"/>
      <c r="D17" s="1"/>
      <c r="E17" s="60"/>
      <c r="F17" s="60"/>
      <c r="G17" s="66" t="s">
        <v>53</v>
      </c>
      <c r="H17" s="65"/>
      <c r="I17" s="63"/>
      <c r="J17" s="63"/>
    </row>
    <row r="18" spans="1:10" ht="15.75">
      <c r="A18" s="59"/>
      <c r="B18" s="59"/>
      <c r="C18" s="1"/>
      <c r="D18" s="59"/>
      <c r="E18" s="66"/>
      <c r="F18" s="60"/>
      <c r="G18" s="66"/>
      <c r="H18" s="65"/>
      <c r="I18" s="63"/>
      <c r="J18" s="63"/>
    </row>
    <row r="19" spans="1:10" ht="15.75">
      <c r="A19" s="59" t="s">
        <v>54</v>
      </c>
      <c r="B19" s="28" t="str">
        <f>CONCATENATE("Valuation of Property that has Changed in Use during ",$J$1-1,"")</f>
        <v>Valuation of Property that has Changed in Use during 2013</v>
      </c>
      <c r="C19" s="1"/>
      <c r="D19" s="1"/>
      <c r="E19" s="60"/>
      <c r="F19" s="60"/>
      <c r="G19" s="254">
        <f>inputComp!F15</f>
        <v>0</v>
      </c>
      <c r="H19" s="63"/>
      <c r="I19" s="63"/>
      <c r="J19" s="63"/>
    </row>
    <row r="20" spans="1:10" ht="15.75">
      <c r="A20" s="59"/>
      <c r="B20" s="1"/>
      <c r="C20" s="1"/>
      <c r="D20" s="59"/>
      <c r="E20" s="66"/>
      <c r="F20" s="60"/>
      <c r="G20" s="68"/>
      <c r="H20" s="65"/>
      <c r="I20" s="63"/>
      <c r="J20" s="63"/>
    </row>
    <row r="21" spans="1:10" ht="15.75">
      <c r="A21" s="59" t="s">
        <v>55</v>
      </c>
      <c r="B21" s="28" t="s">
        <v>56</v>
      </c>
      <c r="C21" s="1"/>
      <c r="D21" s="1"/>
      <c r="E21" s="60"/>
      <c r="F21" s="60"/>
      <c r="G21" s="67">
        <f>G11+G16+G19</f>
        <v>3696</v>
      </c>
      <c r="H21" s="65"/>
      <c r="I21" s="63"/>
      <c r="J21" s="63"/>
    </row>
    <row r="22" spans="1:10" ht="15.75">
      <c r="A22" s="59"/>
      <c r="B22" s="59"/>
      <c r="C22" s="28"/>
      <c r="D22" s="1"/>
      <c r="E22" s="60"/>
      <c r="F22" s="60"/>
      <c r="G22" s="66"/>
      <c r="H22" s="65"/>
      <c r="I22" s="63"/>
      <c r="J22" s="63"/>
    </row>
    <row r="23" spans="1:10" ht="15.75">
      <c r="A23" s="59" t="s">
        <v>57</v>
      </c>
      <c r="B23" s="1" t="str">
        <f>CONCATENATE("Total Estimated Valuation July 1,",$J$1-1,"")</f>
        <v>Total Estimated Valuation July 1,2013</v>
      </c>
      <c r="C23" s="1"/>
      <c r="D23" s="1"/>
      <c r="E23" s="252">
        <f>inputComp!F17</f>
        <v>1795615</v>
      </c>
      <c r="F23" s="60"/>
      <c r="G23" s="60"/>
      <c r="H23" s="63"/>
      <c r="I23" s="62"/>
      <c r="J23" s="63"/>
    </row>
    <row r="24" spans="1:10" ht="15.75">
      <c r="A24" s="59"/>
      <c r="B24" s="59"/>
      <c r="C24" s="1"/>
      <c r="D24" s="1"/>
      <c r="E24" s="66"/>
      <c r="F24" s="60"/>
      <c r="G24" s="60"/>
      <c r="H24" s="63"/>
      <c r="I24" s="62"/>
      <c r="J24" s="63"/>
    </row>
    <row r="25" spans="1:10" ht="15.75">
      <c r="A25" s="59" t="s">
        <v>58</v>
      </c>
      <c r="B25" s="28" t="s">
        <v>59</v>
      </c>
      <c r="C25" s="1"/>
      <c r="D25" s="1"/>
      <c r="E25" s="60"/>
      <c r="F25" s="60"/>
      <c r="G25" s="67">
        <f>E23-G21</f>
        <v>1791919</v>
      </c>
      <c r="H25" s="65"/>
      <c r="I25" s="62"/>
      <c r="J25" s="63"/>
    </row>
    <row r="26" spans="1:10" ht="15.75">
      <c r="A26" s="59"/>
      <c r="B26" s="59"/>
      <c r="C26" s="28"/>
      <c r="D26" s="1"/>
      <c r="E26" s="1"/>
      <c r="F26" s="1"/>
      <c r="G26" s="69"/>
      <c r="H26" s="70"/>
      <c r="I26" s="71"/>
      <c r="J26" s="72"/>
    </row>
    <row r="27" spans="1:10" ht="15.75">
      <c r="A27" s="59" t="s">
        <v>60</v>
      </c>
      <c r="B27" s="1" t="s">
        <v>61</v>
      </c>
      <c r="C27" s="1"/>
      <c r="D27" s="1"/>
      <c r="E27" s="1"/>
      <c r="F27" s="1"/>
      <c r="G27" s="73">
        <f>IF(G21&gt;0,G21/G25,0)</f>
        <v>0.002062593231055645</v>
      </c>
      <c r="H27" s="70"/>
      <c r="I27" s="72"/>
      <c r="J27" s="72"/>
    </row>
    <row r="28" spans="1:10" ht="15.75">
      <c r="A28" s="59"/>
      <c r="B28" s="59"/>
      <c r="C28" s="1"/>
      <c r="D28" s="1"/>
      <c r="E28" s="1"/>
      <c r="F28" s="1"/>
      <c r="G28" s="30"/>
      <c r="H28" s="70"/>
      <c r="I28" s="72"/>
      <c r="J28" s="72"/>
    </row>
    <row r="29" spans="1:10" ht="15.75">
      <c r="A29" s="59" t="s">
        <v>62</v>
      </c>
      <c r="B29" s="1" t="s">
        <v>63</v>
      </c>
      <c r="C29" s="1"/>
      <c r="D29" s="1"/>
      <c r="E29" s="1"/>
      <c r="F29" s="1"/>
      <c r="G29" s="30"/>
      <c r="H29" s="74" t="s">
        <v>41</v>
      </c>
      <c r="I29" s="72" t="s">
        <v>42</v>
      </c>
      <c r="J29" s="75">
        <f>G27*J7</f>
        <v>11.890849977035792</v>
      </c>
    </row>
    <row r="30" spans="1:10" ht="15.75">
      <c r="A30" s="59"/>
      <c r="B30" s="59"/>
      <c r="C30" s="1"/>
      <c r="D30" s="1"/>
      <c r="E30" s="1"/>
      <c r="F30" s="1"/>
      <c r="G30" s="30"/>
      <c r="H30" s="74"/>
      <c r="I30" s="72"/>
      <c r="J30" s="65"/>
    </row>
    <row r="31" spans="1:10" ht="16.5" thickBot="1">
      <c r="A31" s="59" t="s">
        <v>64</v>
      </c>
      <c r="B31" s="28" t="s">
        <v>65</v>
      </c>
      <c r="C31" s="1"/>
      <c r="D31" s="1"/>
      <c r="E31" s="1"/>
      <c r="F31" s="1"/>
      <c r="G31" s="1"/>
      <c r="H31" s="72"/>
      <c r="I31" s="72" t="s">
        <v>42</v>
      </c>
      <c r="J31" s="76">
        <f>J7+J29</f>
        <v>5776.890849977036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2"/>
    </row>
    <row r="33" spans="1:10" ht="15.75">
      <c r="A33" s="59" t="s">
        <v>66</v>
      </c>
      <c r="B33" s="28" t="str">
        <f>CONCATENATE("Debt Service Levy in this ",$J$1," Budget")</f>
        <v>Debt Service Levy in this 2014 Budget</v>
      </c>
      <c r="C33" s="1"/>
      <c r="D33" s="1"/>
      <c r="E33" s="1"/>
      <c r="F33" s="1"/>
      <c r="G33" s="1"/>
      <c r="H33" s="1"/>
      <c r="I33" s="1"/>
      <c r="J33" s="253">
        <f>inputComp!F19</f>
        <v>0</v>
      </c>
    </row>
    <row r="34" spans="1:10" ht="15.75">
      <c r="A34" s="59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9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7">
        <f>J31+J33</f>
        <v>5776.890849977036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8" customFormat="1" ht="18.75">
      <c r="A37" s="319" t="str">
        <f>CONCATENATE("If the ",$J$1," budget includes tax levies exceeding the total on line 14, you must")</f>
        <v>If the 2014 budget includes tax levies exceeding the total on line 14, you must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s="78" customFormat="1" ht="18.75">
      <c r="A38" s="319" t="s">
        <v>69</v>
      </c>
      <c r="B38" s="319"/>
      <c r="C38" s="319"/>
      <c r="D38" s="319"/>
      <c r="E38" s="319"/>
      <c r="F38" s="319"/>
      <c r="G38" s="319"/>
      <c r="H38" s="319"/>
      <c r="I38" s="319"/>
      <c r="J38" s="319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6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300" verticalDpi="300" orientation="portrait" scale="75" r:id="rId1"/>
  <headerFooter alignWithMargins="0">
    <oddHeader>&amp;RState of Kansas
County Special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Helen E. Matthews</cp:lastModifiedBy>
  <cp:lastPrinted>2013-06-20T22:52:14Z</cp:lastPrinted>
  <dcterms:created xsi:type="dcterms:W3CDTF">2006-08-28T14:14:58Z</dcterms:created>
  <dcterms:modified xsi:type="dcterms:W3CDTF">2013-06-28T19:31:20Z</dcterms:modified>
  <cp:category/>
  <cp:version/>
  <cp:contentType/>
  <cp:contentStatus/>
</cp:coreProperties>
</file>