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3"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<sst xmlns="http://schemas.openxmlformats.org/spreadsheetml/2006/main" count="1185" uniqueCount="805">
  <si>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</si>
  <si>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</si>
  <si>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</si>
  <si>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</si>
  <si>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</si>
  <si>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</si>
  <si>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</si>
  <si>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</si>
  <si>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</si>
  <si>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</si>
  <si>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</si>
  <si>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</si>
  <si>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</si>
  <si>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</si>
  <si>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</si>
  <si>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</si>
  <si>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</si>
  <si>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</si>
  <si>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</si>
  <si>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</si>
  <si>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</si>
  <si>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</si>
  <si>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</si>
  <si>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</si>
  <si>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</si>
  <si>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</si>
  <si>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</si>
  <si>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</si>
  <si>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</si>
  <si>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</si>
  <si>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</si>
  <si>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</si>
  <si>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</si>
  <si>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</si>
  <si>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</si>
  <si>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</si>
  <si>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</si>
  <si>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</si>
  <si>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</si>
  <si>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</si>
  <si>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</si>
  <si>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</si>
  <si>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</si>
  <si>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</si>
  <si>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</si>
  <si>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</si>
  <si>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</si>
  <si>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</si>
  <si>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</si>
  <si>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</si>
  <si>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</si>
  <si>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</si>
  <si>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</si>
  <si>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</si>
  <si>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</si>
  <si>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</si>
  <si>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</si>
  <si>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</si>
  <si>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</si>
  <si>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</si>
  <si>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</si>
  <si>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</si>
  <si>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</si>
  <si>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</si>
  <si>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</si>
  <si>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</si>
  <si>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</si>
  <si>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</si>
  <si>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</si>
  <si>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</si>
  <si>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</si>
  <si>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</si>
  <si>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</si>
  <si>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</si>
  <si>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</si>
  <si>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</si>
  <si>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</si>
  <si>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</si>
  <si>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</si>
  <si>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</si>
  <si>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</si>
  <si>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</si>
  <si>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</si>
  <si>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</si>
  <si>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</si>
  <si>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</si>
  <si>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</si>
  <si>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</si>
  <si>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</si>
  <si>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</si>
  <si>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</si>
  <si>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</si>
  <si>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</si>
  <si>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</si>
  <si>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</si>
  <si>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</si>
  <si>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</si>
  <si>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</si>
  <si>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</si>
  <si>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</si>
  <si>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</si>
  <si>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</si>
  <si>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</si>
  <si>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</si>
  <si>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</si>
  <si>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</si>
  <si>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</si>
  <si>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</si>
  <si>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</si>
  <si>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</si>
  <si>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</si>
  <si>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</si>
  <si>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</si>
  <si>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</si>
  <si>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</si>
  <si>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</si>
  <si>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</si>
  <si>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</si>
  <si>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</si>
  <si>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</si>
  <si>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</si>
  <si>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</si>
  <si>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</si>
  <si>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</si>
  <si>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</si>
  <si>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</si>
  <si>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</si>
  <si>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</si>
  <si>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</si>
  <si>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</si>
  <si>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</si>
  <si>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</si>
  <si>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</si>
  <si>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</si>
  <si>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</si>
  <si>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</si>
  <si>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</si>
  <si>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</si>
  <si>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</si>
  <si>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</si>
  <si>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</si>
  <si>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</si>
  <si>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</si>
  <si>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</si>
  <si>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</si>
  <si>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</si>
  <si>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</si>
  <si>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</si>
  <si>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</si>
  <si>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</si>
  <si>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</si>
  <si>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</si>
  <si>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</si>
  <si>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</si>
  <si>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</si>
  <si>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</si>
  <si>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</si>
  <si>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</si>
  <si>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</si>
  <si>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</si>
  <si>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</si>
  <si>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</si>
  <si>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</si>
  <si>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</si>
  <si>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</si>
  <si>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</si>
  <si>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</si>
  <si>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</si>
  <si>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</si>
  <si>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</si>
  <si>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</si>
  <si>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</si>
  <si>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</si>
  <si>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</si>
  <si>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</si>
  <si>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</si>
  <si>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</si>
  <si>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</si>
  <si>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</si>
  <si>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</si>
  <si>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</si>
  <si>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</si>
  <si>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</si>
  <si>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</si>
  <si>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</si>
  <si>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</si>
  <si>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</si>
  <si>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</si>
  <si>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</si>
  <si>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</si>
  <si>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</si>
  <si>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</si>
  <si>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</si>
  <si>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</si>
  <si>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</si>
  <si>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</si>
  <si>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</si>
  <si>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</si>
  <si>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</si>
  <si>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</si>
  <si>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</si>
  <si>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</si>
  <si>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</si>
  <si>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</si>
  <si>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</si>
  <si>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</si>
  <si>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</si>
  <si>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</si>
  <si>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</si>
  <si>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</si>
  <si>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</si>
  <si>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</si>
  <si>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</si>
  <si>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</si>
  <si>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</si>
  <si>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</si>
  <si>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</si>
  <si>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</si>
  <si>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</si>
  <si>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</si>
  <si>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</si>
  <si>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</si>
  <si>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</si>
  <si>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</si>
  <si>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</si>
  <si>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</si>
  <si>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</si>
  <si>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</si>
  <si>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</si>
  <si>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</si>
  <si>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</si>
  <si>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</si>
  <si>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</si>
  <si>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</si>
  <si>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</si>
  <si>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</si>
  <si>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</si>
  <si>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</si>
  <si>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</si>
  <si>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</si>
  <si>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</si>
  <si>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</si>
  <si>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</si>
  <si>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</si>
  <si>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</si>
  <si>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</si>
  <si>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</si>
  <si>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</si>
  <si>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</si>
  <si>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</si>
  <si>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</si>
  <si>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</si>
  <si>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</si>
  <si>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</si>
  <si>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</si>
  <si>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</si>
  <si>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</si>
  <si>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</si>
  <si>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</si>
  <si>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</si>
  <si>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</si>
  <si>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</si>
  <si>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</si>
  <si>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</si>
  <si>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</si>
  <si>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</si>
  <si>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</si>
  <si>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</si>
  <si>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</si>
  <si>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</si>
  <si>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</si>
  <si>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</si>
  <si>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</si>
  <si>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</si>
  <si>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</si>
  <si>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</si>
  <si>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</si>
  <si>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</si>
  <si>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</si>
  <si>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</si>
  <si>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</si>
  <si>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</si>
  <si>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</si>
  <si>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</si>
  <si>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</si>
  <si>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</si>
  <si>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</si>
  <si>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</si>
  <si>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</si>
  <si>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</si>
  <si>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</si>
  <si>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</si>
  <si>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</si>
  <si>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</si>
  <si>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</si>
  <si>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</si>
  <si>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</si>
  <si>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</si>
  <si>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</si>
  <si>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</si>
  <si>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</si>
  <si>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</si>
  <si>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</si>
  <si>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</si>
  <si>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</si>
  <si>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</si>
  <si>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</si>
  <si>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</si>
  <si>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</si>
  <si>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</si>
  <si>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</si>
  <si>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</si>
  <si>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</si>
  <si>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</si>
  <si>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</si>
  <si>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</si>
  <si>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</si>
  <si>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</si>
  <si>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</si>
  <si>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</si>
  <si>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</si>
  <si>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</si>
  <si>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</si>
  <si>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</si>
  <si>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</si>
  <si>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</si>
  <si>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</si>
  <si>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</si>
  <si>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</si>
  <si>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</si>
  <si>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</si>
  <si>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</si>
  <si>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</si>
  <si>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</si>
  <si>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</si>
  <si>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</si>
  <si>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</si>
  <si>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</si>
  <si>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</si>
  <si>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</si>
  <si>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</si>
  <si>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</si>
  <si>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</si>
  <si>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</si>
  <si>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</si>
  <si>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</si>
  <si>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</si>
  <si>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</si>
  <si>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</si>
  <si>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</si>
  <si>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</si>
  <si>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</si>
  <si>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</si>
  <si>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</si>
  <si>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</si>
  <si>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</si>
  <si>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</si>
  <si>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</si>
  <si>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</si>
  <si>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</si>
  <si>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</si>
  <si>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</si>
  <si>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</si>
  <si>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</si>
  <si>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</si>
  <si>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</si>
  <si>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</si>
  <si>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</si>
  <si>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</si>
  <si>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</si>
  <si>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</si>
  <si>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</si>
  <si>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</si>
  <si>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</si>
  <si>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</si>
  <si>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</si>
  <si>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</si>
  <si>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</si>
  <si>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</si>
  <si>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</si>
  <si>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</si>
  <si>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</si>
  <si>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</si>
  <si>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</si>
  <si>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</si>
  <si>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</si>
  <si>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</si>
  <si>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</si>
  <si>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</si>
  <si>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</si>
  <si>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</si>
  <si>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</si>
  <si>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</si>
  <si>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</si>
  <si>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</si>
  <si>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</si>
  <si>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</si>
  <si>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</si>
  <si>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</si>
  <si>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</si>
  <si>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</si>
  <si>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</si>
  <si>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</si>
  <si>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</si>
  <si>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</si>
  <si>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</si>
  <si>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</si>
  <si>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</si>
  <si>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</si>
  <si>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</si>
  <si>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</si>
  <si>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</si>
  <si>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</si>
  <si>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</si>
  <si>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</si>
  <si>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</si>
  <si>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</si>
  <si>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</si>
  <si>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</si>
  <si>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</si>
  <si>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</si>
  <si>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</si>
  <si>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</si>
  <si>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</si>
  <si>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</si>
  <si>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</si>
  <si>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</si>
  <si>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</si>
  <si>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</si>
  <si>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</si>
  <si>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</si>
  <si>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</si>
  <si>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</si>
  <si>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</si>
  <si>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</si>
  <si>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</si>
  <si>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</si>
  <si>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</si>
  <si>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</si>
  <si>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</si>
  <si>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</si>
  <si>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</si>
  <si>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</si>
  <si>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</si>
  <si>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</si>
  <si>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</si>
  <si>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</si>
  <si>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</si>
  <si>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</si>
  <si>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</si>
  <si>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</si>
  <si>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</si>
  <si>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</si>
  <si>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</si>
  <si>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</si>
  <si>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</si>
  <si>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</si>
  <si>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</si>
  <si>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</si>
  <si>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</si>
  <si>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</si>
  <si>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</si>
  <si>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</si>
  <si>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</si>
  <si>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</si>
  <si>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</si>
  <si>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</si>
  <si>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</si>
  <si>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</si>
  <si>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</si>
  <si>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</si>
  <si>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</si>
  <si>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</si>
  <si>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</si>
  <si>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</si>
  <si>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</si>
  <si>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</si>
  <si>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</si>
  <si>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</si>
  <si>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</si>
  <si>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</si>
  <si>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</si>
  <si>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</si>
  <si>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</si>
  <si>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</si>
  <si>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</si>
  <si>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</si>
  <si>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</si>
  <si>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</si>
  <si>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</si>
  <si>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</si>
  <si>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</si>
  <si>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</si>
  <si>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</si>
  <si>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</si>
  <si>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</si>
  <si>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</si>
  <si>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</si>
  <si>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</si>
  <si>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</si>
  <si>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</si>
  <si>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</si>
  <si>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</si>
  <si>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</si>
  <si>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</si>
  <si>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</si>
  <si>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</si>
  <si>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</si>
  <si>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</si>
  <si>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</si>
  <si>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</si>
  <si>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</si>
  <si>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</si>
  <si>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</si>
  <si>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</si>
  <si>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</si>
  <si>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</si>
  <si>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</si>
  <si>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</si>
  <si>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</si>
  <si>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</si>
  <si>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</si>
  <si>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</si>
  <si>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</si>
  <si>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</si>
  <si>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</si>
  <si>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</si>
  <si>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</si>
  <si>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</si>
  <si>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</si>
  <si>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</si>
  <si>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</si>
  <si>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</si>
  <si>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</si>
  <si>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</si>
  <si>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</si>
  <si>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</si>
  <si>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</si>
  <si>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</si>
  <si>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</si>
  <si>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</si>
  <si>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</si>
  <si>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</si>
  <si>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</si>
  <si>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</si>
  <si>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</si>
  <si>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</si>
  <si>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</si>
  <si>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</si>
  <si>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</si>
  <si>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</si>
  <si>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</si>
  <si>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</si>
  <si>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</si>
  <si>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</si>
  <si>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</si>
  <si>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</si>
  <si>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</si>
  <si>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</si>
  <si>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</si>
  <si>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</si>
  <si>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</si>
  <si>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</si>
  <si>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</si>
  <si>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</si>
  <si>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</si>
  <si>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</si>
  <si>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</si>
  <si>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</si>
  <si>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</si>
  <si>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</si>
  <si>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</si>
  <si>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</si>
  <si>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</si>
  <si>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</si>
  <si>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</si>
  <si>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</si>
  <si>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</si>
  <si>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</si>
  <si>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</si>
  <si>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</si>
  <si>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</si>
  <si>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</si>
  <si>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</si>
  <si>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</si>
  <si>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</si>
  <si>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</si>
  <si>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</si>
  <si>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</si>
  <si>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</si>
  <si>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</si>
  <si>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</si>
  <si>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</si>
  <si>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</si>
  <si>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</si>
  <si>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</si>
  <si>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</si>
  <si>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</si>
  <si>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</si>
  <si>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</si>
  <si>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</si>
  <si>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</si>
  <si>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</si>
  <si>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</si>
  <si>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</si>
  <si>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</si>
  <si>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</si>
  <si>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</si>
  <si>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</si>
  <si>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</si>
  <si>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</si>
  <si>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</si>
  <si>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</si>
  <si>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</si>
  <si>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</si>
  <si>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</si>
  <si>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</si>
  <si>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</si>
  <si>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</si>
  <si>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</si>
  <si>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</si>
  <si>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</si>
  <si>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</si>
  <si>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</si>
  <si>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</si>
  <si>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</si>
  <si>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</si>
  <si>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</si>
  <si>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</si>
  <si>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</si>
  <si>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</si>
  <si>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</si>
  <si>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</si>
  <si>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</si>
  <si>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</si>
  <si>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</si>
  <si>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</si>
  <si>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</si>
  <si>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</si>
  <si>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</si>
  <si>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</si>
  <si>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</si>
  <si>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</si>
  <si>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</si>
  <si>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</si>
  <si>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</si>
  <si>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</si>
  <si>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</si>
  <si>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</si>
  <si>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</si>
  <si>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</si>
  <si>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</si>
  <si>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</si>
  <si>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</si>
  <si>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</si>
  <si>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</si>
  <si>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</si>
  <si>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</si>
  <si>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</si>
  <si>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</si>
  <si>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</si>
  <si>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</si>
  <si>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</si>
  <si>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</si>
  <si>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</si>
  <si>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</si>
  <si>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</si>
  <si>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</si>
  <si>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</si>
  <si>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</si>
  <si>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</si>
  <si>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</si>
  <si>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</si>
  <si>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</si>
  <si>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</si>
  <si>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</si>
  <si>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</si>
  <si>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</si>
  <si>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</si>
  <si>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</si>
  <si>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</si>
  <si>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</si>
  <si>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</si>
  <si>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</si>
  <si>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</si>
  <si>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</si>
  <si>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</si>
  <si>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</si>
  <si>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</si>
  <si>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</si>
  <si>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</si>
  <si>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</si>
  <si>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</si>
  <si>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</si>
  <si>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</si>
  <si>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</si>
  <si>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</si>
  <si>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</si>
  <si>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</si>
  <si>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</si>
  <si>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</si>
  <si>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</si>
  <si>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</si>
  <si>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</si>
  <si>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</si>
  <si>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</si>
  <si>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</si>
  <si>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</si>
  <si>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</si>
  <si>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</si>
  <si>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</si>
  <si>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</si>
  <si>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</si>
  <si>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</si>
  <si>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</si>
  <si>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</si>
  <si>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</si>
  <si>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</si>
  <si>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</si>
  <si>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</si>
  <si>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</si>
  <si>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</si>
  <si>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</si>
  <si>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</si>
  <si>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</si>
  <si>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</si>
  <si>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</si>
  <si>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</si>
  <si>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</si>
  <si>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</si>
  <si>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</si>
  <si>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</si>
  <si>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</si>
  <si>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</si>
  <si>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</si>
  <si>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</si>
  <si>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</si>
  <si>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</si>
  <si>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</si>
  <si>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</si>
  <si>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</si>
  <si>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</si>
  <si>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</si>
  <si>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</si>
  <si>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</si>
  <si>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</si>
  <si>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</si>
  <si>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</si>
  <si>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</si>
  <si>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</si>
  <si>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</si>
  <si>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</si>
  <si>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</si>
  <si>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</si>
  <si>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</si>
  <si>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</si>
  <si>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</si>
  <si>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</si>
  <si>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</si>
  <si>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</si>
  <si>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</si>
  <si>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</si>
  <si>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</si>
  <si>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</si>
  <si>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</si>
  <si>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</si>
  <si>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</si>
  <si>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</si>
  <si>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</si>
  <si>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</si>
  <si>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</si>
  <si>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</si>
  <si>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</si>
  <si>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</si>
  <si>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</si>
  <si>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</si>
  <si>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</si>
  <si>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</si>
  <si>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</si>
  <si>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</si>
  <si>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</si>
  <si>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</si>
  <si>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</si>
  <si>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</si>
  <si>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</si>
  <si>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</si>
  <si>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</si>
  <si>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</si>
  <si>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</si>
  <si>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</si>
  <si>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</si>
  <si>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</si>
  <si>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Osborne County</t>
  </si>
  <si>
    <t>Operation</t>
  </si>
  <si>
    <t>Mowing</t>
  </si>
  <si>
    <t>Butler Cemetery</t>
  </si>
  <si>
    <t>John Campbell, Treasurer</t>
  </si>
  <si>
    <t>August 12, 2013</t>
  </si>
  <si>
    <t>2:00 p.m.</t>
  </si>
  <si>
    <t>Osborne County Courthouse</t>
  </si>
  <si>
    <t>Osborne County Clerk's Office</t>
  </si>
  <si>
    <t>Vienna Janis</t>
  </si>
  <si>
    <t>Osborne County Clerk</t>
  </si>
  <si>
    <t>423 W. Main</t>
  </si>
  <si>
    <t>Osborne, KS 67473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</si>
</sst>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Butler Cemetery</v>
      </c>
      <c r="C1" s="18"/>
      <c r="D1" s="18"/>
      <c r="E1" s="18"/>
      <c r="F1" s="18"/>
      <c r="G1" s="18"/>
      <c r="H1" s="18"/>
      <c r="I1" s="18"/>
      <c r="J1" s="18"/>
      <c r="K1" s="18"/>
      <c r="L1" s="182">
        <f>inputPrYr!D6</f>
        <v>2014</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2013</v>
      </c>
      <c r="J7" s="190"/>
      <c r="K7" s="189">
        <f>L1</f>
        <v>2014</v>
      </c>
      <c r="L7" s="190"/>
    </row>
    <row r="8" spans="2:12" s="185" customFormat="1" ht="15.75">
      <c r="B8" s="114" t="s">
        <v>725</v>
      </c>
      <c r="C8" s="114" t="s">
        <v>65</v>
      </c>
      <c r="D8" s="114" t="s">
        <v>43</v>
      </c>
      <c r="E8" s="114" t="s">
        <v>66</v>
      </c>
      <c r="F8" s="191" t="str">
        <f>CONCATENATE("Jan 1,",L1-1,"")</f>
        <v>Jan 1,2013</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1,2013</v>
      </c>
      <c r="H28" s="114">
        <f>L1-1</f>
        <v>2013</v>
      </c>
      <c r="I28" s="114">
        <f>L1</f>
        <v>2014</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5.7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7">
      <selection activeCell="E38" sqref="E3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Butler Cemetery</v>
      </c>
      <c r="C1" s="222"/>
      <c r="D1" s="18"/>
      <c r="E1" s="182"/>
    </row>
    <row r="2" spans="2:5" ht="15.75">
      <c r="B2" s="18" t="str">
        <f>inputPrYr!D4</f>
        <v>Osborne County</v>
      </c>
      <c r="C2" s="222"/>
      <c r="D2" s="18"/>
      <c r="E2" s="138"/>
    </row>
    <row r="3" spans="2:6" ht="15.75">
      <c r="B3" s="490" t="s">
        <v>81</v>
      </c>
      <c r="C3" s="222"/>
      <c r="D3" s="18"/>
      <c r="E3" s="182">
        <f>inputPrYr!$D$6</f>
        <v>2014</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2012</v>
      </c>
      <c r="D6" s="372" t="str">
        <f>CONCATENATE("Estimate for ",E3-1,"")</f>
        <v>Estimate for 2013</v>
      </c>
      <c r="E6" s="224" t="str">
        <f>CONCATENATE("Year for ",E3,"")</f>
        <v>Year for 2014</v>
      </c>
    </row>
    <row r="7" spans="2:5" ht="15.75">
      <c r="B7" s="119" t="s">
        <v>125</v>
      </c>
      <c r="C7" s="366">
        <v>449</v>
      </c>
      <c r="D7" s="373">
        <f>C62</f>
        <v>1110</v>
      </c>
      <c r="E7" s="45">
        <f>D62</f>
        <v>1039</v>
      </c>
    </row>
    <row r="8" spans="2:5" ht="15.75">
      <c r="B8" s="226" t="s">
        <v>127</v>
      </c>
      <c r="C8" s="227"/>
      <c r="D8" s="227"/>
      <c r="E8" s="123"/>
    </row>
    <row r="9" spans="2:5" ht="15.75">
      <c r="B9" s="119" t="s">
        <v>33</v>
      </c>
      <c r="C9" s="366">
        <v>1004</v>
      </c>
      <c r="D9" s="373">
        <f>IF(inputPrYr!H18&gt;0,inputPrYr!G19,inputPrYr!E19)</f>
        <v>799</v>
      </c>
      <c r="E9" s="128" t="s">
        <v>28</v>
      </c>
    </row>
    <row r="10" spans="2:5" ht="15.75">
      <c r="B10" s="119" t="s">
        <v>34</v>
      </c>
      <c r="C10" s="366">
        <v>0</v>
      </c>
      <c r="D10" s="366">
        <v>0</v>
      </c>
      <c r="E10" s="198"/>
    </row>
    <row r="11" spans="2:5" ht="15.75">
      <c r="B11" s="119" t="s">
        <v>35</v>
      </c>
      <c r="C11" s="366">
        <v>57</v>
      </c>
      <c r="D11" s="366">
        <v>56</v>
      </c>
      <c r="E11" s="45">
        <f>mvalloc!D11</f>
        <v>44</v>
      </c>
    </row>
    <row r="12" spans="2:5" ht="15.75">
      <c r="B12" s="119" t="s">
        <v>36</v>
      </c>
      <c r="C12" s="366">
        <v>1</v>
      </c>
      <c r="D12" s="366">
        <v>3</v>
      </c>
      <c r="E12" s="45">
        <f>mvalloc!E11</f>
        <v>1</v>
      </c>
    </row>
    <row r="13" spans="2:5" ht="15.75">
      <c r="B13" s="227" t="s">
        <v>109</v>
      </c>
      <c r="C13" s="366">
        <v>24</v>
      </c>
      <c r="D13" s="366">
        <v>16</v>
      </c>
      <c r="E13" s="45">
        <f>mvalloc!F11</f>
        <v>22</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1086</v>
      </c>
      <c r="D33" s="368">
        <f>SUM(D9:D31)</f>
        <v>874</v>
      </c>
      <c r="E33" s="234">
        <f>SUM(E9:E31)</f>
        <v>67</v>
      </c>
    </row>
    <row r="34" spans="2:5" ht="15.75">
      <c r="B34" s="233" t="s">
        <v>40</v>
      </c>
      <c r="C34" s="368">
        <f>C7+C33</f>
        <v>1535</v>
      </c>
      <c r="D34" s="368">
        <f>D7+D33</f>
        <v>1984</v>
      </c>
      <c r="E34" s="234">
        <f>E7+E33</f>
        <v>1106</v>
      </c>
    </row>
    <row r="35" spans="2:5" ht="15.75">
      <c r="B35" s="119" t="s">
        <v>41</v>
      </c>
      <c r="C35" s="121"/>
      <c r="D35" s="121"/>
      <c r="E35" s="36"/>
    </row>
    <row r="36" spans="2:5" ht="15.75">
      <c r="B36" s="228" t="s">
        <v>793</v>
      </c>
      <c r="C36" s="366">
        <v>25</v>
      </c>
      <c r="D36" s="366"/>
      <c r="E36" s="198">
        <v>1200</v>
      </c>
    </row>
    <row r="37" spans="2:5" ht="15.75">
      <c r="B37" s="228" t="s">
        <v>794</v>
      </c>
      <c r="C37" s="366">
        <v>400</v>
      </c>
      <c r="D37" s="366">
        <v>945</v>
      </c>
      <c r="E37" s="198">
        <v>705</v>
      </c>
    </row>
    <row r="38" spans="2:5" ht="15.75">
      <c r="B38" s="228"/>
      <c r="C38" s="366"/>
      <c r="D38" s="366"/>
      <c r="E38" s="198"/>
    </row>
    <row r="39" spans="2:5" ht="15.75">
      <c r="B39" s="228"/>
      <c r="C39" s="366"/>
      <c r="D39" s="366"/>
      <c r="E39" s="198"/>
    </row>
    <row r="40" spans="2:5" ht="15.75">
      <c r="B40" s="228"/>
      <c r="C40" s="366"/>
      <c r="D40" s="366"/>
      <c r="E40" s="198"/>
    </row>
    <row r="41" spans="2:5" ht="15.75">
      <c r="B41" s="228"/>
      <c r="C41" s="366"/>
      <c r="D41" s="366"/>
      <c r="E41" s="198"/>
    </row>
    <row r="42" spans="2:5" ht="15.75">
      <c r="B42" s="228"/>
      <c r="C42" s="366"/>
      <c r="D42" s="366"/>
      <c r="E42" s="198"/>
    </row>
    <row r="43" spans="2:5" ht="15.75">
      <c r="B43" s="228"/>
      <c r="C43" s="366"/>
      <c r="D43" s="366"/>
      <c r="E43" s="198"/>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5.75">
      <c r="B52" s="228"/>
      <c r="C52" s="366"/>
      <c r="D52" s="366"/>
      <c r="E52" s="198"/>
      <c r="F52" s="16"/>
      <c r="G52" s="698" t="str">
        <f>CONCATENATE("Desired Carryover Into ",E3+1,"")</f>
        <v>Desired Carryover Into 2015</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2014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5.75">
      <c r="B59" s="121" t="s">
        <v>218</v>
      </c>
      <c r="C59" s="366"/>
      <c r="D59" s="366"/>
      <c r="E59" s="35"/>
      <c r="F59" s="16"/>
      <c r="G59" s="698" t="str">
        <f>CONCATENATE("Projected Carryover Into ",E3+1,"")</f>
        <v>Projected Carryover Into 2015</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425</v>
      </c>
      <c r="D61" s="368">
        <f>SUM(D36:D59)</f>
        <v>945</v>
      </c>
      <c r="E61" s="234">
        <f>SUM(E36:E59)</f>
        <v>1905</v>
      </c>
      <c r="F61" s="16"/>
      <c r="G61" s="489">
        <f>D62</f>
        <v>1039</v>
      </c>
      <c r="H61" s="488" t="str">
        <f>CONCATENATE("",E3-1," Ending Cash Balance (est.)")</f>
        <v>2013 Ending Cash Balance (est.)</v>
      </c>
      <c r="I61" s="584"/>
      <c r="J61" s="483"/>
      <c r="K61" s="16"/>
    </row>
    <row r="62" spans="2:11" ht="15.75">
      <c r="B62" s="119" t="s">
        <v>126</v>
      </c>
      <c r="C62" s="369">
        <f>C34-C61</f>
        <v>1110</v>
      </c>
      <c r="D62" s="369">
        <f>D34-D61</f>
        <v>1039</v>
      </c>
      <c r="E62" s="128" t="s">
        <v>28</v>
      </c>
      <c r="F62" s="16"/>
      <c r="G62" s="489">
        <f>E33</f>
        <v>67</v>
      </c>
      <c r="H62" s="482" t="str">
        <f>CONCATENATE("",E3," Non-AV Receipts (est.)")</f>
        <v>2014 Non-AV Receipts (est.)</v>
      </c>
      <c r="I62" s="584"/>
      <c r="J62" s="483"/>
      <c r="K62" s="16"/>
    </row>
    <row r="63" spans="2:11" ht="15.75">
      <c r="B63" s="138" t="str">
        <f>CONCATENATE("",E3-2,"/",E3-1," Budget Authority Amount:")</f>
        <v>2012/2013 Budget Authority Amount:</v>
      </c>
      <c r="C63" s="120">
        <f>inputOth!B41</f>
        <v>1282</v>
      </c>
      <c r="D63" s="387">
        <f>inputPrYr!D19</f>
        <v>945</v>
      </c>
      <c r="E63" s="128" t="s">
        <v>28</v>
      </c>
      <c r="F63" s="251"/>
      <c r="G63" s="481">
        <f>IF(E67&gt;0,E66,E68)</f>
        <v>799</v>
      </c>
      <c r="H63" s="482" t="str">
        <f>CONCATENATE("",E3," Ad Valorem Tax (est.)")</f>
        <v>2014 Ad Valorem Tax (est.)</v>
      </c>
      <c r="I63" s="482"/>
      <c r="J63" s="483"/>
      <c r="K63" s="585">
        <f>IF(G63=E68,"","Note: Does not include Delinquent Taxes")</f>
      </c>
    </row>
    <row r="64" spans="2:11" ht="15.75">
      <c r="B64" s="138"/>
      <c r="C64" s="694" t="s">
        <v>658</v>
      </c>
      <c r="D64" s="695"/>
      <c r="E64" s="35"/>
      <c r="F64" s="586">
        <f>IF(E61/0.95-E61&lt;E64,"Exceeds 5%","")</f>
      </c>
      <c r="G64" s="489">
        <f>SUM(G61:G63)</f>
        <v>1905</v>
      </c>
      <c r="H64" s="482" t="str">
        <f>CONCATENATE("Total ",E3," Resources Available")</f>
        <v>Total 2014 Resources Available</v>
      </c>
      <c r="I64" s="584"/>
      <c r="J64" s="483"/>
      <c r="K64" s="16"/>
    </row>
    <row r="65" spans="2:11" ht="15.75">
      <c r="B65" s="385" t="str">
        <f>CONCATENATE(C81,"     ",D81)</f>
        <v>     </v>
      </c>
      <c r="C65" s="696" t="s">
        <v>659</v>
      </c>
      <c r="D65" s="697"/>
      <c r="E65" s="45">
        <f>E61+E64</f>
        <v>1905</v>
      </c>
      <c r="F65" s="16"/>
      <c r="G65" s="480"/>
      <c r="H65" s="482"/>
      <c r="I65" s="482"/>
      <c r="J65" s="483"/>
      <c r="K65" s="16"/>
    </row>
    <row r="66" spans="2:11" ht="15.75">
      <c r="B66" s="385" t="str">
        <f>CONCATENATE(C82,"     ",D82)</f>
        <v>     </v>
      </c>
      <c r="C66" s="493"/>
      <c r="D66" s="492" t="s">
        <v>660</v>
      </c>
      <c r="E66" s="42">
        <f>IF(E65-E34&gt;0,E65-E34,0)</f>
        <v>799</v>
      </c>
      <c r="F66" s="16"/>
      <c r="G66" s="481">
        <f>ROUND(C61*0.05+C61,0)</f>
        <v>446</v>
      </c>
      <c r="H66" s="482" t="str">
        <f>CONCATENATE("Less ",E3-2," Expenditures + 5%")</f>
        <v>Less 2012 Expenditures + 5%</v>
      </c>
      <c r="I66" s="584"/>
      <c r="J66" s="483"/>
      <c r="K66" s="16"/>
    </row>
    <row r="67" spans="2:11" ht="15.75">
      <c r="B67" s="155"/>
      <c r="C67" s="491" t="s">
        <v>661</v>
      </c>
      <c r="D67" s="596">
        <f>inputOth!$E$35</f>
        <v>0</v>
      </c>
      <c r="E67" s="45">
        <f>ROUND(IF(D67&gt;0,(E66*D67),0),0)</f>
        <v>0</v>
      </c>
      <c r="F67" s="16"/>
      <c r="G67" s="479">
        <f>G64-G66</f>
        <v>1459</v>
      </c>
      <c r="H67" s="478" t="str">
        <f>CONCATENATE("Projected ",E3+1," Carryover (est.)")</f>
        <v>Projected 2015 Carryover (est.)</v>
      </c>
      <c r="I67" s="587"/>
      <c r="J67" s="477"/>
      <c r="K67" s="16"/>
    </row>
    <row r="68" spans="2:11" ht="15.75">
      <c r="B68" s="18"/>
      <c r="C68" s="692" t="str">
        <f>CONCATENATE("Amount of  ",$E$3-1," Ad Valorem Tax")</f>
        <v>Amount of  2013 Ad Valorem Tax</v>
      </c>
      <c r="D68" s="693"/>
      <c r="E68" s="42">
        <f>E66+E67</f>
        <v>799</v>
      </c>
      <c r="F68" s="16"/>
      <c r="G68" s="16"/>
      <c r="H68" s="16"/>
      <c r="I68" s="16"/>
      <c r="J68" s="16"/>
      <c r="K68" s="16"/>
    </row>
    <row r="69" spans="2:11" ht="15.75">
      <c r="B69" s="18"/>
      <c r="C69" s="18"/>
      <c r="D69" s="18"/>
      <c r="E69" s="18"/>
      <c r="F69" s="16"/>
      <c r="G69" s="689" t="s">
        <v>732</v>
      </c>
      <c r="H69" s="690"/>
      <c r="I69" s="690"/>
      <c r="J69" s="691"/>
      <c r="K69" s="16"/>
    </row>
    <row r="70" spans="2:11" ht="15.75">
      <c r="B70" s="18"/>
      <c r="C70" s="18"/>
      <c r="D70" s="18"/>
      <c r="E70" s="18"/>
      <c r="F70" s="16"/>
      <c r="G70" s="588"/>
      <c r="H70" s="488"/>
      <c r="I70" s="570"/>
      <c r="J70" s="589"/>
      <c r="K70" s="16"/>
    </row>
    <row r="71" spans="2:11" ht="15.75">
      <c r="B71" s="18"/>
      <c r="C71" s="18"/>
      <c r="D71" s="18"/>
      <c r="E71" s="18"/>
      <c r="F71" s="16"/>
      <c r="G71" s="590">
        <f>summ!H16</f>
        <v>0.959</v>
      </c>
      <c r="H71" s="488" t="str">
        <f>CONCATENATE("",E3," Fund Mill Rate")</f>
        <v>2014 Fund Mill Rate</v>
      </c>
      <c r="I71" s="570"/>
      <c r="J71" s="589"/>
      <c r="K71" s="16"/>
    </row>
    <row r="72" spans="2:11" ht="15.75">
      <c r="B72" s="18"/>
      <c r="C72" s="18"/>
      <c r="D72" s="18"/>
      <c r="E72" s="18"/>
      <c r="F72" s="591"/>
      <c r="G72" s="592">
        <f>summ!E16</f>
        <v>1.089</v>
      </c>
      <c r="H72" s="488" t="str">
        <f>CONCATENATE("",E3-1," Fund Mill Rate")</f>
        <v>2013 Fund Mill Rate</v>
      </c>
      <c r="I72" s="570"/>
      <c r="J72" s="589"/>
      <c r="K72" s="16"/>
    </row>
    <row r="73" spans="2:11" ht="15.75">
      <c r="B73" s="18"/>
      <c r="C73" s="222"/>
      <c r="D73" s="222"/>
      <c r="E73" s="222"/>
      <c r="F73" s="575"/>
      <c r="G73" s="593">
        <f>summ!H23</f>
        <v>0.959</v>
      </c>
      <c r="H73" s="488" t="str">
        <f>CONCATENATE("Total ",E3," Mill Rate")</f>
        <v>Total 2014 Mill Rate</v>
      </c>
      <c r="I73" s="570"/>
      <c r="J73" s="589"/>
      <c r="K73" s="16"/>
    </row>
    <row r="74" spans="2:11" ht="15.75">
      <c r="B74" s="138"/>
      <c r="C74" s="18" t="s">
        <v>227</v>
      </c>
      <c r="D74" s="18"/>
      <c r="E74" s="18"/>
      <c r="F74" s="575"/>
      <c r="G74" s="592">
        <f>summ!E23</f>
        <v>1.089</v>
      </c>
      <c r="H74" s="594" t="str">
        <f>CONCATENATE("Total ",E3-1," Mill Rate")</f>
        <v>Total 2013 Mill Rate</v>
      </c>
      <c r="I74" s="595"/>
      <c r="J74" s="78"/>
      <c r="K74" s="16"/>
    </row>
    <row r="76" spans="2:9" ht="15.7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600" verticalDpi="600" orientation="portrait" scale="5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Butler Cemetery</v>
      </c>
      <c r="C1" s="18"/>
      <c r="D1" s="18"/>
      <c r="E1" s="236">
        <f>inputPrYr!$D$6</f>
        <v>2014</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2012</v>
      </c>
      <c r="D5" s="378" t="str">
        <f>CONCATENATE("Estimate for ",E1-1,"")</f>
        <v>Estimate for 2013</v>
      </c>
      <c r="E5" s="170" t="str">
        <f>CONCATENATE("Year for ",E1,"")</f>
        <v>Year for 2014</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5.75">
      <c r="B44" s="250"/>
      <c r="C44" s="366"/>
      <c r="D44" s="366"/>
      <c r="E44" s="242"/>
      <c r="F44" s="597"/>
      <c r="G44" s="698" t="str">
        <f>CONCATENATE("Desired Carryover Into ",E1+1,"")</f>
        <v>Desired Carryover Into 2015</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2014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5.75">
      <c r="B51" s="121" t="s">
        <v>218</v>
      </c>
      <c r="C51" s="375"/>
      <c r="D51" s="375"/>
      <c r="E51" s="242"/>
      <c r="F51" s="597"/>
      <c r="G51" s="698" t="str">
        <f>CONCATENATE("Projected Carryover Into ",E1+1,"")</f>
        <v>Projected Carryover Into 2015</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2013 Ending Cash Balance (est.)</v>
      </c>
      <c r="I53" s="584"/>
      <c r="J53" s="599"/>
      <c r="K53" s="597"/>
    </row>
    <row r="54" spans="2:11" ht="15.75">
      <c r="B54" s="113" t="s">
        <v>126</v>
      </c>
      <c r="C54" s="374">
        <f>C30-C53</f>
        <v>0</v>
      </c>
      <c r="D54" s="374">
        <f>D30-D53</f>
        <v>0</v>
      </c>
      <c r="E54" s="241" t="s">
        <v>28</v>
      </c>
      <c r="F54"/>
      <c r="G54" s="489">
        <f>E29</f>
        <v>0</v>
      </c>
      <c r="H54" s="482" t="str">
        <f>CONCATENATE("",E1," Non-AV Receipts (est.)")</f>
        <v>2014 Non-AV Receipts (est.)</v>
      </c>
      <c r="I54" s="584"/>
      <c r="J54" s="599"/>
      <c r="K54" s="597"/>
    </row>
    <row r="55" spans="2:11" ht="15.75">
      <c r="B55" s="138" t="str">
        <f>CONCATENATE("",E1-2,"/",E1-1," Budget Authority Amount:")</f>
        <v>2012/2013 Budget Authority Amount:</v>
      </c>
      <c r="C55" s="120">
        <f>inputOth!B42</f>
        <v>0</v>
      </c>
      <c r="D55" s="387">
        <f>inputPrYr!D20</f>
        <v>0</v>
      </c>
      <c r="E55" s="241" t="s">
        <v>28</v>
      </c>
      <c r="F55" s="251"/>
      <c r="G55" s="481">
        <f>IF(E59&gt;0,E58,E60)</f>
        <v>0</v>
      </c>
      <c r="H55" s="482" t="str">
        <f>CONCATENATE("",E1," Ad Valorem Tax (est.)")</f>
        <v>2014 Ad Valorem Tax (est.)</v>
      </c>
      <c r="I55" s="584"/>
      <c r="J55" s="599"/>
      <c r="K55" s="585">
        <f>IF(G55=E60,"","Note: Does not include Delinquent Taxes")</f>
      </c>
    </row>
    <row r="56" spans="2:11" ht="15.75">
      <c r="B56" s="138"/>
      <c r="C56" s="694" t="s">
        <v>658</v>
      </c>
      <c r="D56" s="695"/>
      <c r="E56" s="35"/>
      <c r="F56" s="600">
        <f>IF(E53/0.95-E53&lt;E56,"Exceeds 5%","")</f>
      </c>
      <c r="G56" s="489">
        <f>SUM(G53:G55)</f>
        <v>0</v>
      </c>
      <c r="H56" s="482" t="str">
        <f>CONCATENATE("Total ",E1," Resources Available")</f>
        <v>Total 2014 Resources Available</v>
      </c>
      <c r="I56" s="584"/>
      <c r="J56" s="599"/>
      <c r="K56" s="597"/>
    </row>
    <row r="57" spans="2:11" ht="15.75">
      <c r="B57" s="385" t="str">
        <f>CONCATENATE(C68,"     ",D68)</f>
        <v>     </v>
      </c>
      <c r="C57" s="696" t="s">
        <v>659</v>
      </c>
      <c r="D57" s="697"/>
      <c r="E57" s="45">
        <f>E53+E56</f>
        <v>0</v>
      </c>
      <c r="F57"/>
      <c r="G57" s="480"/>
      <c r="H57" s="482"/>
      <c r="I57" s="482"/>
      <c r="J57" s="599"/>
      <c r="K57" s="597"/>
    </row>
    <row r="58" spans="2:11" ht="15.75">
      <c r="B58" s="385" t="str">
        <f>CONCATENATE(C69,"     ",D69)</f>
        <v>     </v>
      </c>
      <c r="C58" s="493"/>
      <c r="D58" s="492" t="s">
        <v>660</v>
      </c>
      <c r="E58" s="42">
        <f>IF(E57-E30&gt;0,E57-E30,0)</f>
        <v>0</v>
      </c>
      <c r="F58"/>
      <c r="G58" s="481">
        <f>C53</f>
        <v>0</v>
      </c>
      <c r="H58" s="482" t="str">
        <f>CONCATENATE("Less ",E1-2," Expenditures")</f>
        <v>Less 2012 Expenditures</v>
      </c>
      <c r="I58" s="482"/>
      <c r="J58" s="599"/>
      <c r="K58" s="597"/>
    </row>
    <row r="59" spans="2:11" ht="15.75">
      <c r="B59" s="155"/>
      <c r="C59" s="491" t="s">
        <v>661</v>
      </c>
      <c r="D59" s="596">
        <f>inputOth!$E$35</f>
        <v>0</v>
      </c>
      <c r="E59" s="45">
        <f>ROUND(IF(D59&gt;0,(E58*D59),0),0)</f>
        <v>0</v>
      </c>
      <c r="F59"/>
      <c r="G59" s="517">
        <f>G56-G58</f>
        <v>0</v>
      </c>
      <c r="H59" s="470" t="str">
        <f>CONCATENATE("Projected ",E1+1," carryover (est.)")</f>
        <v>Projected 2015 carryover (est.)</v>
      </c>
      <c r="I59" s="587"/>
      <c r="J59" s="601"/>
      <c r="K59" s="597"/>
    </row>
    <row r="60" spans="2:11" ht="15.75">
      <c r="B60" s="18"/>
      <c r="C60" s="692" t="str">
        <f>CONCATENATE("Amount of  ",$E$1-1," Ad Valorem Tax")</f>
        <v>Amount of  2013 Ad Valorem Tax</v>
      </c>
      <c r="D60" s="693"/>
      <c r="E60" s="42">
        <f>E58+E59</f>
        <v>0</v>
      </c>
      <c r="F60"/>
      <c r="G60" s="597"/>
      <c r="H60" s="597"/>
      <c r="I60" s="597"/>
      <c r="J60" s="597"/>
      <c r="K60" s="597"/>
    </row>
    <row r="61" spans="2:11" ht="15.75">
      <c r="B61" s="155"/>
      <c r="C61" s="18"/>
      <c r="D61" s="18"/>
      <c r="E61" s="18"/>
      <c r="F61"/>
      <c r="G61" s="689" t="s">
        <v>732</v>
      </c>
      <c r="H61" s="690"/>
      <c r="I61" s="690"/>
      <c r="J61" s="691"/>
      <c r="K61" s="597"/>
    </row>
    <row r="62" spans="2:11" ht="15.75">
      <c r="B62" s="138" t="s">
        <v>44</v>
      </c>
      <c r="C62" s="252"/>
      <c r="D62" s="18"/>
      <c r="E62" s="18"/>
      <c r="F62"/>
      <c r="G62" s="588"/>
      <c r="H62" s="488"/>
      <c r="I62" s="570"/>
      <c r="J62" s="589"/>
      <c r="K62" s="597"/>
    </row>
    <row r="63" spans="6:11" ht="15.75">
      <c r="F63"/>
      <c r="G63" s="590" t="str">
        <f>summ!H17</f>
        <v> </v>
      </c>
      <c r="H63" s="488" t="str">
        <f>CONCATENATE("",E1," Fund Mill Rate")</f>
        <v>2014 Fund Mill Rate</v>
      </c>
      <c r="I63" s="570"/>
      <c r="J63" s="589"/>
      <c r="K63" s="597"/>
    </row>
    <row r="64" spans="6:11" ht="15.75">
      <c r="F64"/>
      <c r="G64" s="592" t="str">
        <f>summ!E17</f>
        <v>  </v>
      </c>
      <c r="H64" s="488" t="str">
        <f>CONCATENATE("",E1-1," Fund Mill Rate")</f>
        <v>2013 Fund Mill Rate</v>
      </c>
      <c r="I64" s="570"/>
      <c r="J64" s="589"/>
      <c r="K64" s="597"/>
    </row>
    <row r="65" spans="6:11" ht="15.75">
      <c r="F65"/>
      <c r="G65" s="593">
        <f>summ!H23</f>
        <v>0.959</v>
      </c>
      <c r="H65" s="488" t="str">
        <f>CONCATENATE("Total ",E1," Mill Rate")</f>
        <v>Total 2014 Mill Rate</v>
      </c>
      <c r="I65" s="570"/>
      <c r="J65" s="589"/>
      <c r="K65" s="597"/>
    </row>
    <row r="66" spans="6:11" ht="15.75">
      <c r="F66"/>
      <c r="G66" s="592">
        <f>summ!E23</f>
        <v>1.089</v>
      </c>
      <c r="H66" s="594" t="str">
        <f>CONCATENATE("Total ",E1-1," Mill Rate")</f>
        <v>Total 2013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Butler Cemetery</v>
      </c>
      <c r="C1" s="18"/>
      <c r="D1" s="18"/>
      <c r="E1" s="182"/>
    </row>
    <row r="2" spans="2:5" ht="15.75">
      <c r="B2" s="18" t="str">
        <f>inputPrYr!D4</f>
        <v>Osborne County</v>
      </c>
      <c r="C2" s="18"/>
      <c r="D2" s="18"/>
      <c r="E2" s="138"/>
    </row>
    <row r="3" spans="2:6" ht="15.75">
      <c r="B3" s="25" t="s">
        <v>81</v>
      </c>
      <c r="C3" s="222"/>
      <c r="D3" s="222"/>
      <c r="E3" s="18">
        <f>inputPrYr!D6</f>
        <v>2014</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2012</v>
      </c>
      <c r="D6" s="372" t="str">
        <f>CONCATENATE("Estimate for ",E3-1,"")</f>
        <v>Estimate for 2013</v>
      </c>
      <c r="E6" s="224" t="str">
        <f>CONCATENATE("Year for ",E3,"")</f>
        <v>Year for 2014</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5.75">
      <c r="B25" s="228"/>
      <c r="C25" s="366"/>
      <c r="D25" s="366"/>
      <c r="E25" s="198"/>
      <c r="F25" s="16"/>
      <c r="G25" s="698" t="str">
        <f>CONCATENATE("Desired Carryover Into ",E3+1,"")</f>
        <v>Desired Carryover Into 2015</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2014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5.75">
      <c r="B32" s="121" t="s">
        <v>561</v>
      </c>
      <c r="C32" s="367">
        <f>IF(C33*0.1&lt;C31,"Exceed 10% Rule","")</f>
      </c>
      <c r="D32" s="367">
        <f>IF(D33*0.1&lt;D31,"Exceed 10% Rule","")</f>
      </c>
      <c r="E32" s="386">
        <f>IF(E33*0.1&lt;E31,"Exceed 10% Rule","")</f>
      </c>
      <c r="F32" s="16"/>
      <c r="G32" s="698" t="str">
        <f>CONCATENATE("Projected Carryover Into ",E3+1,"")</f>
        <v>Projected Carryover Into 2015</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2013 Ending Cash Balance (est.)</v>
      </c>
      <c r="I34" s="584"/>
      <c r="J34" s="602"/>
      <c r="K34" s="16"/>
    </row>
    <row r="35" spans="2:11" ht="15.75">
      <c r="B35" s="138" t="str">
        <f>CONCATENATE("",E3-2,"/",E3-1," Budget Authority Amount:")</f>
        <v>2012/2013 Budget Authority Amount:</v>
      </c>
      <c r="C35" s="120">
        <f>inputOth!B43</f>
        <v>0</v>
      </c>
      <c r="D35" s="387">
        <f>inputPrYr!D22</f>
        <v>0</v>
      </c>
      <c r="E35" s="128" t="s">
        <v>28</v>
      </c>
      <c r="F35" s="16"/>
      <c r="G35" s="489">
        <f>E21</f>
        <v>0</v>
      </c>
      <c r="H35" s="482" t="str">
        <f>CONCATENATE("",E3," Non-AV Receipts (est.)")</f>
        <v>2014 Non-AV Receipts (est.)</v>
      </c>
      <c r="I35" s="584"/>
      <c r="J35" s="602"/>
      <c r="K35" s="16"/>
    </row>
    <row r="36" spans="2:11" ht="15.75">
      <c r="B36" s="138"/>
      <c r="C36" s="694" t="s">
        <v>658</v>
      </c>
      <c r="D36" s="695"/>
      <c r="E36" s="35"/>
      <c r="F36" s="610">
        <f>IF(E33/0.95-E33&lt;E36,"Exceeds 5%","")</f>
      </c>
      <c r="G36" s="481">
        <f>IF(E39&gt;0,E38,E40)</f>
        <v>0</v>
      </c>
      <c r="H36" s="482" t="str">
        <f>CONCATENATE("",E3," Ad Valorem Tax (est.)")</f>
        <v>2014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2014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2012 Expenditures + 5%</v>
      </c>
      <c r="I39" s="584"/>
      <c r="J39" s="602"/>
      <c r="K39" s="16"/>
    </row>
    <row r="40" spans="2:11" ht="15.75">
      <c r="B40" s="18"/>
      <c r="C40" s="692" t="str">
        <f>CONCATENATE("Amount of  ",$E$3-1," Ad Valorem Tax")</f>
        <v>Amount of  2013 Ad Valorem Tax</v>
      </c>
      <c r="D40" s="693"/>
      <c r="E40" s="42">
        <f>E38+E39</f>
        <v>0</v>
      </c>
      <c r="F40" s="16"/>
      <c r="G40" s="517">
        <f>G37-G39</f>
        <v>0</v>
      </c>
      <c r="H40" s="470" t="str">
        <f>CONCATENATE("Projected ",E3+1," carryover (est.)")</f>
        <v>Projected 2015 carryover (est.)</v>
      </c>
      <c r="I40" s="587"/>
      <c r="J40" s="604"/>
      <c r="K40" s="16"/>
    </row>
    <row r="41" spans="2:11" ht="15.75">
      <c r="B41" s="18"/>
      <c r="C41" s="18"/>
      <c r="D41" s="18"/>
      <c r="E41" s="18"/>
      <c r="F41" s="16"/>
      <c r="G41" s="597"/>
      <c r="H41" s="597"/>
      <c r="I41" s="597"/>
      <c r="J41" s="597"/>
      <c r="K41" s="16"/>
    </row>
    <row r="42" spans="2:11" ht="15.7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2012</v>
      </c>
      <c r="D44" s="372" t="str">
        <f>D6</f>
        <v>Estimate for 2013</v>
      </c>
      <c r="E44" s="224" t="str">
        <f>E6</f>
        <v>Year for 2014</v>
      </c>
      <c r="F44" s="16"/>
      <c r="G44" s="590" t="str">
        <f>summ!H18</f>
        <v> </v>
      </c>
      <c r="H44" s="488" t="str">
        <f>CONCATENATE("",E3," Fund Mill Rate")</f>
        <v>2014 Fund Mill Rate</v>
      </c>
      <c r="I44" s="570"/>
      <c r="J44" s="589"/>
      <c r="K44" s="16"/>
    </row>
    <row r="45" spans="2:11" ht="15.75">
      <c r="B45" s="119" t="s">
        <v>125</v>
      </c>
      <c r="C45" s="366"/>
      <c r="D45" s="373">
        <f>C72</f>
        <v>0</v>
      </c>
      <c r="E45" s="45">
        <f>D72</f>
        <v>0</v>
      </c>
      <c r="F45" s="16"/>
      <c r="G45" s="592" t="str">
        <f>summ!E18</f>
        <v>  </v>
      </c>
      <c r="H45" s="488" t="str">
        <f>CONCATENATE("",E3-1," Fund Mill Rate")</f>
        <v>2013 Fund Mill Rate</v>
      </c>
      <c r="I45" s="570"/>
      <c r="J45" s="589"/>
      <c r="K45" s="16"/>
    </row>
    <row r="46" spans="2:11" ht="15.75">
      <c r="B46" s="226" t="s">
        <v>127</v>
      </c>
      <c r="C46" s="227"/>
      <c r="D46" s="227"/>
      <c r="E46" s="123"/>
      <c r="F46" s="16"/>
      <c r="G46" s="593">
        <f>summ!H23</f>
        <v>0.959</v>
      </c>
      <c r="H46" s="488" t="str">
        <f>CONCATENATE("Total ",E3," Mill Rate")</f>
        <v>Total 2014 Mill Rate</v>
      </c>
      <c r="I46" s="570"/>
      <c r="J46" s="589"/>
      <c r="K46" s="16"/>
    </row>
    <row r="47" spans="2:11" ht="15.75">
      <c r="B47" s="119" t="s">
        <v>33</v>
      </c>
      <c r="C47" s="366"/>
      <c r="D47" s="373">
        <f>IF(inputPrYr!H18&gt;0,inputPrYr!G23,inputPrYr!E23)</f>
        <v>0</v>
      </c>
      <c r="E47" s="128" t="s">
        <v>28</v>
      </c>
      <c r="F47" s="16"/>
      <c r="G47" s="592">
        <f>summ!E23</f>
        <v>1.089</v>
      </c>
      <c r="H47" s="594" t="str">
        <f>CONCATENATE("Total ",E3-1," Mill Rate")</f>
        <v>Total 2013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5.75">
      <c r="B65" s="228"/>
      <c r="C65" s="366"/>
      <c r="D65" s="366"/>
      <c r="E65" s="198"/>
      <c r="F65" s="16"/>
      <c r="G65" s="698" t="str">
        <f>CONCATENATE("Desired Carryover Into ",E3+1,"")</f>
        <v>Desired Carryover Into 2015</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2014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5.75">
      <c r="B72" s="119" t="s">
        <v>126</v>
      </c>
      <c r="C72" s="369">
        <f>C60-C71</f>
        <v>0</v>
      </c>
      <c r="D72" s="369">
        <f>D60-D71</f>
        <v>0</v>
      </c>
      <c r="E72" s="128" t="s">
        <v>28</v>
      </c>
      <c r="F72" s="16"/>
      <c r="G72" s="698" t="str">
        <f>CONCATENATE("Projected Carryover Into ",E3+1,"")</f>
        <v>Projected Carryover Into 2015</v>
      </c>
      <c r="H72" s="703"/>
      <c r="I72" s="703"/>
      <c r="J72" s="702"/>
      <c r="K72" s="16"/>
    </row>
    <row r="73" spans="2:11" ht="15.75">
      <c r="B73" s="138" t="str">
        <f>CONCATENATE("",E3-2,"/",E3-1," Budget Authority Amount:")</f>
        <v>2012/2013 Budget Authority Amount:</v>
      </c>
      <c r="C73" s="120">
        <f>inputOth!B44</f>
        <v>0</v>
      </c>
      <c r="D73" s="387">
        <f>inputPrYr!D23</f>
        <v>0</v>
      </c>
      <c r="E73" s="128" t="s">
        <v>28</v>
      </c>
      <c r="F73" s="16"/>
      <c r="G73" s="494"/>
      <c r="H73" s="69"/>
      <c r="I73" s="69"/>
      <c r="J73" s="483"/>
      <c r="K73" s="16"/>
    </row>
    <row r="74" spans="2:11" ht="15.75">
      <c r="B74" s="138"/>
      <c r="C74" s="694" t="s">
        <v>658</v>
      </c>
      <c r="D74" s="695"/>
      <c r="E74" s="35"/>
      <c r="F74" s="611">
        <f>IF(E71/0.95-E71&lt;E74,"Exceeds 5%","")</f>
      </c>
      <c r="G74" s="489">
        <f>D72</f>
        <v>0</v>
      </c>
      <c r="H74" s="488" t="str">
        <f>CONCATENATE("",E3-1," Ending Cash Balance (est.)")</f>
        <v>2013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2014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2014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2014 Resources Available</v>
      </c>
      <c r="I77" s="483"/>
      <c r="J77" s="483"/>
      <c r="K77" s="16"/>
    </row>
    <row r="78" spans="2:11" ht="15.75">
      <c r="B78" s="18"/>
      <c r="C78" s="692" t="str">
        <f>CONCATENATE("Amount of  ",$E$3-1," Ad Valorem Tax")</f>
        <v>Amount of  2013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2012 Expenditures + 5%</v>
      </c>
      <c r="I79" s="483"/>
      <c r="J79" s="483"/>
      <c r="K79" s="16"/>
    </row>
    <row r="80" spans="2:11" ht="15.75">
      <c r="B80" s="138" t="s">
        <v>44</v>
      </c>
      <c r="C80" s="252"/>
      <c r="D80" s="18"/>
      <c r="E80" s="18"/>
      <c r="F80" s="16"/>
      <c r="G80" s="608">
        <f>G77-G79</f>
        <v>0</v>
      </c>
      <c r="H80" s="496" t="str">
        <f>CONCATENATE("Projected ",E3+1," carryover (est.)")</f>
        <v>Projected 2015 carryover (est.)</v>
      </c>
      <c r="I80" s="477"/>
      <c r="J80" s="604"/>
      <c r="K80" s="16"/>
    </row>
    <row r="81" spans="6:11" ht="15.75">
      <c r="F81" s="16"/>
      <c r="G81" s="597"/>
      <c r="H81" s="597"/>
      <c r="I81" s="597"/>
      <c r="J81" s="16"/>
      <c r="K81" s="16"/>
    </row>
    <row r="82" spans="6:11" ht="15.75">
      <c r="F82" s="16"/>
      <c r="G82" s="689" t="s">
        <v>732</v>
      </c>
      <c r="H82" s="690"/>
      <c r="I82" s="690"/>
      <c r="J82" s="691"/>
      <c r="K82" s="16"/>
    </row>
    <row r="83" spans="6:11" ht="15.75">
      <c r="F83" s="16"/>
      <c r="G83" s="588"/>
      <c r="H83" s="488"/>
      <c r="I83" s="570"/>
      <c r="J83" s="589"/>
      <c r="K83" s="16"/>
    </row>
    <row r="84" spans="6:11" ht="15.75">
      <c r="F84" s="16"/>
      <c r="G84" s="590" t="str">
        <f>summ!H19</f>
        <v> </v>
      </c>
      <c r="H84" s="488" t="str">
        <f>CONCATENATE("",E3," Fund Mill Rate")</f>
        <v>2014 Fund Mill Rate</v>
      </c>
      <c r="I84" s="570"/>
      <c r="J84" s="589"/>
      <c r="K84" s="16"/>
    </row>
    <row r="85" spans="6:11" ht="15.75">
      <c r="F85" s="16"/>
      <c r="G85" s="592" t="str">
        <f>summ!E19</f>
        <v>  </v>
      </c>
      <c r="H85" s="488" t="str">
        <f>CONCATENATE("",E3-1," Fund Mill Rate")</f>
        <v>2013 Fund Mill Rate</v>
      </c>
      <c r="I85" s="570"/>
      <c r="J85" s="589"/>
      <c r="K85" s="16"/>
    </row>
    <row r="86" spans="6:11" ht="15.75" customHeight="1">
      <c r="F86" s="16"/>
      <c r="G86" s="593">
        <f>summ!H23</f>
        <v>0.959</v>
      </c>
      <c r="H86" s="488" t="str">
        <f>CONCATENATE("Total ",E3," Mill Rate")</f>
        <v>Total 2014 Mill Rate</v>
      </c>
      <c r="I86" s="570"/>
      <c r="J86" s="589"/>
      <c r="K86" s="16"/>
    </row>
    <row r="87" spans="3:11" ht="15.75" customHeight="1">
      <c r="C87" s="95">
        <f>IF(C33&gt;C35,"See Tab A","")</f>
      </c>
      <c r="D87" s="95">
        <f>IF(D33&gt;D35,"See Tab C","")</f>
      </c>
      <c r="F87" s="16"/>
      <c r="G87" s="592">
        <f>summ!E23</f>
        <v>1.089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5.75">
      <c r="G91" s="612"/>
      <c r="H91" s="572"/>
      <c r="I91" s="617"/>
      <c r="J91" s="613"/>
    </row>
  </sheetData>
  <sheetProtection sheet="1"/>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Butler Cemetery</v>
      </c>
      <c r="C1" s="222"/>
      <c r="D1" s="18"/>
      <c r="E1" s="182"/>
    </row>
    <row r="2" spans="2:5" ht="15.75">
      <c r="B2" s="18" t="str">
        <f>inputPrYr!D4</f>
        <v>Osborne County</v>
      </c>
      <c r="C2" s="222"/>
      <c r="D2" s="18"/>
      <c r="E2" s="138"/>
    </row>
    <row r="3" spans="2:5" ht="15.75">
      <c r="B3" s="25" t="s">
        <v>82</v>
      </c>
      <c r="C3" s="222"/>
      <c r="D3" s="222"/>
      <c r="E3" s="138">
        <f>inputPrYr!D6</f>
        <v>2014</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2012</v>
      </c>
      <c r="D6" s="224" t="str">
        <f>CONCATENATE("Estimate for ",E3-1,"")</f>
        <v>Estimate for 2013</v>
      </c>
      <c r="E6" s="224" t="str">
        <f>CONCATENATE("Year for ",E3,"")</f>
        <v>Year for 2014</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2012</v>
      </c>
      <c r="D39" s="224" t="str">
        <f>D6</f>
        <v>Estimate for 2013</v>
      </c>
      <c r="E39" s="224" t="str">
        <f>E6</f>
        <v>Year for 2014</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Butler Cemetery</v>
      </c>
      <c r="B1" s="255"/>
      <c r="C1" s="60"/>
      <c r="D1" s="60"/>
      <c r="E1" s="60"/>
      <c r="F1" s="256" t="s">
        <v>231</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287</v>
      </c>
    </row>
    <row r="2" ht="15.75">
      <c r="A2" s="95"/>
    </row>
    <row r="3" ht="15.75">
      <c r="A3" s="95"/>
    </row>
    <row r="4" ht="56.25" customHeight="1">
      <c r="A4" s="317" t="s">
        <v>288</v>
      </c>
    </row>
    <row r="5" ht="15.75">
      <c r="A5" s="318"/>
    </row>
    <row r="6" ht="15.75">
      <c r="A6" s="95"/>
    </row>
    <row r="7" ht="50.25" customHeight="1">
      <c r="A7" s="317" t="s">
        <v>289</v>
      </c>
    </row>
    <row r="8" ht="15.75">
      <c r="A8" s="95"/>
    </row>
    <row r="9" ht="15.75">
      <c r="A9" s="95"/>
    </row>
    <row r="10" ht="52.5" customHeight="1">
      <c r="A10" s="317" t="s">
        <v>290</v>
      </c>
    </row>
    <row r="11" ht="15.75">
      <c r="A11" s="95"/>
    </row>
    <row r="12" ht="15.75">
      <c r="A12" s="95"/>
    </row>
    <row r="13" ht="52.5" customHeight="1">
      <c r="A13" s="317" t="s">
        <v>291</v>
      </c>
    </row>
    <row r="14" ht="15.75">
      <c r="A14" s="318"/>
    </row>
    <row r="15" ht="15.75">
      <c r="A15" s="318"/>
    </row>
    <row r="16" ht="51" customHeight="1">
      <c r="A16" s="468" t="s">
        <v>650</v>
      </c>
    </row>
    <row r="17" ht="15.75">
      <c r="A17" s="318"/>
    </row>
    <row r="18" ht="15.75">
      <c r="A18" s="318"/>
    </row>
    <row r="19" ht="37.5" customHeight="1">
      <c r="A19" s="317" t="s">
        <v>292</v>
      </c>
    </row>
    <row r="20" ht="15.75">
      <c r="A20" s="95"/>
    </row>
    <row r="21" ht="15.75">
      <c r="A21" s="95"/>
    </row>
    <row r="22" ht="47.25">
      <c r="A22" s="317" t="s">
        <v>293</v>
      </c>
    </row>
    <row r="23" ht="15.75">
      <c r="A23" s="318"/>
    </row>
    <row r="24" ht="15.75">
      <c r="A24" s="95"/>
    </row>
    <row r="25" ht="67.5" customHeight="1">
      <c r="A25" s="317" t="s">
        <v>294</v>
      </c>
    </row>
    <row r="26" ht="68.25" customHeight="1">
      <c r="A26" s="319" t="s">
        <v>295</v>
      </c>
    </row>
    <row r="27" ht="15.75">
      <c r="A27" s="95"/>
    </row>
    <row r="28" ht="15.75">
      <c r="A28" s="95"/>
    </row>
    <row r="29" ht="51" customHeight="1">
      <c r="A29" s="469" t="s">
        <v>651</v>
      </c>
    </row>
    <row r="30" ht="15.75">
      <c r="A30" s="95"/>
    </row>
    <row r="31" ht="15.75">
      <c r="A31" s="318"/>
    </row>
    <row r="32" ht="69" customHeight="1">
      <c r="A32" s="469" t="s">
        <v>652</v>
      </c>
    </row>
    <row r="33" ht="15.75">
      <c r="A33" s="318"/>
    </row>
    <row r="34" ht="15.75">
      <c r="A34" s="318"/>
    </row>
    <row r="35" ht="52.5" customHeight="1">
      <c r="A35" s="469" t="s">
        <v>653</v>
      </c>
    </row>
    <row r="36" ht="15.75">
      <c r="A36" s="318"/>
    </row>
    <row r="37" ht="15.75">
      <c r="A37" s="318"/>
    </row>
    <row r="38" ht="59.25" customHeight="1">
      <c r="A38" s="317" t="s">
        <v>296</v>
      </c>
    </row>
    <row r="39" ht="15.75">
      <c r="A39" s="95"/>
    </row>
    <row r="40" ht="15.75">
      <c r="A40" s="95"/>
    </row>
    <row r="41" ht="53.25" customHeight="1">
      <c r="A41" s="317" t="s">
        <v>297</v>
      </c>
    </row>
    <row r="42" ht="15.75">
      <c r="A42" s="318"/>
    </row>
    <row r="43" ht="15.7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52" t="s">
        <v>83</v>
      </c>
      <c r="B1" s="652"/>
      <c r="C1" s="652"/>
      <c r="D1" s="652"/>
      <c r="E1" s="652"/>
      <c r="F1" s="652"/>
      <c r="G1" s="652"/>
      <c r="H1" s="716"/>
    </row>
    <row r="2" spans="1:8" ht="15.75">
      <c r="A2" s="18"/>
      <c r="B2" s="18"/>
      <c r="C2" s="18"/>
      <c r="D2" s="18"/>
      <c r="E2" s="18"/>
      <c r="F2" s="18"/>
      <c r="G2" s="18"/>
      <c r="H2" s="18"/>
    </row>
    <row r="3" spans="1:9" ht="15.75">
      <c r="A3" s="681" t="s">
        <v>110</v>
      </c>
      <c r="B3" s="681"/>
      <c r="C3" s="681"/>
      <c r="D3" s="681"/>
      <c r="E3" s="681"/>
      <c r="F3" s="681"/>
      <c r="G3" s="681"/>
      <c r="H3" s="681"/>
      <c r="I3" s="52">
        <f>inputPrYr!D6</f>
        <v>2014</v>
      </c>
    </row>
    <row r="4" spans="1:8" ht="15.75">
      <c r="A4" s="650" t="str">
        <f>inputPrYr!D3</f>
        <v>Butler Cemetery</v>
      </c>
      <c r="B4" s="650"/>
      <c r="C4" s="650"/>
      <c r="D4" s="650"/>
      <c r="E4" s="650"/>
      <c r="F4" s="650"/>
      <c r="G4" s="650"/>
      <c r="H4" s="650"/>
    </row>
    <row r="5" spans="1:8" ht="15.75">
      <c r="A5" s="719" t="str">
        <f>inputPrYr!D4</f>
        <v>Osborne County</v>
      </c>
      <c r="B5" s="719"/>
      <c r="C5" s="719"/>
      <c r="D5" s="719"/>
      <c r="E5" s="719"/>
      <c r="F5" s="719"/>
      <c r="G5" s="719"/>
      <c r="H5" s="719"/>
    </row>
    <row r="6" spans="1:8" ht="15.75">
      <c r="A6" s="668" t="str">
        <f>CONCATENATE("will meet on ",inputBudSum!B7," at ",inputBudSum!B9," at ",inputBudSum!B11," for the purpose of hearing and")</f>
        <v>will meet on August 12, 2013 at 2:00 p.m. at Osborne County Courthouse for the purpose of hearing and</v>
      </c>
      <c r="B6" s="668"/>
      <c r="C6" s="668"/>
      <c r="D6" s="668"/>
      <c r="E6" s="668"/>
      <c r="F6" s="668"/>
      <c r="G6" s="668"/>
      <c r="H6" s="668"/>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708" t="str">
        <f>CONCATENATE("Estimated Value Of One Mill For ",I3,"")</f>
        <v>Estimated Value Of One Mill For 2014</v>
      </c>
      <c r="K12" s="709"/>
      <c r="L12" s="709"/>
      <c r="M12" s="710"/>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7"/>
      <c r="K13" s="498"/>
      <c r="L13" s="498"/>
      <c r="M13" s="499"/>
    </row>
    <row r="14" spans="1:13" ht="15.75">
      <c r="A14" s="215"/>
      <c r="B14" s="105"/>
      <c r="C14" s="293" t="s">
        <v>51</v>
      </c>
      <c r="D14" s="105"/>
      <c r="E14" s="293" t="s">
        <v>51</v>
      </c>
      <c r="F14" s="215" t="s">
        <v>212</v>
      </c>
      <c r="G14" s="717" t="str">
        <f>CONCATENATE("Amount of ",I3-1," Ad Valorem Tax")</f>
        <v>Amount of 2013 Ad Valorem Tax</v>
      </c>
      <c r="H14" s="293" t="s">
        <v>565</v>
      </c>
      <c r="J14" s="500" t="s">
        <v>666</v>
      </c>
      <c r="K14" s="501"/>
      <c r="L14" s="501"/>
      <c r="M14" s="502">
        <f>ROUND(F27/1000,0)</f>
        <v>833</v>
      </c>
    </row>
    <row r="15" spans="1:13" ht="15.75">
      <c r="A15" s="169" t="s">
        <v>52</v>
      </c>
      <c r="B15" s="114" t="s">
        <v>53</v>
      </c>
      <c r="C15" s="294" t="s">
        <v>197</v>
      </c>
      <c r="D15" s="114" t="s">
        <v>53</v>
      </c>
      <c r="E15" s="294" t="s">
        <v>197</v>
      </c>
      <c r="F15" s="114" t="s">
        <v>560</v>
      </c>
      <c r="G15" s="718"/>
      <c r="H15" s="294" t="s">
        <v>197</v>
      </c>
      <c r="J15" s="16"/>
      <c r="K15" s="16"/>
      <c r="L15" s="16"/>
      <c r="M15" s="16"/>
    </row>
    <row r="16" spans="1:13" ht="15.75">
      <c r="A16" s="36" t="str">
        <f>inputPrYr!B19</f>
        <v>General</v>
      </c>
      <c r="B16" s="123">
        <f>IF(gen!$C$61&lt;&gt;0,gen!$C$61,"  ")</f>
        <v>425</v>
      </c>
      <c r="C16" s="622">
        <f>IF(inputPrYr!D38&gt;0,inputPrYr!D38,"  ")</f>
        <v>1.176</v>
      </c>
      <c r="D16" s="560">
        <f>IF(gen!$D$61&lt;&gt;0,gen!$D$61,"  ")</f>
        <v>945</v>
      </c>
      <c r="E16" s="625">
        <f>IF(inputOth!D16&gt;0,inputOth!D16,"  ")</f>
        <v>1.089</v>
      </c>
      <c r="F16" s="560">
        <f>IF(gen!$E$61&lt;&gt;0,gen!$E$61,"  ")</f>
        <v>1905</v>
      </c>
      <c r="G16" s="243">
        <f>IF(gen!$E$68&lt;&gt;0,gen!$E$68,"  ")</f>
        <v>799</v>
      </c>
      <c r="H16" s="622">
        <f>IF(gen!E68&gt;0,ROUND(G16/$F$27*1000,3)," ")</f>
        <v>0.959</v>
      </c>
      <c r="J16" s="708" t="str">
        <f>CONCATENATE("Want The Mill Rate The Same As For ",I3-1,"?")</f>
        <v>Want The Mill Rate The Same As For 2013?</v>
      </c>
      <c r="K16" s="711"/>
      <c r="L16" s="711"/>
      <c r="M16" s="712"/>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2013 Mill Rate Was:</v>
      </c>
      <c r="K18" s="498"/>
      <c r="L18" s="498"/>
      <c r="M18" s="505">
        <f>E23</f>
        <v>1.089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2014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108</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425</v>
      </c>
      <c r="C23" s="624">
        <f aca="true" t="shared" si="0" ref="C23:H23">SUM(C16:C21)</f>
        <v>1.176</v>
      </c>
      <c r="D23" s="619">
        <f t="shared" si="0"/>
        <v>945</v>
      </c>
      <c r="E23" s="627">
        <f t="shared" si="0"/>
        <v>1.089</v>
      </c>
      <c r="F23" s="619">
        <f t="shared" si="0"/>
        <v>1905</v>
      </c>
      <c r="G23" s="619">
        <f t="shared" si="0"/>
        <v>799</v>
      </c>
      <c r="H23" s="627">
        <f t="shared" si="0"/>
        <v>0.959</v>
      </c>
      <c r="J23" s="708" t="str">
        <f>CONCATENATE("Impact On Keeping The Same Mill Rate As For ",I3-1,"")</f>
        <v>Impact On Keeping The Same Mill Rate As For 2013</v>
      </c>
      <c r="K23" s="713"/>
      <c r="L23" s="713"/>
      <c r="M23" s="714"/>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425</v>
      </c>
      <c r="C25" s="296"/>
      <c r="D25" s="129">
        <f>SUM(D23-D24)</f>
        <v>945</v>
      </c>
      <c r="E25" s="296"/>
      <c r="F25" s="484">
        <f>SUM(F23-F24)</f>
        <v>1905</v>
      </c>
      <c r="G25" s="238"/>
      <c r="H25" s="295"/>
      <c r="J25" s="503" t="str">
        <f>CONCATENATE("",I3," Ad Valorem Tax Revenue:")</f>
        <v>2014 Ad Valorem Tax Revenue:</v>
      </c>
      <c r="K25" s="498"/>
      <c r="L25" s="498"/>
      <c r="M25" s="499">
        <f>G23</f>
        <v>799</v>
      </c>
    </row>
    <row r="26" spans="1:13" ht="16.5" thickTop="1">
      <c r="A26" s="33" t="s">
        <v>54</v>
      </c>
      <c r="B26" s="619">
        <f>inputPrYr!E44</f>
        <v>795</v>
      </c>
      <c r="C26" s="215"/>
      <c r="D26" s="619">
        <f>inputPrYr!E24</f>
        <v>799</v>
      </c>
      <c r="E26" s="215"/>
      <c r="F26" s="83" t="s">
        <v>174</v>
      </c>
      <c r="G26" s="18"/>
      <c r="H26" s="18"/>
      <c r="J26" s="503" t="str">
        <f>CONCATENATE("",I3-1," Ad Valorem Tax Revenue:")</f>
        <v>2013 Ad Valorem Tax Revenue:</v>
      </c>
      <c r="K26" s="498"/>
      <c r="L26" s="498"/>
      <c r="M26" s="512">
        <f>ROUND(F27*M18/1000,0)</f>
        <v>907</v>
      </c>
    </row>
    <row r="27" spans="1:13" ht="15.75">
      <c r="A27" s="33" t="s">
        <v>170</v>
      </c>
      <c r="B27" s="42">
        <f>inputPrYr!E45</f>
        <v>676531</v>
      </c>
      <c r="C27" s="215"/>
      <c r="D27" s="42">
        <f>inputOth!E24</f>
        <v>734325</v>
      </c>
      <c r="E27" s="215"/>
      <c r="F27" s="42">
        <f>inputOth!E7</f>
        <v>833328</v>
      </c>
      <c r="G27" s="18"/>
      <c r="H27" s="18"/>
      <c r="J27" s="513" t="s">
        <v>667</v>
      </c>
      <c r="K27" s="514"/>
      <c r="L27" s="514"/>
      <c r="M27" s="502">
        <f>M25-M26</f>
        <v>-108</v>
      </c>
    </row>
    <row r="28" spans="1:13" ht="15.75">
      <c r="A28" s="20"/>
      <c r="B28" s="238"/>
      <c r="C28" s="69"/>
      <c r="D28" s="238"/>
      <c r="E28" s="69"/>
      <c r="F28" s="238"/>
      <c r="G28" s="18"/>
      <c r="H28" s="18"/>
      <c r="J28" s="515"/>
      <c r="K28" s="515"/>
      <c r="L28" s="515"/>
      <c r="M28" s="511"/>
    </row>
    <row r="29" spans="1:13" ht="15.75">
      <c r="A29" s="17" t="s">
        <v>55</v>
      </c>
      <c r="B29" s="18"/>
      <c r="C29" s="18"/>
      <c r="D29" s="18"/>
      <c r="E29" s="18"/>
      <c r="F29" s="18"/>
      <c r="G29" s="18"/>
      <c r="H29" s="18"/>
      <c r="J29" s="708" t="s">
        <v>668</v>
      </c>
      <c r="K29" s="711"/>
      <c r="L29" s="711"/>
      <c r="M29" s="712"/>
    </row>
    <row r="30" spans="1:13" ht="15.75">
      <c r="A30" s="17" t="s">
        <v>167</v>
      </c>
      <c r="B30" s="98">
        <f>I3-3</f>
        <v>2011</v>
      </c>
      <c r="C30" s="18"/>
      <c r="D30" s="98">
        <f>I3-2</f>
        <v>2012</v>
      </c>
      <c r="E30" s="18"/>
      <c r="F30" s="98">
        <f>I3-1</f>
        <v>2013</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2014 Estimated Mill Rate:</v>
      </c>
      <c r="K31" s="498"/>
      <c r="L31" s="498"/>
      <c r="M31" s="505">
        <f>H23</f>
        <v>0.959</v>
      </c>
    </row>
    <row r="32" spans="1:13" ht="15.75">
      <c r="A32" s="18" t="s">
        <v>57</v>
      </c>
      <c r="B32" s="297">
        <f>inputPrYr!D49</f>
        <v>0</v>
      </c>
      <c r="C32" s="18"/>
      <c r="D32" s="297">
        <f>inputPrYr!E49</f>
        <v>0</v>
      </c>
      <c r="E32" s="18"/>
      <c r="F32" s="297">
        <f>debt!F16</f>
        <v>0</v>
      </c>
      <c r="G32" s="18"/>
      <c r="H32" s="52"/>
      <c r="J32" s="503" t="str">
        <f>CONCATENATE("Desired ",I3," Mill Rate:")</f>
        <v>Desired 2014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2014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2014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15" t="str">
        <f>inputBudSum!B3</f>
        <v>John Campbell, Treasurer</v>
      </c>
      <c r="B40" s="676"/>
      <c r="C40" s="99"/>
      <c r="D40" s="18"/>
      <c r="E40" s="18"/>
      <c r="F40" s="18"/>
      <c r="G40" s="18"/>
      <c r="H40" s="52"/>
    </row>
    <row r="41" spans="1:8" ht="15.75">
      <c r="A41" s="706" t="str">
        <f>inputBudSum!B5</f>
        <v>Butler Cemetery</v>
      </c>
      <c r="B41" s="707"/>
      <c r="C41" s="18"/>
      <c r="D41" s="138" t="s">
        <v>44</v>
      </c>
      <c r="E41" s="486"/>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Butler Cemetery</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67" t="str">
        <f>CONCATENATE("",F1," Neighborhood Revitalization Rebate")</f>
        <v>2014 Neighborhood Revitalization Rebate</v>
      </c>
      <c r="C4" s="722"/>
      <c r="D4" s="722"/>
      <c r="E4" s="716"/>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210</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3" t="str">
        <f>CONCATENATE("",F1-1," July 1 Valuation:")</f>
        <v>2013 July 1 Valuation:</v>
      </c>
      <c r="B16" s="721"/>
      <c r="C16" s="723"/>
      <c r="D16" s="308">
        <f>inputOth!E7</f>
        <v>833328</v>
      </c>
      <c r="E16" s="18"/>
      <c r="F16" s="52"/>
    </row>
    <row r="17" spans="1:6" ht="15.75">
      <c r="A17" s="18"/>
      <c r="B17" s="18"/>
      <c r="C17" s="18"/>
      <c r="D17" s="18"/>
      <c r="E17" s="18"/>
      <c r="F17" s="52"/>
    </row>
    <row r="18" spans="1:6" ht="15.75">
      <c r="A18" s="18"/>
      <c r="B18" s="723" t="s">
        <v>318</v>
      </c>
      <c r="C18" s="723"/>
      <c r="D18" s="309">
        <f>IF(D16&gt;0,(D16*0.001),"")</f>
        <v>833.328</v>
      </c>
      <c r="E18" s="18"/>
      <c r="F18" s="52"/>
    </row>
    <row r="19" spans="1:6" ht="15.75">
      <c r="A19" s="18"/>
      <c r="B19" s="138"/>
      <c r="C19" s="138"/>
      <c r="D19" s="310"/>
      <c r="E19" s="18"/>
      <c r="F19" s="52"/>
    </row>
    <row r="20" spans="1:6" ht="15.75">
      <c r="A20" s="720" t="s">
        <v>316</v>
      </c>
      <c r="B20" s="716"/>
      <c r="C20" s="716"/>
      <c r="D20" s="311">
        <f>inputOth!E12</f>
        <v>0</v>
      </c>
      <c r="E20" s="62"/>
      <c r="F20" s="62"/>
    </row>
    <row r="21" spans="1:6" ht="15">
      <c r="A21" s="62"/>
      <c r="B21" s="62"/>
      <c r="C21" s="62"/>
      <c r="D21" s="312"/>
      <c r="E21" s="62"/>
      <c r="F21" s="62"/>
    </row>
    <row r="22" spans="1:6" ht="15.75">
      <c r="A22" s="62"/>
      <c r="B22" s="720" t="s">
        <v>317</v>
      </c>
      <c r="C22" s="72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2"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2" t="s">
        <v>547</v>
      </c>
      <c r="B27" s="62"/>
      <c r="C27" s="62"/>
      <c r="D27" s="62"/>
      <c r="E27" s="62"/>
      <c r="F27" s="62"/>
    </row>
    <row r="28" spans="1:6" ht="15.75">
      <c r="A28" s="362"/>
      <c r="B28" s="62"/>
      <c r="C28" s="62"/>
      <c r="D28" s="62"/>
      <c r="E28" s="62"/>
      <c r="F28" s="62"/>
    </row>
    <row r="29" spans="1:6" ht="15.75">
      <c r="A29" s="362"/>
      <c r="B29" s="62"/>
      <c r="C29" s="62"/>
      <c r="D29" s="62"/>
      <c r="E29" s="62"/>
      <c r="F29" s="62"/>
    </row>
    <row r="30" spans="1:6" ht="15.75">
      <c r="A30" s="362"/>
      <c r="B30" s="62"/>
      <c r="C30" s="62"/>
      <c r="D30" s="62"/>
      <c r="E30" s="62"/>
      <c r="F30" s="62"/>
    </row>
    <row r="31" spans="1:6" ht="15.75">
      <c r="A31" s="362"/>
      <c r="B31" s="62"/>
      <c r="C31" s="62"/>
      <c r="D31" s="62"/>
      <c r="E31" s="62"/>
      <c r="F31" s="62"/>
    </row>
    <row r="32" spans="1:6" ht="15.75">
      <c r="A32" s="362"/>
      <c r="B32" s="62"/>
      <c r="C32" s="62"/>
      <c r="D32" s="62"/>
      <c r="E32" s="62"/>
      <c r="F32" s="62"/>
    </row>
    <row r="33" spans="1:6" ht="15.75">
      <c r="A33" s="362"/>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32" t="s">
        <v>140</v>
      </c>
      <c r="C1" s="732"/>
      <c r="D1" s="732"/>
      <c r="E1" s="732"/>
      <c r="F1" s="732"/>
      <c r="G1" s="732"/>
      <c r="H1" s="732"/>
    </row>
    <row r="2" spans="2:8" ht="15.75">
      <c r="B2" s="6"/>
      <c r="C2"/>
      <c r="D2"/>
      <c r="E2"/>
      <c r="F2"/>
      <c r="G2"/>
      <c r="H2"/>
    </row>
    <row r="3" spans="2:8" ht="15.75">
      <c r="B3" s="733" t="s">
        <v>137</v>
      </c>
      <c r="C3" s="733"/>
      <c r="D3" s="733"/>
      <c r="E3" s="733"/>
      <c r="F3" s="733"/>
      <c r="G3" s="733"/>
      <c r="H3" s="733"/>
    </row>
    <row r="4" spans="2:8" ht="15.75">
      <c r="B4" s="7"/>
      <c r="C4"/>
      <c r="D4"/>
      <c r="E4"/>
      <c r="F4"/>
      <c r="G4"/>
      <c r="H4"/>
    </row>
    <row r="5" spans="2:8" ht="15.75">
      <c r="B5" s="725" t="str">
        <f>CONCATENATE("A resolution expressing the property taxation policy of the Board of ",(inputPrYr!D3)," District with respect to financing the ",inputPrYr!D6," annual budget for ",(inputPrYr!D3)," , ",(inputPrYr!D4)," , Kansas.")</f>
        <v>A resolution expressing the property taxation policy of the Board of Butler Cemetery District with respect to financing the 2014 annual budget for Butler Cemetery , Osborne County , Kansas.</v>
      </c>
      <c r="C5" s="726"/>
      <c r="D5" s="726"/>
      <c r="E5" s="726"/>
      <c r="F5" s="726"/>
      <c r="G5" s="726"/>
      <c r="H5" s="726"/>
    </row>
    <row r="6" spans="2:10" ht="15.75">
      <c r="B6" s="726"/>
      <c r="C6" s="726"/>
      <c r="D6" s="726"/>
      <c r="E6" s="726"/>
      <c r="F6" s="726"/>
      <c r="G6" s="726"/>
      <c r="H6" s="726"/>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2014 Butler Cemetery district budget exceed the amount levied to finance the</v>
      </c>
      <c r="C9"/>
      <c r="D9"/>
      <c r="E9"/>
      <c r="F9"/>
      <c r="G9"/>
      <c r="H9"/>
    </row>
    <row r="10" spans="2:8" ht="15.75">
      <c r="B10" s="12" t="str">
        <f>CONCATENATE("",inputPrYr!D6-1," ",inputPrYr!D3," except with regard to revenue produced and attributable to the")</f>
        <v>2013 Butler Cemetery except with regard to revenue produced and attributable to the</v>
      </c>
      <c r="C10"/>
      <c r="D10"/>
      <c r="E10"/>
      <c r="F10"/>
      <c r="G10"/>
      <c r="H10"/>
    </row>
    <row r="11" spans="2:8" ht="15.75">
      <c r="B11" s="729" t="s">
        <v>176</v>
      </c>
      <c r="C11" s="734"/>
      <c r="D11" s="734"/>
      <c r="E11" s="734"/>
      <c r="F11" s="734"/>
      <c r="G11" s="734"/>
      <c r="H11" s="734"/>
    </row>
    <row r="12" spans="2:8" ht="15.75">
      <c r="B12" s="734"/>
      <c r="C12" s="734"/>
      <c r="D12" s="734"/>
      <c r="E12" s="734"/>
      <c r="F12" s="734"/>
      <c r="G12" s="734"/>
      <c r="H12" s="734"/>
    </row>
    <row r="13" spans="2:8" ht="15.75">
      <c r="B13" s="734"/>
      <c r="C13" s="734"/>
      <c r="D13" s="734"/>
      <c r="E13" s="734"/>
      <c r="F13" s="734"/>
      <c r="G13" s="734"/>
      <c r="H13" s="734"/>
    </row>
    <row r="14" spans="2:8" ht="15.75">
      <c r="B14" s="734"/>
      <c r="C14" s="734"/>
      <c r="D14" s="734"/>
      <c r="E14" s="734"/>
      <c r="F14" s="734"/>
      <c r="G14" s="734"/>
      <c r="H14" s="734"/>
    </row>
    <row r="15" spans="2:8" ht="15.75">
      <c r="B15" s="1"/>
      <c r="C15" s="1"/>
      <c r="D15" s="1"/>
      <c r="E15" s="1"/>
      <c r="F15" s="1"/>
      <c r="G15" s="1"/>
      <c r="H15" s="1"/>
    </row>
    <row r="16" spans="2:8" ht="15.75">
      <c r="B16" s="727" t="s">
        <v>149</v>
      </c>
      <c r="C16" s="728"/>
      <c r="D16" s="728"/>
      <c r="E16" s="728"/>
      <c r="F16" s="728"/>
      <c r="G16" s="728"/>
      <c r="H16" s="728"/>
    </row>
    <row r="17" spans="2:8" ht="15.75">
      <c r="B17" s="728"/>
      <c r="C17" s="728"/>
      <c r="D17" s="728"/>
      <c r="E17" s="728"/>
      <c r="F17" s="728"/>
      <c r="G17" s="728"/>
      <c r="H17" s="728"/>
    </row>
    <row r="18" spans="2:8" ht="15.75">
      <c r="B18" s="12"/>
      <c r="C18"/>
      <c r="D18"/>
      <c r="E18"/>
      <c r="F18"/>
      <c r="G18"/>
      <c r="H18"/>
    </row>
    <row r="19" spans="2:8" ht="15.75">
      <c r="B19" s="12" t="str">
        <f>CONCATENATE("Whereas, ",(inputPrYr!D3)," provides essential services to district residents; and")</f>
        <v>Whereas, Butler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2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Butler Cemetery that is our desire to notify the public of the possibility of increased property taxes to finance the 2014 Butler Cemetery  budget as defined above.</v>
      </c>
      <c r="C23" s="730"/>
      <c r="D23" s="730"/>
      <c r="E23" s="730"/>
      <c r="F23" s="730"/>
      <c r="G23" s="730"/>
      <c r="H23" s="730"/>
    </row>
    <row r="24" spans="2:8" ht="15.75">
      <c r="B24" s="730"/>
      <c r="C24" s="730"/>
      <c r="D24" s="730"/>
      <c r="E24" s="730"/>
      <c r="F24" s="730"/>
      <c r="G24" s="730"/>
      <c r="H24" s="730"/>
    </row>
    <row r="25" spans="2:8" ht="15.75">
      <c r="B25" s="730"/>
      <c r="C25" s="730"/>
      <c r="D25" s="730"/>
      <c r="E25" s="730"/>
      <c r="F25" s="730"/>
      <c r="G25" s="730"/>
      <c r="H25" s="730"/>
    </row>
    <row r="26" spans="2:8" ht="15.75">
      <c r="B26" s="12"/>
      <c r="C26"/>
      <c r="D26"/>
      <c r="E26"/>
      <c r="F26"/>
      <c r="G26"/>
      <c r="H26"/>
    </row>
    <row r="27" spans="2:8" ht="15.75">
      <c r="B27" s="727" t="str">
        <f>CONCATENATE("Adopted this _________ day of ___________, ",inputPrYr!D6-1," by the ",(inputPrYr!D3)," District Board, ",(inputPrYr!D4),", Kansas.")</f>
        <v>Adopted this _________ day of ___________, 2013 by the Butler Cemetery District Board, Osborne County, Kansas.</v>
      </c>
      <c r="C27" s="726"/>
      <c r="D27" s="726"/>
      <c r="E27" s="726"/>
      <c r="F27" s="726"/>
      <c r="G27" s="726"/>
      <c r="H27" s="726"/>
    </row>
    <row r="28" spans="2:8" ht="15.75">
      <c r="B28" s="726"/>
      <c r="C28" s="726"/>
      <c r="D28" s="726"/>
      <c r="E28" s="726"/>
      <c r="F28" s="726"/>
      <c r="G28" s="726"/>
      <c r="H28" s="726"/>
    </row>
    <row r="29" spans="2:8" ht="15.75">
      <c r="B29" s="8"/>
      <c r="C29"/>
      <c r="D29"/>
      <c r="E29"/>
      <c r="F29"/>
      <c r="G29"/>
      <c r="H29"/>
    </row>
    <row r="30" spans="2:8" ht="15.75">
      <c r="B30" s="8"/>
      <c r="C30"/>
      <c r="D30"/>
      <c r="E30"/>
      <c r="F30"/>
      <c r="G30"/>
      <c r="H30"/>
    </row>
    <row r="31" spans="2:8" ht="15.75">
      <c r="B31" s="9" t="str">
        <f>CONCATENATE(" ",(inputPrYr!D3)," District Board")</f>
        <v> Butler Cemetery District Board</v>
      </c>
      <c r="C31"/>
      <c r="D31"/>
      <c r="E31"/>
      <c r="F31"/>
      <c r="G31"/>
      <c r="H31"/>
    </row>
    <row r="32" spans="2:8" ht="15.75">
      <c r="B32" s="8"/>
      <c r="C32"/>
      <c r="D32"/>
      <c r="E32"/>
      <c r="F32"/>
      <c r="G32"/>
      <c r="H32"/>
    </row>
    <row r="33" spans="2:8" ht="15.75">
      <c r="B33"/>
      <c r="C33"/>
      <c r="D33"/>
      <c r="E33" s="731" t="s">
        <v>138</v>
      </c>
      <c r="F33" s="731"/>
      <c r="G33" s="731"/>
      <c r="H33" s="731"/>
    </row>
    <row r="34" spans="2:8" ht="15.75">
      <c r="B34"/>
      <c r="C34"/>
      <c r="D34"/>
      <c r="E34" s="731" t="s">
        <v>141</v>
      </c>
      <c r="F34" s="731"/>
      <c r="G34" s="731"/>
      <c r="H34" s="731"/>
    </row>
    <row r="35" spans="2:8" ht="15.75">
      <c r="B35" s="8"/>
      <c r="C35"/>
      <c r="D35"/>
      <c r="E35" s="731"/>
      <c r="F35" s="731"/>
      <c r="G35" s="731"/>
      <c r="H35" s="731"/>
    </row>
    <row r="36" spans="2:8" ht="15.75">
      <c r="B36"/>
      <c r="C36"/>
      <c r="D36"/>
      <c r="E36" s="731" t="s">
        <v>138</v>
      </c>
      <c r="F36" s="731"/>
      <c r="G36" s="731"/>
      <c r="H36" s="731"/>
    </row>
    <row r="37" spans="2:8" ht="15.75">
      <c r="B37"/>
      <c r="C37"/>
      <c r="D37"/>
      <c r="E37" s="731" t="s">
        <v>142</v>
      </c>
      <c r="F37" s="731"/>
      <c r="G37" s="731"/>
      <c r="H37" s="731"/>
    </row>
    <row r="38" spans="2:8" ht="15.75">
      <c r="B38" s="8"/>
      <c r="C38"/>
      <c r="D38"/>
      <c r="E38" s="731"/>
      <c r="F38" s="731"/>
      <c r="G38" s="731"/>
      <c r="H38" s="731"/>
    </row>
    <row r="39" spans="2:8" ht="15.75">
      <c r="B39"/>
      <c r="C39"/>
      <c r="D39"/>
      <c r="E39" s="731" t="s">
        <v>138</v>
      </c>
      <c r="F39" s="731"/>
      <c r="G39" s="731"/>
      <c r="H39" s="731"/>
    </row>
    <row r="40" spans="2:8" ht="15.75">
      <c r="B40"/>
      <c r="C40"/>
      <c r="D40"/>
      <c r="E40" s="731" t="s">
        <v>143</v>
      </c>
      <c r="F40" s="731"/>
      <c r="G40" s="731"/>
      <c r="H40" s="73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24"/>
      <c r="F46" s="724"/>
      <c r="G46" s="724"/>
      <c r="H46" s="724"/>
    </row>
    <row r="47" spans="2:8" ht="15.75">
      <c r="B47" s="3"/>
      <c r="E47" s="724"/>
      <c r="F47" s="724"/>
      <c r="G47" s="724"/>
      <c r="H47" s="724"/>
    </row>
    <row r="48" spans="5:8" ht="15.75">
      <c r="E48" s="724"/>
      <c r="F48" s="724"/>
      <c r="G48" s="724"/>
      <c r="H48" s="724"/>
    </row>
    <row r="49" spans="5:8" ht="15.75">
      <c r="E49" s="724"/>
      <c r="F49" s="724"/>
      <c r="G49" s="724"/>
      <c r="H49" s="724"/>
    </row>
    <row r="50" spans="2:8" ht="15.75">
      <c r="B50" s="3"/>
      <c r="E50" s="724"/>
      <c r="F50" s="724"/>
      <c r="G50" s="724"/>
      <c r="H50" s="72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4" sqref="D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0" t="s">
        <v>7</v>
      </c>
      <c r="B1" s="651"/>
      <c r="C1" s="651"/>
      <c r="D1" s="651"/>
      <c r="E1" s="651"/>
    </row>
    <row r="2" spans="1:5" ht="15.75">
      <c r="A2" s="17"/>
      <c r="B2" s="18"/>
      <c r="C2" s="18"/>
      <c r="D2" s="18"/>
      <c r="E2" s="18"/>
    </row>
    <row r="3" spans="1:5" ht="15.75">
      <c r="A3" s="19" t="s">
        <v>131</v>
      </c>
      <c r="B3" s="18"/>
      <c r="C3" s="18"/>
      <c r="D3" s="522" t="s">
        <v>795</v>
      </c>
      <c r="E3" s="20"/>
    </row>
    <row r="4" spans="1:5" ht="15.75">
      <c r="A4" s="19" t="s">
        <v>226</v>
      </c>
      <c r="B4" s="18"/>
      <c r="C4" s="18"/>
      <c r="D4" s="523" t="s">
        <v>792</v>
      </c>
      <c r="E4" s="20"/>
    </row>
    <row r="5" spans="1:5" ht="15.75">
      <c r="A5" s="17"/>
      <c r="B5" s="18"/>
      <c r="C5" s="18"/>
      <c r="D5" s="21"/>
      <c r="E5" s="20"/>
    </row>
    <row r="6" spans="1:5" ht="15.75">
      <c r="A6" s="19" t="s">
        <v>151</v>
      </c>
      <c r="B6" s="18"/>
      <c r="C6" s="18"/>
      <c r="D6" s="22">
        <v>2014</v>
      </c>
      <c r="E6" s="20"/>
    </row>
    <row r="7" spans="1:5" ht="15.75">
      <c r="A7" s="18"/>
      <c r="B7" s="18"/>
      <c r="C7" s="18"/>
      <c r="D7" s="18"/>
      <c r="E7" s="18"/>
    </row>
    <row r="8" spans="1:5" ht="15.75">
      <c r="A8" s="652" t="s">
        <v>207</v>
      </c>
      <c r="B8" s="653"/>
      <c r="C8" s="653"/>
      <c r="D8" s="653"/>
      <c r="E8" s="653"/>
    </row>
    <row r="9" spans="1:5" ht="15.75">
      <c r="A9" s="23" t="s">
        <v>78</v>
      </c>
      <c r="B9" s="24"/>
      <c r="C9" s="24"/>
      <c r="D9" s="24"/>
      <c r="E9" s="24"/>
    </row>
    <row r="10" spans="1:8" ht="15.75">
      <c r="A10" s="654" t="s">
        <v>206</v>
      </c>
      <c r="B10" s="655"/>
      <c r="C10" s="655"/>
      <c r="D10" s="655"/>
      <c r="E10" s="655"/>
      <c r="F10" s="18"/>
      <c r="G10" s="643" t="s">
        <v>705</v>
      </c>
      <c r="H10" s="644"/>
    </row>
    <row r="11" spans="1:8" ht="15.75">
      <c r="A11" s="25"/>
      <c r="B11" s="18"/>
      <c r="C11" s="18"/>
      <c r="D11" s="18"/>
      <c r="E11" s="18"/>
      <c r="F11" s="18"/>
      <c r="G11" s="645"/>
      <c r="H11" s="644"/>
    </row>
    <row r="12" spans="1:8" ht="15.7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2013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2013</v>
      </c>
      <c r="E17" s="656" t="str">
        <f>CONCATENATE("Amount of ",D6-2,"     Ad Valorem Tax")</f>
        <v>Amount of 2012     Ad Valorem Tax</v>
      </c>
      <c r="G17" s="102" t="s">
        <v>706</v>
      </c>
      <c r="H17" s="111" t="s">
        <v>43</v>
      </c>
    </row>
    <row r="18" spans="1:8" ht="15.75">
      <c r="A18" s="17" t="s">
        <v>8</v>
      </c>
      <c r="B18" s="18"/>
      <c r="C18" s="30" t="s">
        <v>9</v>
      </c>
      <c r="D18" s="32" t="s">
        <v>276</v>
      </c>
      <c r="E18" s="657"/>
      <c r="G18" s="114" t="str">
        <f>CONCATENATE("",D6-2," Ad Valorem Tax")</f>
        <v>2012 Ad Valorem Tax</v>
      </c>
      <c r="H18" s="534">
        <v>0</v>
      </c>
    </row>
    <row r="19" spans="1:7" ht="15.75">
      <c r="A19" s="18"/>
      <c r="B19" s="33" t="s">
        <v>10</v>
      </c>
      <c r="C19" s="609"/>
      <c r="D19" s="35">
        <v>945</v>
      </c>
      <c r="E19" s="35">
        <v>799</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2013 Budgeted Year</v>
      </c>
      <c r="B24" s="40"/>
      <c r="C24" s="40"/>
      <c r="D24" s="41"/>
      <c r="E24" s="42">
        <f>SUM(E19:E20,E22:E23)</f>
        <v>799</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945</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2011 Tax Rate          (2012 Column)</v>
      </c>
      <c r="E36" s="37"/>
    </row>
    <row r="37" spans="1:5" ht="15.75">
      <c r="A37" s="28" t="str">
        <f>CONCATENATE("the ",D6-1," Budget, Budget Summary Page:")</f>
        <v>the 2013 Budget, Budget Summary Page:</v>
      </c>
      <c r="B37" s="29"/>
      <c r="C37" s="18"/>
      <c r="D37" s="647"/>
      <c r="E37" s="37"/>
    </row>
    <row r="38" spans="1:5" ht="15.75">
      <c r="A38" s="18"/>
      <c r="B38" s="36" t="str">
        <f>B19</f>
        <v>General</v>
      </c>
      <c r="C38" s="18"/>
      <c r="D38" s="47">
        <v>1.176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1.176</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795</v>
      </c>
    </row>
    <row r="45" spans="1:5" ht="15.75">
      <c r="A45" s="49" t="str">
        <f>CONCATENATE("Assessed Valuation (",D6-2," budget column)")</f>
        <v>Assessed Valuation (2012 budget column)</v>
      </c>
      <c r="B45" s="27"/>
      <c r="C45" s="18"/>
      <c r="D45" s="18"/>
      <c r="E45" s="51">
        <v>676531</v>
      </c>
    </row>
    <row r="46" spans="1:5" ht="15.75">
      <c r="A46" s="18"/>
      <c r="B46" s="18"/>
      <c r="C46" s="18"/>
      <c r="D46" s="18"/>
      <c r="E46" s="37"/>
    </row>
    <row r="47" spans="1:5" ht="15.75">
      <c r="A47" s="27" t="s">
        <v>208</v>
      </c>
      <c r="B47" s="27"/>
      <c r="C47" s="52"/>
      <c r="D47" s="53">
        <f>D6-3</f>
        <v>2011</v>
      </c>
      <c r="E47" s="53">
        <f>D6-2</f>
        <v>2012</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CONCATENATE(inputPrYr!D6-2," 'total expenditures' exceed your ",inputPrYr!D6-2,"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",inputPrYr!D6,"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",inputPrYr!D6-2," budget was amended, did you")</f>
        <v>particular fund.  If your 2012 budget was amended, did you</v>
      </c>
    </row>
    <row r="26" ht="15">
      <c r="A26" s="355" t="s">
        <v>348</v>
      </c>
    </row>
    <row r="27" ht="15">
      <c r="A27" s="355"/>
    </row>
    <row r="28" ht="15">
      <c r="A28" s="355" t="str">
        <f>CONCATENATE("Next, look to see if any of your ",inputPrYr!D6-2,"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",inputPrYr!D6-2," receipts contain a reimbursement")</f>
        <v>Additionally, do your 2012 receipts contain a reimbursement</v>
      </c>
    </row>
    <row r="34" ht="15">
      <c r="A34" s="355" t="s">
        <v>352</v>
      </c>
    </row>
    <row r="35" ht="15">
      <c r="A35" s="355" t="s">
        <v>353</v>
      </c>
    </row>
    <row r="36" ht="15">
      <c r="A36" s="355"/>
    </row>
    <row r="37" ht="15">
      <c r="A37" s="355" t="s">
        <v>357</v>
      </c>
    </row>
    <row r="38" ht="15">
      <c r="A38" s="355" t="s">
        <v>358</v>
      </c>
    </row>
    <row r="39" ht="15">
      <c r="A39" s="355" t="s">
        <v>359</v>
      </c>
    </row>
    <row r="40" ht="15">
      <c r="A40" s="355"/>
    </row>
    <row r="41" ht="15">
      <c r="A41" s="356" t="s">
        <v>360</v>
      </c>
    </row>
    <row r="42" ht="15">
      <c r="A42" s="355"/>
    </row>
    <row r="43" ht="15">
      <c r="A43" s="355" t="s">
        <v>361</v>
      </c>
    </row>
    <row r="44" ht="15">
      <c r="A44" s="355" t="s">
        <v>362</v>
      </c>
    </row>
    <row r="45" ht="15">
      <c r="A45" s="355" t="s">
        <v>363</v>
      </c>
    </row>
    <row r="46" ht="15">
      <c r="A46" s="355" t="s">
        <v>364</v>
      </c>
    </row>
    <row r="47" ht="15">
      <c r="A47" s="355" t="s">
        <v>365</v>
      </c>
    </row>
    <row r="48" ht="15">
      <c r="A48" s="355" t="s">
        <v>366</v>
      </c>
    </row>
    <row r="49" ht="15">
      <c r="A49" s="355" t="s">
        <v>367</v>
      </c>
    </row>
    <row r="50" ht="15">
      <c r="A50" s="355" t="s">
        <v>368</v>
      </c>
    </row>
    <row r="51" ht="15">
      <c r="A51" s="355" t="s">
        <v>369</v>
      </c>
    </row>
    <row r="52" ht="15">
      <c r="A52" s="355" t="s">
        <v>370</v>
      </c>
    </row>
    <row r="53" ht="15">
      <c r="A53" s="355" t="s">
        <v>371</v>
      </c>
    </row>
    <row r="54" ht="15">
      <c r="A54" s="355" t="s">
        <v>372</v>
      </c>
    </row>
    <row r="55" ht="15">
      <c r="A55" s="355" t="s">
        <v>373</v>
      </c>
    </row>
    <row r="56" ht="15">
      <c r="A56" s="355"/>
    </row>
    <row r="57" ht="15">
      <c r="A57" s="355" t="s">
        <v>374</v>
      </c>
    </row>
    <row r="58" ht="15">
      <c r="A58" s="355" t="s">
        <v>375</v>
      </c>
    </row>
    <row r="59" ht="15">
      <c r="A59" s="355" t="s">
        <v>376</v>
      </c>
    </row>
    <row r="60" ht="15">
      <c r="A60" s="355"/>
    </row>
    <row r="61" ht="15">
      <c r="A61" s="356" t="str">
        <f>CONCATENATE("What if the ",inputPrYr!D6-2," financial records have been closed?")</f>
        <v>What if the 2012 financial records have been closed?</v>
      </c>
    </row>
    <row r="63" ht="15">
      <c r="A63" s="355" t="s">
        <v>377</v>
      </c>
    </row>
    <row r="64" ht="15">
      <c r="A64" s="355" t="str">
        <f>CONCATENATE("(i.e. an audit for ",inputPrYr!D6-2," has been completed, or the ",inputPrYr!D6)</f>
        <v>(i.e. an audit for 2012 has been completed, or the 2014</v>
      </c>
    </row>
    <row r="65" ht="15">
      <c r="A65" s="355" t="s">
        <v>378</v>
      </c>
    </row>
    <row r="66" ht="15">
      <c r="A66" s="355" t="s">
        <v>379</v>
      </c>
    </row>
    <row r="67" ht="15">
      <c r="A67" s="355"/>
    </row>
    <row r="68" ht="15">
      <c r="A68" s="355" t="s">
        <v>380</v>
      </c>
    </row>
    <row r="69" ht="15">
      <c r="A69" s="355" t="s">
        <v>381</v>
      </c>
    </row>
    <row r="70" ht="15">
      <c r="A70" s="355" t="s">
        <v>382</v>
      </c>
    </row>
    <row r="71" ht="15">
      <c r="A71" s="355"/>
    </row>
    <row r="72" ht="15">
      <c r="A72" s="355" t="s">
        <v>383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4" t="s">
        <v>384</v>
      </c>
      <c r="B3" s="354"/>
      <c r="C3" s="354"/>
      <c r="D3" s="354"/>
      <c r="E3" s="354"/>
      <c r="F3" s="354"/>
      <c r="G3" s="354"/>
      <c r="H3" s="357"/>
      <c r="I3" s="357"/>
      <c r="J3" s="357"/>
    </row>
    <row r="5" ht="15">
      <c r="A5" s="355" t="s">
        <v>385</v>
      </c>
    </row>
    <row r="6" ht="15">
      <c r="A6" t="str">
        <f>CONCATENATE(inputPrYr!D6-2," expenditures show that you finished the year with a ")</f>
        <v>2012 expenditures show that you finished the year with a </v>
      </c>
    </row>
    <row r="7" ht="15">
      <c r="A7" t="s">
        <v>386</v>
      </c>
    </row>
    <row r="9" ht="15">
      <c r="A9" t="s">
        <v>387</v>
      </c>
    </row>
    <row r="10" ht="15">
      <c r="A10" t="s">
        <v>388</v>
      </c>
    </row>
    <row r="11" ht="15">
      <c r="A11" t="s">
        <v>389</v>
      </c>
    </row>
    <row r="13" ht="15">
      <c r="A13" s="356" t="s">
        <v>390</v>
      </c>
    </row>
    <row r="14" ht="15">
      <c r="A14" s="356"/>
    </row>
    <row r="15" ht="15">
      <c r="A15" s="355" t="s">
        <v>391</v>
      </c>
    </row>
    <row r="16" ht="15">
      <c r="A16" s="355" t="s">
        <v>392</v>
      </c>
    </row>
    <row r="17" ht="15">
      <c r="A17" s="355" t="s">
        <v>393</v>
      </c>
    </row>
    <row r="18" ht="15">
      <c r="A18" s="355"/>
    </row>
    <row r="19" ht="15">
      <c r="A19" s="356" t="s">
        <v>394</v>
      </c>
    </row>
    <row r="20" ht="15">
      <c r="A20" s="356"/>
    </row>
    <row r="21" ht="15">
      <c r="A21" s="355" t="s">
        <v>395</v>
      </c>
    </row>
    <row r="22" ht="15">
      <c r="A22" s="355" t="s">
        <v>396</v>
      </c>
    </row>
    <row r="23" ht="15">
      <c r="A23" s="355" t="s">
        <v>397</v>
      </c>
    </row>
    <row r="24" ht="15">
      <c r="A24" s="355"/>
    </row>
    <row r="25" ht="15">
      <c r="A25" s="356" t="s">
        <v>398</v>
      </c>
    </row>
    <row r="26" ht="15">
      <c r="A26" s="356"/>
    </row>
    <row r="27" ht="15">
      <c r="A27" s="355" t="s">
        <v>399</v>
      </c>
    </row>
    <row r="28" ht="15">
      <c r="A28" s="355" t="s">
        <v>400</v>
      </c>
    </row>
    <row r="29" ht="15">
      <c r="A29" s="355" t="s">
        <v>401</v>
      </c>
    </row>
    <row r="30" ht="15">
      <c r="A30" s="355"/>
    </row>
    <row r="31" ht="15">
      <c r="A31" s="356" t="s">
        <v>402</v>
      </c>
    </row>
    <row r="32" ht="15">
      <c r="A32" s="356"/>
    </row>
    <row r="33" spans="1:8" ht="15">
      <c r="A33" s="355" t="str">
        <f>CONCATENATE("If your financial records for ",inputPrYr!D6-2," are not closed")</f>
        <v>If your financial records for 2012 are not closed</v>
      </c>
      <c r="B33" s="355"/>
      <c r="C33" s="355"/>
      <c r="D33" s="355"/>
      <c r="E33" s="355"/>
      <c r="F33" s="355"/>
      <c r="G33" s="355"/>
      <c r="H33" s="355"/>
    </row>
    <row r="34" spans="1:8" ht="15">
      <c r="A34" s="355" t="str">
        <f>CONCATENATE("(i.e. an audit has not been completed, or the ",inputPrYr!D6," adopted ")</f>
        <v>(i.e. an audit has not been completed, or the 2014 adopted </v>
      </c>
      <c r="B34" s="355"/>
      <c r="C34" s="355"/>
      <c r="D34" s="355"/>
      <c r="E34" s="355"/>
      <c r="F34" s="355"/>
      <c r="G34" s="355"/>
      <c r="H34" s="355"/>
    </row>
    <row r="35" spans="1:8" ht="15">
      <c r="A35" s="355" t="s">
        <v>403</v>
      </c>
      <c r="B35" s="355"/>
      <c r="C35" s="355"/>
      <c r="D35" s="355"/>
      <c r="E35" s="355"/>
      <c r="F35" s="355"/>
      <c r="G35" s="355"/>
      <c r="H35" s="355"/>
    </row>
    <row r="36" spans="1:8" ht="15">
      <c r="A36" s="355" t="s">
        <v>404</v>
      </c>
      <c r="B36" s="355"/>
      <c r="C36" s="355"/>
      <c r="D36" s="355"/>
      <c r="E36" s="355"/>
      <c r="F36" s="355"/>
      <c r="G36" s="355"/>
      <c r="H36" s="355"/>
    </row>
    <row r="37" spans="1:8" ht="15">
      <c r="A37" s="355" t="s">
        <v>405</v>
      </c>
      <c r="B37" s="355"/>
      <c r="C37" s="355"/>
      <c r="D37" s="355"/>
      <c r="E37" s="355"/>
      <c r="F37" s="355"/>
      <c r="G37" s="355"/>
      <c r="H37" s="355"/>
    </row>
    <row r="38" spans="1:8" ht="15">
      <c r="A38" s="355" t="s">
        <v>406</v>
      </c>
      <c r="B38" s="355"/>
      <c r="C38" s="355"/>
      <c r="D38" s="355"/>
      <c r="E38" s="355"/>
      <c r="F38" s="355"/>
      <c r="G38" s="355"/>
      <c r="H38" s="355"/>
    </row>
    <row r="39" spans="1:8" ht="15">
      <c r="A39" s="355" t="s">
        <v>407</v>
      </c>
      <c r="B39" s="355"/>
      <c r="C39" s="355"/>
      <c r="D39" s="355"/>
      <c r="E39" s="355"/>
      <c r="F39" s="355"/>
      <c r="G39" s="355"/>
      <c r="H39" s="355"/>
    </row>
    <row r="40" spans="1:8" ht="15">
      <c r="A40" s="355"/>
      <c r="B40" s="355"/>
      <c r="C40" s="355"/>
      <c r="D40" s="355"/>
      <c r="E40" s="355"/>
      <c r="F40" s="355"/>
      <c r="G40" s="355"/>
      <c r="H40" s="355"/>
    </row>
    <row r="41" spans="1:8" ht="15">
      <c r="A41" s="355" t="s">
        <v>408</v>
      </c>
      <c r="B41" s="355"/>
      <c r="C41" s="355"/>
      <c r="D41" s="355"/>
      <c r="E41" s="355"/>
      <c r="F41" s="355"/>
      <c r="G41" s="355"/>
      <c r="H41" s="355"/>
    </row>
    <row r="42" spans="1:8" ht="15">
      <c r="A42" s="355" t="s">
        <v>409</v>
      </c>
      <c r="B42" s="355"/>
      <c r="C42" s="355"/>
      <c r="D42" s="355"/>
      <c r="E42" s="355"/>
      <c r="F42" s="355"/>
      <c r="G42" s="355"/>
      <c r="H42" s="355"/>
    </row>
    <row r="43" spans="1:8" ht="15">
      <c r="A43" s="355" t="s">
        <v>410</v>
      </c>
      <c r="B43" s="355"/>
      <c r="C43" s="355"/>
      <c r="D43" s="355"/>
      <c r="E43" s="355"/>
      <c r="F43" s="355"/>
      <c r="G43" s="355"/>
      <c r="H43" s="355"/>
    </row>
    <row r="44" spans="1:8" ht="15">
      <c r="A44" s="355" t="s">
        <v>411</v>
      </c>
      <c r="B44" s="355"/>
      <c r="C44" s="355"/>
      <c r="D44" s="355"/>
      <c r="E44" s="355"/>
      <c r="F44" s="355"/>
      <c r="G44" s="355"/>
      <c r="H44" s="355"/>
    </row>
    <row r="45" spans="1:8" ht="15">
      <c r="A45" s="355"/>
      <c r="B45" s="355"/>
      <c r="C45" s="355"/>
      <c r="D45" s="355"/>
      <c r="E45" s="355"/>
      <c r="F45" s="355"/>
      <c r="G45" s="355"/>
      <c r="H45" s="355"/>
    </row>
    <row r="46" spans="1:8" ht="15">
      <c r="A46" s="355" t="s">
        <v>412</v>
      </c>
      <c r="B46" s="355"/>
      <c r="C46" s="355"/>
      <c r="D46" s="355"/>
      <c r="E46" s="355"/>
      <c r="F46" s="355"/>
      <c r="G46" s="355"/>
      <c r="H46" s="355"/>
    </row>
    <row r="47" spans="1:8" ht="15">
      <c r="A47" s="355" t="s">
        <v>413</v>
      </c>
      <c r="B47" s="355"/>
      <c r="C47" s="355"/>
      <c r="D47" s="355"/>
      <c r="E47" s="355"/>
      <c r="F47" s="355"/>
      <c r="G47" s="355"/>
      <c r="H47" s="355"/>
    </row>
    <row r="48" spans="1:8" ht="15">
      <c r="A48" s="355" t="s">
        <v>414</v>
      </c>
      <c r="B48" s="355"/>
      <c r="C48" s="355"/>
      <c r="D48" s="355"/>
      <c r="E48" s="355"/>
      <c r="F48" s="355"/>
      <c r="G48" s="355"/>
      <c r="H48" s="355"/>
    </row>
    <row r="49" spans="1:8" ht="15">
      <c r="A49" s="355" t="s">
        <v>415</v>
      </c>
      <c r="B49" s="355"/>
      <c r="C49" s="355"/>
      <c r="D49" s="355"/>
      <c r="E49" s="355"/>
      <c r="F49" s="355"/>
      <c r="G49" s="355"/>
      <c r="H49" s="355"/>
    </row>
    <row r="50" spans="1:8" ht="15">
      <c r="A50" s="355" t="s">
        <v>416</v>
      </c>
      <c r="B50" s="355"/>
      <c r="C50" s="355"/>
      <c r="D50" s="355"/>
      <c r="E50" s="355"/>
      <c r="F50" s="355"/>
      <c r="G50" s="355"/>
      <c r="H50" s="355"/>
    </row>
    <row r="51" spans="1:8" ht="15">
      <c r="A51" s="355"/>
      <c r="B51" s="355"/>
      <c r="C51" s="355"/>
      <c r="D51" s="355"/>
      <c r="E51" s="355"/>
      <c r="F51" s="355"/>
      <c r="G51" s="355"/>
      <c r="H51" s="355"/>
    </row>
    <row r="52" spans="1:8" ht="15">
      <c r="A52" s="356" t="s">
        <v>417</v>
      </c>
      <c r="B52" s="356"/>
      <c r="C52" s="356"/>
      <c r="D52" s="356"/>
      <c r="E52" s="356"/>
      <c r="F52" s="356"/>
      <c r="G52" s="356"/>
      <c r="H52" s="355"/>
    </row>
    <row r="53" spans="1:8" ht="15">
      <c r="A53" s="356" t="s">
        <v>418</v>
      </c>
      <c r="B53" s="356"/>
      <c r="C53" s="356"/>
      <c r="D53" s="356"/>
      <c r="E53" s="356"/>
      <c r="F53" s="356"/>
      <c r="G53" s="356"/>
      <c r="H53" s="355"/>
    </row>
    <row r="54" spans="1:8" ht="15">
      <c r="A54" s="355"/>
      <c r="B54" s="355"/>
      <c r="C54" s="355"/>
      <c r="D54" s="355"/>
      <c r="E54" s="355"/>
      <c r="F54" s="355"/>
      <c r="G54" s="355"/>
      <c r="H54" s="355"/>
    </row>
    <row r="55" spans="1:8" ht="15">
      <c r="A55" s="355" t="s">
        <v>419</v>
      </c>
      <c r="B55" s="355"/>
      <c r="C55" s="355"/>
      <c r="D55" s="355"/>
      <c r="E55" s="355"/>
      <c r="F55" s="355"/>
      <c r="G55" s="355"/>
      <c r="H55" s="355"/>
    </row>
    <row r="56" spans="1:8" ht="15">
      <c r="A56" s="355" t="s">
        <v>420</v>
      </c>
      <c r="B56" s="355"/>
      <c r="C56" s="355"/>
      <c r="D56" s="355"/>
      <c r="E56" s="355"/>
      <c r="F56" s="355"/>
      <c r="G56" s="355"/>
      <c r="H56" s="355"/>
    </row>
    <row r="57" spans="1:8" ht="15">
      <c r="A57" s="355" t="s">
        <v>421</v>
      </c>
      <c r="B57" s="355"/>
      <c r="C57" s="355"/>
      <c r="D57" s="355"/>
      <c r="E57" s="355"/>
      <c r="F57" s="355"/>
      <c r="G57" s="355"/>
      <c r="H57" s="355"/>
    </row>
    <row r="58" spans="1:8" ht="15">
      <c r="A58" s="355" t="s">
        <v>422</v>
      </c>
      <c r="B58" s="355"/>
      <c r="C58" s="355"/>
      <c r="D58" s="355"/>
      <c r="E58" s="355"/>
      <c r="F58" s="355"/>
      <c r="G58" s="355"/>
      <c r="H58" s="355"/>
    </row>
    <row r="59" spans="1:8" ht="15">
      <c r="A59" s="355"/>
      <c r="B59" s="355"/>
      <c r="C59" s="355"/>
      <c r="D59" s="355"/>
      <c r="E59" s="355"/>
      <c r="F59" s="355"/>
      <c r="G59" s="355"/>
      <c r="H59" s="355"/>
    </row>
    <row r="60" spans="1:8" ht="15">
      <c r="A60" s="355" t="s">
        <v>423</v>
      </c>
      <c r="B60" s="355"/>
      <c r="C60" s="355"/>
      <c r="D60" s="355"/>
      <c r="E60" s="355"/>
      <c r="F60" s="355"/>
      <c r="G60" s="355"/>
      <c r="H60" s="355"/>
    </row>
    <row r="61" spans="1:8" ht="15">
      <c r="A61" s="355" t="s">
        <v>424</v>
      </c>
      <c r="B61" s="355"/>
      <c r="C61" s="355"/>
      <c r="D61" s="355"/>
      <c r="E61" s="355"/>
      <c r="F61" s="355"/>
      <c r="G61" s="355"/>
      <c r="H61" s="355"/>
    </row>
    <row r="62" spans="1:8" ht="15">
      <c r="A62" s="355" t="s">
        <v>425</v>
      </c>
      <c r="B62" s="355"/>
      <c r="C62" s="355"/>
      <c r="D62" s="355"/>
      <c r="E62" s="355"/>
      <c r="F62" s="355"/>
      <c r="G62" s="355"/>
      <c r="H62" s="355"/>
    </row>
    <row r="63" spans="1:8" ht="15">
      <c r="A63" s="355" t="s">
        <v>426</v>
      </c>
      <c r="B63" s="355"/>
      <c r="C63" s="355"/>
      <c r="D63" s="355"/>
      <c r="E63" s="355"/>
      <c r="F63" s="355"/>
      <c r="G63" s="355"/>
      <c r="H63" s="355"/>
    </row>
    <row r="64" spans="1:8" ht="15">
      <c r="A64" s="355" t="s">
        <v>427</v>
      </c>
      <c r="B64" s="355"/>
      <c r="C64" s="355"/>
      <c r="D64" s="355"/>
      <c r="E64" s="355"/>
      <c r="F64" s="355"/>
      <c r="G64" s="355"/>
      <c r="H64" s="355"/>
    </row>
    <row r="65" spans="1:8" ht="15">
      <c r="A65" s="355" t="s">
        <v>428</v>
      </c>
      <c r="B65" s="355"/>
      <c r="C65" s="355"/>
      <c r="D65" s="355"/>
      <c r="E65" s="355"/>
      <c r="F65" s="355"/>
      <c r="G65" s="355"/>
      <c r="H65" s="355"/>
    </row>
    <row r="66" spans="1:8" ht="15">
      <c r="A66" s="355"/>
      <c r="B66" s="355"/>
      <c r="C66" s="355"/>
      <c r="D66" s="355"/>
      <c r="E66" s="355"/>
      <c r="F66" s="355"/>
      <c r="G66" s="355"/>
      <c r="H66" s="355"/>
    </row>
    <row r="67" spans="1:8" ht="15">
      <c r="A67" s="355" t="s">
        <v>429</v>
      </c>
      <c r="B67" s="355"/>
      <c r="C67" s="355"/>
      <c r="D67" s="355"/>
      <c r="E67" s="355"/>
      <c r="F67" s="355"/>
      <c r="G67" s="355"/>
      <c r="H67" s="355"/>
    </row>
    <row r="68" spans="1:8" ht="15">
      <c r="A68" s="355" t="s">
        <v>430</v>
      </c>
      <c r="B68" s="355"/>
      <c r="C68" s="355"/>
      <c r="D68" s="355"/>
      <c r="E68" s="355"/>
      <c r="F68" s="355"/>
      <c r="G68" s="355"/>
      <c r="H68" s="355"/>
    </row>
    <row r="69" spans="1:8" ht="15">
      <c r="A69" s="355" t="s">
        <v>431</v>
      </c>
      <c r="B69" s="355"/>
      <c r="C69" s="355"/>
      <c r="D69" s="355"/>
      <c r="E69" s="355"/>
      <c r="F69" s="355"/>
      <c r="G69" s="355"/>
      <c r="H69" s="355"/>
    </row>
    <row r="70" spans="1:8" ht="15">
      <c r="A70" s="355" t="s">
        <v>432</v>
      </c>
      <c r="B70" s="355"/>
      <c r="C70" s="355"/>
      <c r="D70" s="355"/>
      <c r="E70" s="355"/>
      <c r="F70" s="355"/>
      <c r="G70" s="355"/>
      <c r="H70" s="355"/>
    </row>
    <row r="71" spans="1:8" ht="15">
      <c r="A71" s="355" t="s">
        <v>433</v>
      </c>
      <c r="B71" s="355"/>
      <c r="C71" s="355"/>
      <c r="D71" s="355"/>
      <c r="E71" s="355"/>
      <c r="F71" s="355"/>
      <c r="G71" s="355"/>
      <c r="H71" s="355"/>
    </row>
    <row r="72" spans="1:8" ht="15">
      <c r="A72" s="355" t="s">
        <v>434</v>
      </c>
      <c r="B72" s="355"/>
      <c r="C72" s="355"/>
      <c r="D72" s="355"/>
      <c r="E72" s="355"/>
      <c r="F72" s="355"/>
      <c r="G72" s="355"/>
      <c r="H72" s="355"/>
    </row>
    <row r="73" spans="1:8" ht="15">
      <c r="A73" s="355" t="s">
        <v>435</v>
      </c>
      <c r="B73" s="355"/>
      <c r="C73" s="355"/>
      <c r="D73" s="355"/>
      <c r="E73" s="355"/>
      <c r="F73" s="355"/>
      <c r="G73" s="355"/>
      <c r="H73" s="355"/>
    </row>
    <row r="74" spans="1:8" ht="15">
      <c r="A74" s="355"/>
      <c r="B74" s="355"/>
      <c r="C74" s="355"/>
      <c r="D74" s="355"/>
      <c r="E74" s="355"/>
      <c r="F74" s="355"/>
      <c r="G74" s="355"/>
      <c r="H74" s="355"/>
    </row>
    <row r="75" spans="1:8" ht="15">
      <c r="A75" s="355" t="s">
        <v>436</v>
      </c>
      <c r="B75" s="355"/>
      <c r="C75" s="355"/>
      <c r="D75" s="355"/>
      <c r="E75" s="355"/>
      <c r="F75" s="355"/>
      <c r="G75" s="355"/>
      <c r="H75" s="355"/>
    </row>
    <row r="76" spans="1:8" ht="15">
      <c r="A76" s="355" t="s">
        <v>437</v>
      </c>
      <c r="B76" s="355"/>
      <c r="C76" s="355"/>
      <c r="D76" s="355"/>
      <c r="E76" s="355"/>
      <c r="F76" s="355"/>
      <c r="G76" s="355"/>
      <c r="H76" s="355"/>
    </row>
    <row r="77" spans="1:8" ht="15">
      <c r="A77" s="355" t="s">
        <v>438</v>
      </c>
      <c r="B77" s="355"/>
      <c r="C77" s="355"/>
      <c r="D77" s="355"/>
      <c r="E77" s="355"/>
      <c r="F77" s="355"/>
      <c r="G77" s="355"/>
      <c r="H77" s="355"/>
    </row>
    <row r="78" spans="1:8" ht="15">
      <c r="A78" s="355"/>
      <c r="B78" s="355"/>
      <c r="C78" s="355"/>
      <c r="D78" s="355"/>
      <c r="E78" s="355"/>
      <c r="F78" s="355"/>
      <c r="G78" s="355"/>
      <c r="H78" s="355"/>
    </row>
    <row r="79" ht="15">
      <c r="A79" s="355" t="s">
        <v>383</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4" t="s">
        <v>439</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",inputPrYr!D6-1," 'total expenditures' exceed your ",inputPrYr!D6-1,"")</f>
        <v>estimated 2013 'total expenditures' exceed your 2013</v>
      </c>
      <c r="I6" s="354"/>
      <c r="J6" s="354"/>
      <c r="K6" s="354"/>
      <c r="L6" s="354"/>
    </row>
    <row r="7" spans="1:12" ht="15">
      <c r="A7" s="358" t="s">
        <v>440</v>
      </c>
      <c r="I7" s="354"/>
      <c r="J7" s="354"/>
      <c r="K7" s="354"/>
      <c r="L7" s="354"/>
    </row>
    <row r="8" spans="1:12" ht="15">
      <c r="A8" s="355"/>
      <c r="I8" s="354"/>
      <c r="J8" s="354"/>
      <c r="K8" s="354"/>
      <c r="L8" s="354"/>
    </row>
    <row r="9" spans="1:12" ht="15">
      <c r="A9" s="355" t="s">
        <v>441</v>
      </c>
      <c r="I9" s="354"/>
      <c r="J9" s="354"/>
      <c r="K9" s="354"/>
      <c r="L9" s="354"/>
    </row>
    <row r="10" spans="1:12" ht="15">
      <c r="A10" s="355" t="s">
        <v>442</v>
      </c>
      <c r="I10" s="354"/>
      <c r="J10" s="354"/>
      <c r="K10" s="354"/>
      <c r="L10" s="354"/>
    </row>
    <row r="11" spans="1:12" ht="15">
      <c r="A11" s="355" t="s">
        <v>443</v>
      </c>
      <c r="I11" s="354"/>
      <c r="J11" s="354"/>
      <c r="K11" s="354"/>
      <c r="L11" s="354"/>
    </row>
    <row r="12" spans="1:12" ht="15">
      <c r="A12" s="355" t="s">
        <v>444</v>
      </c>
      <c r="I12" s="354"/>
      <c r="J12" s="354"/>
      <c r="K12" s="354"/>
      <c r="L12" s="354"/>
    </row>
    <row r="13" spans="1:12" ht="15">
      <c r="A13" s="355" t="s">
        <v>445</v>
      </c>
      <c r="I13" s="354"/>
      <c r="J13" s="354"/>
      <c r="K13" s="354"/>
      <c r="L13" s="354"/>
    </row>
    <row r="14" spans="1:12" ht="15">
      <c r="A14" s="354"/>
      <c r="B14" s="354"/>
      <c r="C14" s="354"/>
      <c r="D14" s="354"/>
      <c r="E14" s="354"/>
      <c r="F14" s="354"/>
      <c r="G14" s="354"/>
      <c r="H14" s="354"/>
      <c r="I14" s="354"/>
      <c r="J14" s="354"/>
      <c r="K14" s="354"/>
      <c r="L14" s="354"/>
    </row>
    <row r="15" ht="15">
      <c r="A15" s="356" t="s">
        <v>446</v>
      </c>
    </row>
    <row r="16" ht="15">
      <c r="A16" s="356" t="s">
        <v>447</v>
      </c>
    </row>
    <row r="17" ht="15">
      <c r="A17" s="356"/>
    </row>
    <row r="18" spans="1:7" ht="15">
      <c r="A18" s="355" t="s">
        <v>448</v>
      </c>
      <c r="B18" s="355"/>
      <c r="C18" s="355"/>
      <c r="D18" s="355"/>
      <c r="E18" s="355"/>
      <c r="F18" s="355"/>
      <c r="G18" s="355"/>
    </row>
    <row r="19" spans="1:7" ht="15">
      <c r="A19" s="355" t="str">
        <f>CONCATENATE("your ",inputPrYr!D6-1," numbers to see what steps might be necessary to")</f>
        <v>your 2013 numbers to see what steps might be necessary to</v>
      </c>
      <c r="B19" s="355"/>
      <c r="C19" s="355"/>
      <c r="D19" s="355"/>
      <c r="E19" s="355"/>
      <c r="F19" s="355"/>
      <c r="G19" s="355"/>
    </row>
    <row r="20" spans="1:7" ht="15">
      <c r="A20" s="355" t="s">
        <v>449</v>
      </c>
      <c r="B20" s="355"/>
      <c r="C20" s="355"/>
      <c r="D20" s="355"/>
      <c r="E20" s="355"/>
      <c r="F20" s="355"/>
      <c r="G20" s="355"/>
    </row>
    <row r="21" spans="1:7" ht="15">
      <c r="A21" s="355" t="s">
        <v>450</v>
      </c>
      <c r="B21" s="355"/>
      <c r="C21" s="355"/>
      <c r="D21" s="355"/>
      <c r="E21" s="355"/>
      <c r="F21" s="355"/>
      <c r="G21" s="355"/>
    </row>
    <row r="22" ht="15">
      <c r="A22" s="355"/>
    </row>
    <row r="23" ht="15">
      <c r="A23" s="356" t="s">
        <v>451</v>
      </c>
    </row>
    <row r="24" ht="15">
      <c r="A24" s="356"/>
    </row>
    <row r="25" ht="15">
      <c r="A25" s="355" t="s">
        <v>452</v>
      </c>
    </row>
    <row r="26" spans="1:6" ht="15">
      <c r="A26" s="355" t="s">
        <v>453</v>
      </c>
      <c r="B26" s="355"/>
      <c r="C26" s="355"/>
      <c r="D26" s="355"/>
      <c r="E26" s="355"/>
      <c r="F26" s="355"/>
    </row>
    <row r="27" spans="1:6" ht="15">
      <c r="A27" s="355" t="s">
        <v>454</v>
      </c>
      <c r="B27" s="355"/>
      <c r="C27" s="355"/>
      <c r="D27" s="355"/>
      <c r="E27" s="355"/>
      <c r="F27" s="355"/>
    </row>
    <row r="28" spans="1:6" ht="15">
      <c r="A28" s="355" t="s">
        <v>455</v>
      </c>
      <c r="B28" s="355"/>
      <c r="C28" s="355"/>
      <c r="D28" s="355"/>
      <c r="E28" s="355"/>
      <c r="F28" s="355"/>
    </row>
    <row r="29" spans="1:6" ht="15">
      <c r="A29" s="355"/>
      <c r="B29" s="355"/>
      <c r="C29" s="355"/>
      <c r="D29" s="355"/>
      <c r="E29" s="355"/>
      <c r="F29" s="355"/>
    </row>
    <row r="30" spans="1:7" ht="15">
      <c r="A30" s="356" t="s">
        <v>456</v>
      </c>
      <c r="B30" s="356"/>
      <c r="C30" s="356"/>
      <c r="D30" s="356"/>
      <c r="E30" s="356"/>
      <c r="F30" s="356"/>
      <c r="G30" s="356"/>
    </row>
    <row r="31" spans="1:7" ht="15">
      <c r="A31" s="356" t="s">
        <v>457</v>
      </c>
      <c r="B31" s="356"/>
      <c r="C31" s="356"/>
      <c r="D31" s="356"/>
      <c r="E31" s="356"/>
      <c r="F31" s="356"/>
      <c r="G31" s="356"/>
    </row>
    <row r="32" spans="1:6" ht="15">
      <c r="A32" s="355"/>
      <c r="B32" s="355"/>
      <c r="C32" s="355"/>
      <c r="D32" s="355"/>
      <c r="E32" s="355"/>
      <c r="F32" s="355"/>
    </row>
    <row r="33" spans="1:6" ht="15">
      <c r="A33" s="349" t="str">
        <f>CONCATENATE("Well, let's look to see if any of your ",inputPrYr!D6-1," expenditures can")</f>
        <v>Well, let's look to see if any of your 2013 expenditures can</v>
      </c>
      <c r="B33" s="355"/>
      <c r="C33" s="355"/>
      <c r="D33" s="355"/>
      <c r="E33" s="355"/>
      <c r="F33" s="355"/>
    </row>
    <row r="34" spans="1:6" ht="15">
      <c r="A34" s="349" t="s">
        <v>458</v>
      </c>
      <c r="B34" s="355"/>
      <c r="C34" s="355"/>
      <c r="D34" s="355"/>
      <c r="E34" s="355"/>
      <c r="F34" s="355"/>
    </row>
    <row r="35" spans="1:6" ht="15">
      <c r="A35" s="349" t="s">
        <v>350</v>
      </c>
      <c r="B35" s="355"/>
      <c r="C35" s="355"/>
      <c r="D35" s="355"/>
      <c r="E35" s="355"/>
      <c r="F35" s="355"/>
    </row>
    <row r="36" spans="1:6" ht="15">
      <c r="A36" s="349" t="s">
        <v>351</v>
      </c>
      <c r="B36" s="355"/>
      <c r="C36" s="355"/>
      <c r="D36" s="355"/>
      <c r="E36" s="355"/>
      <c r="F36" s="355"/>
    </row>
    <row r="37" spans="1:6" ht="15">
      <c r="A37" s="349"/>
      <c r="B37" s="355"/>
      <c r="C37" s="355"/>
      <c r="D37" s="355"/>
      <c r="E37" s="355"/>
      <c r="F37" s="355"/>
    </row>
    <row r="38" spans="1:6" ht="15">
      <c r="A38" s="349" t="str">
        <f>CONCATENATE("Additionally, do your ",inputPrYr!D6-1," receipts contain a reimbursement")</f>
        <v>Additionally, do your 2013 receipts contain a reimbursement</v>
      </c>
      <c r="B38" s="355"/>
      <c r="C38" s="355"/>
      <c r="D38" s="355"/>
      <c r="E38" s="355"/>
      <c r="F38" s="355"/>
    </row>
    <row r="39" spans="1:6" ht="15">
      <c r="A39" s="349" t="s">
        <v>352</v>
      </c>
      <c r="B39" s="355"/>
      <c r="C39" s="355"/>
      <c r="D39" s="355"/>
      <c r="E39" s="355"/>
      <c r="F39" s="355"/>
    </row>
    <row r="40" spans="1:6" ht="15">
      <c r="A40" s="349" t="s">
        <v>353</v>
      </c>
      <c r="B40" s="355"/>
      <c r="C40" s="355"/>
      <c r="D40" s="355"/>
      <c r="E40" s="355"/>
      <c r="F40" s="355"/>
    </row>
    <row r="41" spans="1:6" ht="15">
      <c r="A41" s="349"/>
      <c r="B41" s="355"/>
      <c r="C41" s="355"/>
      <c r="D41" s="355"/>
      <c r="E41" s="355"/>
      <c r="F41" s="355"/>
    </row>
    <row r="42" spans="1:6" ht="15">
      <c r="A42" s="349" t="s">
        <v>459</v>
      </c>
      <c r="B42" s="355"/>
      <c r="C42" s="355"/>
      <c r="D42" s="355"/>
      <c r="E42" s="355"/>
      <c r="F42" s="355"/>
    </row>
    <row r="43" spans="1:6" ht="15">
      <c r="A43" s="349" t="s">
        <v>460</v>
      </c>
      <c r="B43" s="355"/>
      <c r="C43" s="355"/>
      <c r="D43" s="355"/>
      <c r="E43" s="355"/>
      <c r="F43" s="355"/>
    </row>
    <row r="44" spans="1:6" ht="15">
      <c r="A44" s="349" t="s">
        <v>461</v>
      </c>
      <c r="B44" s="355"/>
      <c r="C44" s="355"/>
      <c r="D44" s="355"/>
      <c r="E44" s="355"/>
      <c r="F44" s="355"/>
    </row>
    <row r="45" spans="1:6" ht="15">
      <c r="A45" s="349" t="s">
        <v>462</v>
      </c>
      <c r="B45" s="355"/>
      <c r="C45" s="355"/>
      <c r="D45" s="355"/>
      <c r="E45" s="355"/>
      <c r="F45" s="355"/>
    </row>
    <row r="46" spans="1:6" ht="15">
      <c r="A46" s="349" t="s">
        <v>463</v>
      </c>
      <c r="B46" s="355"/>
      <c r="C46" s="355"/>
      <c r="D46" s="355"/>
      <c r="E46" s="355"/>
      <c r="F46" s="355"/>
    </row>
    <row r="47" spans="1:6" ht="15">
      <c r="A47" s="349"/>
      <c r="B47" s="355"/>
      <c r="C47" s="355"/>
      <c r="D47" s="355"/>
      <c r="E47" s="355"/>
      <c r="F47" s="355"/>
    </row>
    <row r="48" spans="1:6" ht="15">
      <c r="A48" s="350" t="s">
        <v>464</v>
      </c>
      <c r="B48" s="355"/>
      <c r="C48" s="355"/>
      <c r="D48" s="355"/>
      <c r="E48" s="355"/>
      <c r="F48" s="355"/>
    </row>
    <row r="49" spans="1:6" ht="15">
      <c r="A49" s="350" t="s">
        <v>465</v>
      </c>
      <c r="B49" s="355"/>
      <c r="C49" s="355"/>
      <c r="D49" s="355"/>
      <c r="E49" s="355"/>
      <c r="F49" s="355"/>
    </row>
    <row r="50" spans="1:6" ht="15">
      <c r="A50" s="350" t="s">
        <v>466</v>
      </c>
      <c r="B50" s="355"/>
      <c r="C50" s="355"/>
      <c r="D50" s="355"/>
      <c r="E50" s="355"/>
      <c r="F50" s="355"/>
    </row>
    <row r="51" ht="15">
      <c r="A51" s="350" t="s">
        <v>467</v>
      </c>
    </row>
    <row r="52" ht="15">
      <c r="A52" s="350" t="s">
        <v>468</v>
      </c>
    </row>
    <row r="53" ht="15">
      <c r="A53" s="350" t="s">
        <v>469</v>
      </c>
    </row>
    <row r="55" ht="15">
      <c r="A55" s="355" t="s">
        <v>470</v>
      </c>
    </row>
    <row r="56" ht="15">
      <c r="A56" s="355" t="s">
        <v>471</v>
      </c>
    </row>
    <row r="57" ht="15">
      <c r="A57" s="355" t="s">
        <v>472</v>
      </c>
    </row>
    <row r="58" ht="15">
      <c r="A58" s="355" t="s">
        <v>473</v>
      </c>
    </row>
    <row r="59" ht="15">
      <c r="A59" s="355" t="s">
        <v>474</v>
      </c>
    </row>
    <row r="60" ht="15">
      <c r="A60" s="355" t="s">
        <v>475</v>
      </c>
    </row>
    <row r="62" ht="15">
      <c r="A62" s="355" t="s">
        <v>383</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476</v>
      </c>
      <c r="B3" s="354"/>
      <c r="C3" s="354"/>
      <c r="D3" s="354"/>
      <c r="E3" s="354"/>
      <c r="F3" s="354"/>
      <c r="G3" s="354"/>
    </row>
    <row r="4" spans="1:7" ht="15">
      <c r="A4" s="354"/>
      <c r="B4" s="354"/>
      <c r="C4" s="354"/>
      <c r="D4" s="354"/>
      <c r="E4" s="354"/>
      <c r="F4" s="354"/>
      <c r="G4" s="354"/>
    </row>
    <row r="5" ht="15">
      <c r="A5" s="355" t="s">
        <v>385</v>
      </c>
    </row>
    <row r="6" ht="15">
      <c r="A6" s="355" t="str">
        <f>CONCATENATE(inputPrYr!D6-1," estimated expenditures show that at the end of this year")</f>
        <v>2013 estimated expenditures show that at the end of this year</v>
      </c>
    </row>
    <row r="7" ht="15">
      <c r="A7" s="355" t="s">
        <v>477</v>
      </c>
    </row>
    <row r="8" ht="15">
      <c r="A8" s="355" t="s">
        <v>478</v>
      </c>
    </row>
    <row r="10" ht="15">
      <c r="A10" t="s">
        <v>387</v>
      </c>
    </row>
    <row r="11" ht="15">
      <c r="A11" t="s">
        <v>388</v>
      </c>
    </row>
    <row r="12" ht="15">
      <c r="A12" t="s">
        <v>389</v>
      </c>
    </row>
    <row r="13" spans="1:7" ht="15">
      <c r="A13" s="354"/>
      <c r="B13" s="354"/>
      <c r="C13" s="354"/>
      <c r="D13" s="354"/>
      <c r="E13" s="354"/>
      <c r="F13" s="354"/>
      <c r="G13" s="354"/>
    </row>
    <row r="14" ht="15">
      <c r="A14" s="356" t="s">
        <v>479</v>
      </c>
    </row>
    <row r="15" ht="15">
      <c r="A15" s="355"/>
    </row>
    <row r="16" ht="15">
      <c r="A16" s="355" t="s">
        <v>480</v>
      </c>
    </row>
    <row r="17" ht="15">
      <c r="A17" s="355" t="s">
        <v>481</v>
      </c>
    </row>
    <row r="18" ht="15">
      <c r="A18" s="355" t="s">
        <v>482</v>
      </c>
    </row>
    <row r="19" ht="15">
      <c r="A19" s="355"/>
    </row>
    <row r="20" ht="15">
      <c r="A20" s="355" t="s">
        <v>483</v>
      </c>
    </row>
    <row r="21" ht="15">
      <c r="A21" s="355" t="s">
        <v>484</v>
      </c>
    </row>
    <row r="22" ht="15">
      <c r="A22" s="355" t="s">
        <v>485</v>
      </c>
    </row>
    <row r="23" ht="15">
      <c r="A23" s="355" t="s">
        <v>486</v>
      </c>
    </row>
    <row r="24" ht="15">
      <c r="A24" s="355"/>
    </row>
    <row r="25" ht="15">
      <c r="A25" s="356" t="s">
        <v>451</v>
      </c>
    </row>
    <row r="26" ht="15">
      <c r="A26" s="356"/>
    </row>
    <row r="27" ht="15">
      <c r="A27" s="355" t="s">
        <v>452</v>
      </c>
    </row>
    <row r="28" spans="1:6" ht="15">
      <c r="A28" s="355" t="s">
        <v>453</v>
      </c>
      <c r="B28" s="355"/>
      <c r="C28" s="355"/>
      <c r="D28" s="355"/>
      <c r="E28" s="355"/>
      <c r="F28" s="355"/>
    </row>
    <row r="29" spans="1:6" ht="15">
      <c r="A29" s="355" t="s">
        <v>454</v>
      </c>
      <c r="B29" s="355"/>
      <c r="C29" s="355"/>
      <c r="D29" s="355"/>
      <c r="E29" s="355"/>
      <c r="F29" s="355"/>
    </row>
    <row r="30" spans="1:6" ht="15">
      <c r="A30" s="355" t="s">
        <v>455</v>
      </c>
      <c r="B30" s="355"/>
      <c r="C30" s="355"/>
      <c r="D30" s="355"/>
      <c r="E30" s="355"/>
      <c r="F30" s="355"/>
    </row>
    <row r="31" ht="15">
      <c r="A31" s="355"/>
    </row>
    <row r="32" spans="1:7" ht="15">
      <c r="A32" s="356" t="s">
        <v>456</v>
      </c>
      <c r="B32" s="356"/>
      <c r="C32" s="356"/>
      <c r="D32" s="356"/>
      <c r="E32" s="356"/>
      <c r="F32" s="356"/>
      <c r="G32" s="356"/>
    </row>
    <row r="33" spans="1:7" ht="15">
      <c r="A33" s="356" t="s">
        <v>457</v>
      </c>
      <c r="B33" s="356"/>
      <c r="C33" s="356"/>
      <c r="D33" s="356"/>
      <c r="E33" s="356"/>
      <c r="F33" s="356"/>
      <c r="G33" s="356"/>
    </row>
    <row r="34" spans="1:7" ht="15">
      <c r="A34" s="356"/>
      <c r="B34" s="356"/>
      <c r="C34" s="356"/>
      <c r="D34" s="356"/>
      <c r="E34" s="356"/>
      <c r="F34" s="356"/>
      <c r="G34" s="356"/>
    </row>
    <row r="35" spans="1:7" ht="15">
      <c r="A35" s="355" t="s">
        <v>487</v>
      </c>
      <c r="B35" s="355"/>
      <c r="C35" s="355"/>
      <c r="D35" s="355"/>
      <c r="E35" s="355"/>
      <c r="F35" s="355"/>
      <c r="G35" s="355"/>
    </row>
    <row r="36" spans="1:7" ht="15">
      <c r="A36" s="355" t="s">
        <v>488</v>
      </c>
      <c r="B36" s="355"/>
      <c r="C36" s="355"/>
      <c r="D36" s="355"/>
      <c r="E36" s="355"/>
      <c r="F36" s="355"/>
      <c r="G36" s="355"/>
    </row>
    <row r="37" spans="1:7" ht="15">
      <c r="A37" s="355" t="s">
        <v>489</v>
      </c>
      <c r="B37" s="355"/>
      <c r="C37" s="355"/>
      <c r="D37" s="355"/>
      <c r="E37" s="355"/>
      <c r="F37" s="355"/>
      <c r="G37" s="355"/>
    </row>
    <row r="38" spans="1:7" ht="15">
      <c r="A38" s="355" t="s">
        <v>490</v>
      </c>
      <c r="B38" s="355"/>
      <c r="C38" s="355"/>
      <c r="D38" s="355"/>
      <c r="E38" s="355"/>
      <c r="F38" s="355"/>
      <c r="G38" s="355"/>
    </row>
    <row r="39" spans="1:7" ht="15">
      <c r="A39" s="355" t="s">
        <v>491</v>
      </c>
      <c r="B39" s="355"/>
      <c r="C39" s="355"/>
      <c r="D39" s="355"/>
      <c r="E39" s="355"/>
      <c r="F39" s="355"/>
      <c r="G39" s="355"/>
    </row>
    <row r="40" spans="1:7" ht="15">
      <c r="A40" s="356"/>
      <c r="B40" s="356"/>
      <c r="C40" s="356"/>
      <c r="D40" s="356"/>
      <c r="E40" s="356"/>
      <c r="F40" s="356"/>
      <c r="G40" s="356"/>
    </row>
    <row r="41" spans="1:6" ht="15">
      <c r="A41" s="349" t="str">
        <f>CONCATENATE("So, let's look to see if any of your ",inputPrYr!D6-1," expenditures can")</f>
        <v>So, let's look to see if any of your 2013 expenditures can</v>
      </c>
      <c r="B41" s="355"/>
      <c r="C41" s="355"/>
      <c r="D41" s="355"/>
      <c r="E41" s="355"/>
      <c r="F41" s="355"/>
    </row>
    <row r="42" spans="1:6" ht="15">
      <c r="A42" s="349" t="s">
        <v>458</v>
      </c>
      <c r="B42" s="355"/>
      <c r="C42" s="355"/>
      <c r="D42" s="355"/>
      <c r="E42" s="355"/>
      <c r="F42" s="355"/>
    </row>
    <row r="43" spans="1:6" ht="15">
      <c r="A43" s="349" t="s">
        <v>350</v>
      </c>
      <c r="B43" s="355"/>
      <c r="C43" s="355"/>
      <c r="D43" s="355"/>
      <c r="E43" s="355"/>
      <c r="F43" s="355"/>
    </row>
    <row r="44" spans="1:6" ht="15">
      <c r="A44" s="349" t="s">
        <v>351</v>
      </c>
      <c r="B44" s="355"/>
      <c r="C44" s="355"/>
      <c r="D44" s="355"/>
      <c r="E44" s="355"/>
      <c r="F44" s="355"/>
    </row>
    <row r="45" ht="15">
      <c r="A45" s="355"/>
    </row>
    <row r="46" spans="1:6" ht="15">
      <c r="A46" s="349" t="str">
        <f>CONCATENATE("Additionally, do your ",inputPrYr!D6-1," receipts contain a reimbursement")</f>
        <v>Additionally, do your 2013 receipts contain a reimbursement</v>
      </c>
      <c r="B46" s="355"/>
      <c r="C46" s="355"/>
      <c r="D46" s="355"/>
      <c r="E46" s="355"/>
      <c r="F46" s="355"/>
    </row>
    <row r="47" spans="1:6" ht="15">
      <c r="A47" s="349" t="s">
        <v>352</v>
      </c>
      <c r="B47" s="355"/>
      <c r="C47" s="355"/>
      <c r="D47" s="355"/>
      <c r="E47" s="355"/>
      <c r="F47" s="355"/>
    </row>
    <row r="48" spans="1:6" ht="15">
      <c r="A48" s="349" t="s">
        <v>353</v>
      </c>
      <c r="B48" s="355"/>
      <c r="C48" s="355"/>
      <c r="D48" s="355"/>
      <c r="E48" s="355"/>
      <c r="F48" s="355"/>
    </row>
    <row r="49" spans="1:7" ht="15">
      <c r="A49" s="355"/>
      <c r="B49" s="355"/>
      <c r="C49" s="355"/>
      <c r="D49" s="355"/>
      <c r="E49" s="355"/>
      <c r="F49" s="355"/>
      <c r="G49" s="355"/>
    </row>
    <row r="50" spans="1:7" ht="15">
      <c r="A50" s="355" t="s">
        <v>412</v>
      </c>
      <c r="B50" s="355"/>
      <c r="C50" s="355"/>
      <c r="D50" s="355"/>
      <c r="E50" s="355"/>
      <c r="F50" s="355"/>
      <c r="G50" s="355"/>
    </row>
    <row r="51" spans="1:7" ht="15">
      <c r="A51" s="355" t="s">
        <v>413</v>
      </c>
      <c r="B51" s="355"/>
      <c r="C51" s="355"/>
      <c r="D51" s="355"/>
      <c r="E51" s="355"/>
      <c r="F51" s="355"/>
      <c r="G51" s="355"/>
    </row>
    <row r="52" spans="1:7" ht="15">
      <c r="A52" s="355" t="s">
        <v>414</v>
      </c>
      <c r="B52" s="355"/>
      <c r="C52" s="355"/>
      <c r="D52" s="355"/>
      <c r="E52" s="355"/>
      <c r="F52" s="355"/>
      <c r="G52" s="355"/>
    </row>
    <row r="53" spans="1:7" ht="15">
      <c r="A53" s="355" t="s">
        <v>415</v>
      </c>
      <c r="B53" s="355"/>
      <c r="C53" s="355"/>
      <c r="D53" s="355"/>
      <c r="E53" s="355"/>
      <c r="F53" s="355"/>
      <c r="G53" s="355"/>
    </row>
    <row r="54" spans="1:7" ht="15">
      <c r="A54" s="355" t="s">
        <v>416</v>
      </c>
      <c r="B54" s="355"/>
      <c r="C54" s="355"/>
      <c r="D54" s="355"/>
      <c r="E54" s="355"/>
      <c r="F54" s="355"/>
      <c r="G54" s="355"/>
    </row>
    <row r="55" spans="1:7" ht="15">
      <c r="A55" s="355"/>
      <c r="B55" s="355"/>
      <c r="C55" s="355"/>
      <c r="D55" s="355"/>
      <c r="E55" s="355"/>
      <c r="F55" s="355"/>
      <c r="G55" s="355"/>
    </row>
    <row r="56" spans="1:6" ht="15">
      <c r="A56" s="349" t="s">
        <v>354</v>
      </c>
      <c r="B56" s="355"/>
      <c r="C56" s="355"/>
      <c r="D56" s="355"/>
      <c r="E56" s="355"/>
      <c r="F56" s="355"/>
    </row>
    <row r="57" spans="1:6" ht="15">
      <c r="A57" s="349" t="s">
        <v>355</v>
      </c>
      <c r="B57" s="355"/>
      <c r="C57" s="355"/>
      <c r="D57" s="355"/>
      <c r="E57" s="355"/>
      <c r="F57" s="355"/>
    </row>
    <row r="58" spans="1:6" ht="15">
      <c r="A58" s="349" t="s">
        <v>356</v>
      </c>
      <c r="B58" s="355"/>
      <c r="C58" s="355"/>
      <c r="D58" s="355"/>
      <c r="E58" s="355"/>
      <c r="F58" s="355"/>
    </row>
    <row r="59" spans="1:6" ht="15">
      <c r="A59" s="34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49" t="s">
        <v>459</v>
      </c>
      <c r="B66" s="355"/>
      <c r="C66" s="355"/>
      <c r="D66" s="355"/>
      <c r="E66" s="355"/>
      <c r="F66" s="355"/>
    </row>
    <row r="67" spans="1:6" ht="15">
      <c r="A67" s="349" t="s">
        <v>460</v>
      </c>
      <c r="B67" s="355"/>
      <c r="C67" s="355"/>
      <c r="D67" s="355"/>
      <c r="E67" s="355"/>
      <c r="F67" s="355"/>
    </row>
    <row r="68" spans="1:6" ht="15">
      <c r="A68" s="349" t="s">
        <v>461</v>
      </c>
      <c r="B68" s="355"/>
      <c r="C68" s="355"/>
      <c r="D68" s="355"/>
      <c r="E68" s="355"/>
      <c r="F68" s="355"/>
    </row>
    <row r="69" spans="1:6" ht="15">
      <c r="A69" s="349" t="s">
        <v>462</v>
      </c>
      <c r="B69" s="355"/>
      <c r="C69" s="355"/>
      <c r="D69" s="355"/>
      <c r="E69" s="355"/>
      <c r="F69" s="355"/>
    </row>
    <row r="70" spans="1:6" ht="15">
      <c r="A70" s="349" t="s">
        <v>463</v>
      </c>
      <c r="B70" s="355"/>
      <c r="C70" s="355"/>
      <c r="D70" s="355"/>
      <c r="E70" s="355"/>
      <c r="F70" s="355"/>
    </row>
    <row r="71" ht="15">
      <c r="A71" s="355"/>
    </row>
    <row r="72" ht="15">
      <c r="A72" s="355" t="s">
        <v>383</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",inputPrYr!D6," 'total expenditures' exceed your ",inputPrYr!D6,"")</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59" t="s">
        <v>504</v>
      </c>
      <c r="B17" s="351"/>
      <c r="C17" s="351"/>
      <c r="D17" s="351"/>
      <c r="E17" s="351"/>
      <c r="F17" s="351"/>
      <c r="G17" s="351"/>
      <c r="H17" s="351"/>
    </row>
    <row r="18" spans="1:7" ht="15">
      <c r="A18" s="355" t="s">
        <v>505</v>
      </c>
      <c r="B18" s="360"/>
      <c r="C18" s="360"/>
      <c r="D18" s="360"/>
      <c r="E18" s="360"/>
      <c r="F18" s="360"/>
      <c r="G18" s="360"/>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35" t="s">
        <v>566</v>
      </c>
      <c r="C6" s="736"/>
      <c r="D6" s="736"/>
      <c r="E6" s="736"/>
      <c r="F6" s="736"/>
      <c r="G6" s="736"/>
      <c r="H6" s="736"/>
      <c r="I6" s="736"/>
      <c r="J6" s="736"/>
      <c r="K6" s="736"/>
      <c r="L6" s="396"/>
    </row>
    <row r="7" spans="1:12" ht="40.5" customHeight="1">
      <c r="A7" s="393"/>
      <c r="B7" s="737" t="s">
        <v>567</v>
      </c>
      <c r="C7" s="738"/>
      <c r="D7" s="738"/>
      <c r="E7" s="738"/>
      <c r="F7" s="738"/>
      <c r="G7" s="738"/>
      <c r="H7" s="738"/>
      <c r="I7" s="738"/>
      <c r="J7" s="738"/>
      <c r="K7" s="738"/>
      <c r="L7" s="393"/>
    </row>
    <row r="8" spans="1:12" ht="14.25">
      <c r="A8" s="393"/>
      <c r="B8" s="739" t="s">
        <v>568</v>
      </c>
      <c r="C8" s="739"/>
      <c r="D8" s="739"/>
      <c r="E8" s="739"/>
      <c r="F8" s="739"/>
      <c r="G8" s="739"/>
      <c r="H8" s="739"/>
      <c r="I8" s="739"/>
      <c r="J8" s="739"/>
      <c r="K8" s="739"/>
      <c r="L8" s="393"/>
    </row>
    <row r="9" spans="1:12" ht="14.25">
      <c r="A9" s="393"/>
      <c r="L9" s="393"/>
    </row>
    <row r="10" spans="1:12" ht="14.25">
      <c r="A10" s="393"/>
      <c r="B10" s="739" t="s">
        <v>569</v>
      </c>
      <c r="C10" s="739"/>
      <c r="D10" s="739"/>
      <c r="E10" s="739"/>
      <c r="F10" s="739"/>
      <c r="G10" s="739"/>
      <c r="H10" s="739"/>
      <c r="I10" s="739"/>
      <c r="J10" s="739"/>
      <c r="K10" s="739"/>
      <c r="L10" s="393"/>
    </row>
    <row r="11" spans="1:12" ht="14.25">
      <c r="A11" s="393"/>
      <c r="B11" s="532"/>
      <c r="C11" s="532"/>
      <c r="D11" s="532"/>
      <c r="E11" s="532"/>
      <c r="F11" s="532"/>
      <c r="G11" s="532"/>
      <c r="H11" s="532"/>
      <c r="I11" s="532"/>
      <c r="J11" s="532"/>
      <c r="K11" s="532"/>
      <c r="L11" s="393"/>
    </row>
    <row r="12" spans="1:12" ht="32.25" customHeight="1">
      <c r="A12" s="393"/>
      <c r="B12" s="740" t="s">
        <v>570</v>
      </c>
      <c r="C12" s="740"/>
      <c r="D12" s="740"/>
      <c r="E12" s="740"/>
      <c r="F12" s="740"/>
      <c r="G12" s="740"/>
      <c r="H12" s="740"/>
      <c r="I12" s="740"/>
      <c r="J12" s="740"/>
      <c r="K12" s="740"/>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1">
        <v>312000000</v>
      </c>
      <c r="G23" s="741"/>
      <c r="L23" s="393"/>
    </row>
    <row r="24" spans="1:12" ht="14.25">
      <c r="A24" s="393"/>
      <c r="L24" s="393"/>
    </row>
    <row r="25" spans="1:12" ht="14.25">
      <c r="A25" s="393"/>
      <c r="C25" s="742">
        <f>F23</f>
        <v>312000000</v>
      </c>
      <c r="D25" s="74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3" t="s">
        <v>567</v>
      </c>
      <c r="C30" s="743"/>
      <c r="D30" s="743"/>
      <c r="E30" s="743"/>
      <c r="F30" s="743"/>
      <c r="G30" s="743"/>
      <c r="H30" s="743"/>
      <c r="I30" s="743"/>
      <c r="J30" s="743"/>
      <c r="K30" s="743"/>
      <c r="L30" s="393"/>
    </row>
    <row r="31" spans="1:12" ht="14.25">
      <c r="A31" s="393"/>
      <c r="B31" s="739" t="s">
        <v>579</v>
      </c>
      <c r="C31" s="739"/>
      <c r="D31" s="739"/>
      <c r="E31" s="739"/>
      <c r="F31" s="739"/>
      <c r="G31" s="739"/>
      <c r="H31" s="739"/>
      <c r="I31" s="739"/>
      <c r="J31" s="739"/>
      <c r="K31" s="739"/>
      <c r="L31" s="393"/>
    </row>
    <row r="32" spans="1:12" ht="14.25">
      <c r="A32" s="393"/>
      <c r="L32" s="393"/>
    </row>
    <row r="33" spans="1:12" ht="14.25">
      <c r="A33" s="393"/>
      <c r="B33" s="739" t="s">
        <v>580</v>
      </c>
      <c r="C33" s="739"/>
      <c r="D33" s="739"/>
      <c r="E33" s="739"/>
      <c r="F33" s="739"/>
      <c r="G33" s="739"/>
      <c r="H33" s="739"/>
      <c r="I33" s="739"/>
      <c r="J33" s="739"/>
      <c r="K33" s="739"/>
      <c r="L33" s="393"/>
    </row>
    <row r="34" spans="1:12" ht="14.25">
      <c r="A34" s="393"/>
      <c r="L34" s="393"/>
    </row>
    <row r="35" spans="1:12" ht="89.25" customHeight="1">
      <c r="A35" s="393"/>
      <c r="B35" s="740" t="s">
        <v>581</v>
      </c>
      <c r="C35" s="744"/>
      <c r="D35" s="744"/>
      <c r="E35" s="744"/>
      <c r="F35" s="744"/>
      <c r="G35" s="744"/>
      <c r="H35" s="744"/>
      <c r="I35" s="744"/>
      <c r="J35" s="744"/>
      <c r="K35" s="744"/>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45">
        <v>312000000</v>
      </c>
      <c r="D41" s="745"/>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46">
        <v>312000000</v>
      </c>
      <c r="C48" s="741"/>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47" t="s">
        <v>589</v>
      </c>
      <c r="H50" s="748"/>
      <c r="I50" s="528" t="s">
        <v>575</v>
      </c>
      <c r="J50" s="413">
        <f>B50/F50</f>
        <v>0.16025641025641027</v>
      </c>
      <c r="K50" s="405"/>
      <c r="L50" s="393"/>
    </row>
    <row r="51" spans="1:15" ht="15" thickBot="1">
      <c r="A51" s="393"/>
      <c r="B51" s="406"/>
      <c r="C51" s="407"/>
      <c r="D51" s="407"/>
      <c r="E51" s="407"/>
      <c r="F51" s="407"/>
      <c r="G51" s="407"/>
      <c r="H51" s="407"/>
      <c r="I51" s="749" t="s">
        <v>590</v>
      </c>
      <c r="J51" s="749"/>
      <c r="K51" s="750"/>
      <c r="L51" s="393"/>
      <c r="O51" s="414"/>
    </row>
    <row r="52" spans="1:12" ht="40.5" customHeight="1">
      <c r="A52" s="393"/>
      <c r="B52" s="743" t="s">
        <v>567</v>
      </c>
      <c r="C52" s="743"/>
      <c r="D52" s="743"/>
      <c r="E52" s="743"/>
      <c r="F52" s="743"/>
      <c r="G52" s="743"/>
      <c r="H52" s="743"/>
      <c r="I52" s="743"/>
      <c r="J52" s="743"/>
      <c r="K52" s="743"/>
      <c r="L52" s="393"/>
    </row>
    <row r="53" spans="1:12" ht="14.25">
      <c r="A53" s="393"/>
      <c r="B53" s="739" t="s">
        <v>591</v>
      </c>
      <c r="C53" s="739"/>
      <c r="D53" s="739"/>
      <c r="E53" s="739"/>
      <c r="F53" s="739"/>
      <c r="G53" s="739"/>
      <c r="H53" s="739"/>
      <c r="I53" s="739"/>
      <c r="J53" s="739"/>
      <c r="K53" s="739"/>
      <c r="L53" s="393"/>
    </row>
    <row r="54" spans="1:12" ht="14.25">
      <c r="A54" s="393"/>
      <c r="B54" s="532"/>
      <c r="C54" s="532"/>
      <c r="D54" s="532"/>
      <c r="E54" s="532"/>
      <c r="F54" s="532"/>
      <c r="G54" s="532"/>
      <c r="H54" s="532"/>
      <c r="I54" s="532"/>
      <c r="J54" s="532"/>
      <c r="K54" s="532"/>
      <c r="L54" s="393"/>
    </row>
    <row r="55" spans="1:12" ht="14.25">
      <c r="A55" s="393"/>
      <c r="B55" s="735" t="s">
        <v>592</v>
      </c>
      <c r="C55" s="735"/>
      <c r="D55" s="735"/>
      <c r="E55" s="735"/>
      <c r="F55" s="735"/>
      <c r="G55" s="735"/>
      <c r="H55" s="735"/>
      <c r="I55" s="735"/>
      <c r="J55" s="735"/>
      <c r="K55" s="735"/>
      <c r="L55" s="393"/>
    </row>
    <row r="56" spans="1:12" ht="15" customHeight="1">
      <c r="A56" s="393"/>
      <c r="L56" s="393"/>
    </row>
    <row r="57" spans="1:24" ht="74.25" customHeight="1">
      <c r="A57" s="393"/>
      <c r="B57" s="740" t="s">
        <v>593</v>
      </c>
      <c r="C57" s="744"/>
      <c r="D57" s="744"/>
      <c r="E57" s="744"/>
      <c r="F57" s="744"/>
      <c r="G57" s="744"/>
      <c r="H57" s="744"/>
      <c r="I57" s="744"/>
      <c r="J57" s="744"/>
      <c r="K57" s="744"/>
      <c r="L57" s="393"/>
      <c r="M57" s="415"/>
      <c r="N57" s="416"/>
      <c r="O57" s="416"/>
      <c r="P57" s="416"/>
      <c r="Q57" s="416"/>
      <c r="R57" s="416"/>
      <c r="S57" s="416"/>
      <c r="T57" s="416"/>
      <c r="U57" s="416"/>
      <c r="V57" s="416"/>
      <c r="W57" s="416"/>
      <c r="X57" s="416"/>
    </row>
    <row r="58" spans="1:24" ht="15" customHeight="1">
      <c r="A58" s="393"/>
      <c r="B58" s="740"/>
      <c r="C58" s="744"/>
      <c r="D58" s="744"/>
      <c r="E58" s="744"/>
      <c r="F58" s="744"/>
      <c r="G58" s="744"/>
      <c r="H58" s="744"/>
      <c r="I58" s="744"/>
      <c r="J58" s="744"/>
      <c r="K58" s="744"/>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1">
        <v>312000000</v>
      </c>
      <c r="D74" s="741"/>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1">
        <v>50000</v>
      </c>
      <c r="D77" s="741"/>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1">
        <v>100000</v>
      </c>
      <c r="D80" s="741"/>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51">
        <f>H80</f>
        <v>11500</v>
      </c>
      <c r="D83" s="751"/>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3" t="s">
        <v>567</v>
      </c>
      <c r="C85" s="743"/>
      <c r="D85" s="743"/>
      <c r="E85" s="743"/>
      <c r="F85" s="743"/>
      <c r="G85" s="743"/>
      <c r="H85" s="743"/>
      <c r="I85" s="743"/>
      <c r="J85" s="743"/>
      <c r="K85" s="743"/>
      <c r="L85" s="393"/>
    </row>
    <row r="86" spans="1:12" ht="14.25">
      <c r="A86" s="393"/>
      <c r="B86" s="735" t="s">
        <v>609</v>
      </c>
      <c r="C86" s="735"/>
      <c r="D86" s="735"/>
      <c r="E86" s="735"/>
      <c r="F86" s="735"/>
      <c r="G86" s="735"/>
      <c r="H86" s="735"/>
      <c r="I86" s="735"/>
      <c r="J86" s="735"/>
      <c r="K86" s="735"/>
      <c r="L86" s="393"/>
    </row>
    <row r="87" spans="1:12" ht="14.25">
      <c r="A87" s="393"/>
      <c r="B87" s="427"/>
      <c r="C87" s="427"/>
      <c r="D87" s="427"/>
      <c r="E87" s="427"/>
      <c r="F87" s="427"/>
      <c r="G87" s="427"/>
      <c r="H87" s="427"/>
      <c r="I87" s="427"/>
      <c r="J87" s="427"/>
      <c r="K87" s="427"/>
      <c r="L87" s="393"/>
    </row>
    <row r="88" spans="1:12" ht="14.25">
      <c r="A88" s="393"/>
      <c r="B88" s="735" t="s">
        <v>610</v>
      </c>
      <c r="C88" s="735"/>
      <c r="D88" s="735"/>
      <c r="E88" s="735"/>
      <c r="F88" s="735"/>
      <c r="G88" s="735"/>
      <c r="H88" s="735"/>
      <c r="I88" s="735"/>
      <c r="J88" s="735"/>
      <c r="K88" s="735"/>
      <c r="L88" s="393"/>
    </row>
    <row r="89" spans="1:12" ht="14.25">
      <c r="A89" s="393"/>
      <c r="B89" s="527"/>
      <c r="C89" s="527"/>
      <c r="D89" s="527"/>
      <c r="E89" s="527"/>
      <c r="F89" s="527"/>
      <c r="G89" s="527"/>
      <c r="H89" s="527"/>
      <c r="I89" s="527"/>
      <c r="J89" s="527"/>
      <c r="K89" s="527"/>
      <c r="L89" s="393"/>
    </row>
    <row r="90" spans="1:12" ht="45" customHeight="1">
      <c r="A90" s="393"/>
      <c r="B90" s="740" t="s">
        <v>611</v>
      </c>
      <c r="C90" s="740"/>
      <c r="D90" s="740"/>
      <c r="E90" s="740"/>
      <c r="F90" s="740"/>
      <c r="G90" s="740"/>
      <c r="H90" s="740"/>
      <c r="I90" s="740"/>
      <c r="J90" s="740"/>
      <c r="K90" s="740"/>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1">
        <v>312000000</v>
      </c>
      <c r="D94" s="741"/>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1">
        <v>50000</v>
      </c>
      <c r="D97" s="741"/>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1">
        <v>2500000</v>
      </c>
      <c r="D100" s="741"/>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51">
        <f>H100</f>
        <v>750000</v>
      </c>
      <c r="D103" s="751"/>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3" t="s">
        <v>567</v>
      </c>
      <c r="C105" s="752"/>
      <c r="D105" s="752"/>
      <c r="E105" s="752"/>
      <c r="F105" s="752"/>
      <c r="G105" s="752"/>
      <c r="H105" s="752"/>
      <c r="I105" s="752"/>
      <c r="J105" s="752"/>
      <c r="K105" s="752"/>
      <c r="L105" s="393"/>
    </row>
    <row r="106" spans="1:12" ht="15" customHeight="1">
      <c r="A106" s="393"/>
      <c r="B106" s="753" t="s">
        <v>613</v>
      </c>
      <c r="C106" s="736"/>
      <c r="D106" s="736"/>
      <c r="E106" s="736"/>
      <c r="F106" s="736"/>
      <c r="G106" s="736"/>
      <c r="H106" s="736"/>
      <c r="I106" s="736"/>
      <c r="J106" s="736"/>
      <c r="K106" s="736"/>
      <c r="L106" s="393"/>
    </row>
    <row r="107" spans="1:12" ht="15" customHeight="1">
      <c r="A107" s="393"/>
      <c r="B107" s="530"/>
      <c r="C107" s="438"/>
      <c r="D107" s="438"/>
      <c r="E107" s="528"/>
      <c r="F107" s="413"/>
      <c r="G107" s="528"/>
      <c r="H107" s="528"/>
      <c r="I107" s="528"/>
      <c r="J107" s="526"/>
      <c r="K107" s="530"/>
      <c r="L107" s="393"/>
    </row>
    <row r="108" spans="1:12" ht="15" customHeight="1">
      <c r="A108" s="393"/>
      <c r="B108" s="753" t="s">
        <v>614</v>
      </c>
      <c r="C108" s="754"/>
      <c r="D108" s="754"/>
      <c r="E108" s="754"/>
      <c r="F108" s="754"/>
      <c r="G108" s="754"/>
      <c r="H108" s="754"/>
      <c r="I108" s="754"/>
      <c r="J108" s="754"/>
      <c r="K108" s="754"/>
      <c r="L108" s="393"/>
    </row>
    <row r="109" spans="1:12" ht="15" customHeight="1">
      <c r="A109" s="393"/>
      <c r="B109" s="530"/>
      <c r="C109" s="438"/>
      <c r="D109" s="438"/>
      <c r="E109" s="528"/>
      <c r="F109" s="413"/>
      <c r="G109" s="528"/>
      <c r="H109" s="528"/>
      <c r="I109" s="528"/>
      <c r="J109" s="526"/>
      <c r="K109" s="530"/>
      <c r="L109" s="393"/>
    </row>
    <row r="110" spans="1:12" ht="59.25" customHeight="1">
      <c r="A110" s="393"/>
      <c r="B110" s="755" t="s">
        <v>615</v>
      </c>
      <c r="C110" s="744"/>
      <c r="D110" s="744"/>
      <c r="E110" s="744"/>
      <c r="F110" s="744"/>
      <c r="G110" s="744"/>
      <c r="H110" s="744"/>
      <c r="I110" s="744"/>
      <c r="J110" s="744"/>
      <c r="K110" s="744"/>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1">
        <v>312000000</v>
      </c>
      <c r="D114" s="741"/>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1">
        <v>50000</v>
      </c>
      <c r="D117" s="741"/>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1">
        <v>2500000</v>
      </c>
      <c r="D120" s="741"/>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51">
        <f>H120</f>
        <v>625000</v>
      </c>
      <c r="D123" s="751"/>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3" t="s">
        <v>567</v>
      </c>
      <c r="C125" s="743"/>
      <c r="D125" s="743"/>
      <c r="E125" s="743"/>
      <c r="F125" s="743"/>
      <c r="G125" s="743"/>
      <c r="H125" s="743"/>
      <c r="I125" s="743"/>
      <c r="J125" s="743"/>
      <c r="K125" s="743"/>
      <c r="L125" s="439"/>
    </row>
    <row r="126" spans="1:12" ht="14.25">
      <c r="A126" s="393"/>
      <c r="B126" s="735" t="s">
        <v>616</v>
      </c>
      <c r="C126" s="735"/>
      <c r="D126" s="735"/>
      <c r="E126" s="735"/>
      <c r="F126" s="735"/>
      <c r="G126" s="735"/>
      <c r="H126" s="735"/>
      <c r="I126" s="735"/>
      <c r="J126" s="735"/>
      <c r="K126" s="735"/>
      <c r="L126" s="439"/>
    </row>
    <row r="127" spans="1:12" ht="14.25">
      <c r="A127" s="393"/>
      <c r="B127" s="532"/>
      <c r="C127" s="532"/>
      <c r="D127" s="532"/>
      <c r="E127" s="532"/>
      <c r="F127" s="532"/>
      <c r="G127" s="532"/>
      <c r="H127" s="532"/>
      <c r="I127" s="532"/>
      <c r="J127" s="532"/>
      <c r="K127" s="532"/>
      <c r="L127" s="439"/>
    </row>
    <row r="128" spans="1:12" ht="14.25">
      <c r="A128" s="393"/>
      <c r="B128" s="735" t="s">
        <v>617</v>
      </c>
      <c r="C128" s="735"/>
      <c r="D128" s="735"/>
      <c r="E128" s="735"/>
      <c r="F128" s="735"/>
      <c r="G128" s="735"/>
      <c r="H128" s="735"/>
      <c r="I128" s="735"/>
      <c r="J128" s="735"/>
      <c r="K128" s="735"/>
      <c r="L128" s="439"/>
    </row>
    <row r="129" spans="1:12" ht="14.25">
      <c r="A129" s="393"/>
      <c r="B129" s="527"/>
      <c r="C129" s="527"/>
      <c r="D129" s="527"/>
      <c r="E129" s="527"/>
      <c r="F129" s="527"/>
      <c r="G129" s="527"/>
      <c r="H129" s="527"/>
      <c r="I129" s="527"/>
      <c r="J129" s="527"/>
      <c r="K129" s="527"/>
      <c r="L129" s="439"/>
    </row>
    <row r="130" spans="1:12" ht="74.25" customHeight="1">
      <c r="A130" s="393"/>
      <c r="B130" s="740" t="s">
        <v>618</v>
      </c>
      <c r="C130" s="740"/>
      <c r="D130" s="740"/>
      <c r="E130" s="740"/>
      <c r="F130" s="740"/>
      <c r="G130" s="740"/>
      <c r="H130" s="740"/>
      <c r="I130" s="740"/>
      <c r="J130" s="740"/>
      <c r="K130" s="740"/>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56" t="s">
        <v>619</v>
      </c>
      <c r="D133" s="756"/>
      <c r="E133" s="403"/>
      <c r="F133" s="528" t="s">
        <v>620</v>
      </c>
      <c r="G133" s="403"/>
      <c r="H133" s="756" t="s">
        <v>605</v>
      </c>
      <c r="I133" s="756"/>
      <c r="J133" s="403"/>
      <c r="K133" s="405"/>
      <c r="L133" s="393"/>
    </row>
    <row r="134" spans="1:12" ht="14.25">
      <c r="A134" s="393"/>
      <c r="B134" s="411" t="s">
        <v>598</v>
      </c>
      <c r="C134" s="741">
        <v>100000</v>
      </c>
      <c r="D134" s="741"/>
      <c r="E134" s="528" t="s">
        <v>28</v>
      </c>
      <c r="F134" s="528">
        <v>0.115</v>
      </c>
      <c r="G134" s="528" t="s">
        <v>575</v>
      </c>
      <c r="H134" s="757">
        <f>C134*F134</f>
        <v>11500</v>
      </c>
      <c r="I134" s="757"/>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58" t="s">
        <v>605</v>
      </c>
      <c r="D136" s="758"/>
      <c r="E136" s="421"/>
      <c r="F136" s="524" t="s">
        <v>621</v>
      </c>
      <c r="G136" s="524"/>
      <c r="H136" s="421"/>
      <c r="I136" s="421"/>
      <c r="J136" s="421" t="s">
        <v>622</v>
      </c>
      <c r="K136" s="422"/>
      <c r="L136" s="393"/>
    </row>
    <row r="137" spans="1:12" ht="14.25">
      <c r="A137" s="393"/>
      <c r="B137" s="411" t="s">
        <v>601</v>
      </c>
      <c r="C137" s="757">
        <f>H134</f>
        <v>11500</v>
      </c>
      <c r="D137" s="757"/>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59" t="s">
        <v>625</v>
      </c>
      <c r="C144" s="760"/>
      <c r="D144" s="760"/>
      <c r="E144" s="760"/>
      <c r="F144" s="760"/>
      <c r="G144" s="760"/>
      <c r="H144" s="760"/>
      <c r="I144" s="760"/>
      <c r="J144" s="760"/>
      <c r="K144" s="761"/>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57" t="s">
        <v>626</v>
      </c>
      <c r="D147" s="757"/>
      <c r="E147" s="528"/>
      <c r="F147" s="457" t="s">
        <v>627</v>
      </c>
      <c r="G147" s="528"/>
      <c r="H147" s="528"/>
      <c r="I147" s="528"/>
      <c r="J147" s="762" t="s">
        <v>628</v>
      </c>
      <c r="K147" s="763"/>
      <c r="L147" s="393"/>
    </row>
    <row r="148" spans="1:12" ht="14.25">
      <c r="A148" s="393"/>
      <c r="B148" s="411"/>
      <c r="C148" s="764">
        <v>52.869</v>
      </c>
      <c r="D148" s="764"/>
      <c r="E148" s="528" t="s">
        <v>28</v>
      </c>
      <c r="F148" s="529">
        <v>312000000</v>
      </c>
      <c r="G148" s="462" t="s">
        <v>576</v>
      </c>
      <c r="H148" s="528">
        <v>1000</v>
      </c>
      <c r="I148" s="528" t="s">
        <v>575</v>
      </c>
      <c r="J148" s="762">
        <f>C148*(F148/1000)</f>
        <v>16495128</v>
      </c>
      <c r="K148" s="765"/>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4" t="s">
        <v>629</v>
      </c>
    </row>
    <row r="3" ht="31.5">
      <c r="A3" s="465" t="s">
        <v>630</v>
      </c>
    </row>
    <row r="4" ht="15.75">
      <c r="A4" s="466" t="s">
        <v>631</v>
      </c>
    </row>
    <row r="7" ht="31.5">
      <c r="A7" s="465" t="s">
        <v>632</v>
      </c>
    </row>
    <row r="8" ht="15.75">
      <c r="A8" s="466" t="s">
        <v>633</v>
      </c>
    </row>
    <row r="11" ht="15.75">
      <c r="A11" s="467" t="s">
        <v>634</v>
      </c>
    </row>
    <row r="12" ht="15.75">
      <c r="A12" s="466" t="s">
        <v>635</v>
      </c>
    </row>
    <row r="15" ht="15.75">
      <c r="A15" s="467" t="s">
        <v>636</v>
      </c>
    </row>
    <row r="16" ht="15.75">
      <c r="A16" s="466" t="s">
        <v>637</v>
      </c>
    </row>
    <row r="19" ht="15.75">
      <c r="A19" s="467" t="s">
        <v>638</v>
      </c>
    </row>
    <row r="20" ht="15.75">
      <c r="A20" s="466" t="s">
        <v>639</v>
      </c>
    </row>
    <row r="23" ht="15.75">
      <c r="A23" s="467" t="s">
        <v>640</v>
      </c>
    </row>
    <row r="24" ht="15.75">
      <c r="A24" s="466" t="s">
        <v>641</v>
      </c>
    </row>
    <row r="27" ht="15.75">
      <c r="A27" s="467" t="s">
        <v>642</v>
      </c>
    </row>
    <row r="28" ht="15.75">
      <c r="A28" s="466" t="s">
        <v>643</v>
      </c>
    </row>
    <row r="31" ht="15.75">
      <c r="A31" s="467" t="s">
        <v>644</v>
      </c>
    </row>
    <row r="32" ht="15.75">
      <c r="A32" s="466" t="s">
        <v>645</v>
      </c>
    </row>
    <row r="35" ht="15.75">
      <c r="A35" s="467" t="s">
        <v>646</v>
      </c>
    </row>
    <row r="36" ht="15.75">
      <c r="A36" s="466" t="s">
        <v>647</v>
      </c>
    </row>
    <row r="39" ht="15.75">
      <c r="A39" s="467" t="s">
        <v>648</v>
      </c>
    </row>
    <row r="40" ht="15.7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13" sqref="E1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Butler Cemetery</v>
      </c>
      <c r="B1" s="60"/>
      <c r="C1" s="60"/>
      <c r="D1" s="60"/>
      <c r="E1" s="60">
        <f>inputPrYr!D6</f>
        <v>2014</v>
      </c>
    </row>
    <row r="2" spans="1:5" ht="15.75">
      <c r="A2" s="60" t="str">
        <f>inputPrYr!D4</f>
        <v>Osborne County</v>
      </c>
      <c r="B2" s="60"/>
      <c r="C2" s="60"/>
      <c r="D2" s="60"/>
      <c r="E2" s="60"/>
    </row>
    <row r="3" spans="1:5" ht="15">
      <c r="A3" s="62"/>
      <c r="B3" s="62"/>
      <c r="C3" s="62"/>
      <c r="D3" s="62"/>
      <c r="E3" s="62"/>
    </row>
    <row r="4" spans="1:5" ht="15.75">
      <c r="A4" s="648" t="s">
        <v>195</v>
      </c>
      <c r="B4" s="649"/>
      <c r="C4" s="649"/>
      <c r="D4" s="649"/>
      <c r="E4" s="649"/>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0">
        <v>833328</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v>21853</v>
      </c>
    </row>
    <row r="10" spans="1:5" ht="15.75">
      <c r="A10" s="66" t="str">
        <f>CONCATENATE("Property that has changed in use for ",inputPrYr!D6-1,"")</f>
        <v>Property that has changed in use for 2013</v>
      </c>
      <c r="B10" s="67"/>
      <c r="C10" s="67"/>
      <c r="D10" s="67"/>
      <c r="E10" s="68">
        <v>20</v>
      </c>
    </row>
    <row r="11" spans="1:5" ht="15.75">
      <c r="A11" s="65" t="str">
        <f>CONCATENATE("Personal Property excluding oil, gas, and mobile homes- ",inputPrYr!D6-2,"")</f>
        <v>Personal Property excluding oil, gas, and mobile homes- 2012</v>
      </c>
      <c r="B11" s="40"/>
      <c r="C11" s="40"/>
      <c r="D11" s="40"/>
      <c r="E11" s="68">
        <v>22157</v>
      </c>
    </row>
    <row r="12" spans="1:5" ht="15.75">
      <c r="A12" s="66" t="str">
        <f>CONCATENATE("Neighborhood Revitalization - ",E1,"")</f>
        <v>Neighborhood Revitalization - 2014</v>
      </c>
      <c r="B12" s="67"/>
      <c r="C12" s="67"/>
      <c r="D12" s="67"/>
      <c r="E12" s="68">
        <v>0</v>
      </c>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58" t="s">
        <v>26</v>
      </c>
      <c r="B15" s="653"/>
      <c r="C15" s="62"/>
      <c r="D15" s="73" t="s">
        <v>63</v>
      </c>
      <c r="E15" s="72"/>
    </row>
    <row r="16" spans="1:5" ht="15.75">
      <c r="A16" s="65" t="s">
        <v>10</v>
      </c>
      <c r="B16" s="40"/>
      <c r="C16" s="69"/>
      <c r="D16" s="74">
        <v>1.089</v>
      </c>
      <c r="E16" s="72"/>
    </row>
    <row r="17" spans="1:5" ht="15.75">
      <c r="A17" s="66" t="s">
        <v>271</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205</v>
      </c>
      <c r="C22" s="78"/>
      <c r="D22" s="79">
        <f>SUM(D16:D21)</f>
        <v>1.089</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734325</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14</v>
      </c>
      <c r="B27" s="40"/>
      <c r="C27" s="40"/>
      <c r="D27" s="83"/>
      <c r="E27" s="35">
        <v>44</v>
      </c>
    </row>
    <row r="28" spans="1:5" ht="15.75">
      <c r="A28" s="66" t="s">
        <v>15</v>
      </c>
      <c r="B28" s="67"/>
      <c r="C28" s="67"/>
      <c r="D28" s="84"/>
      <c r="E28" s="35">
        <v>1</v>
      </c>
    </row>
    <row r="29" spans="1:5" ht="15.75">
      <c r="A29" s="66" t="s">
        <v>171</v>
      </c>
      <c r="B29" s="67"/>
      <c r="C29" s="67"/>
      <c r="D29" s="84"/>
      <c r="E29" s="35">
        <v>22</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2011 Tax - (rate .01213 = 1.213%, key in 1.2)</v>
      </c>
      <c r="B34" s="40"/>
      <c r="C34" s="40"/>
      <c r="D34" s="44"/>
      <c r="E34" s="535">
        <v>0</v>
      </c>
    </row>
    <row r="35" spans="1:5" ht="15.75">
      <c r="A35" s="66" t="s">
        <v>707</v>
      </c>
      <c r="B35" s="86"/>
      <c r="C35" s="69"/>
      <c r="D35" s="69"/>
      <c r="E35" s="536">
        <v>0</v>
      </c>
    </row>
    <row r="36" spans="1:5" ht="15.75">
      <c r="A36" s="87" t="s">
        <v>173</v>
      </c>
      <c r="B36" s="87"/>
      <c r="C36" s="88"/>
      <c r="D36" s="88"/>
      <c r="E36" s="89"/>
    </row>
    <row r="37" spans="1:5" ht="15">
      <c r="A37" s="62"/>
      <c r="B37" s="62"/>
      <c r="C37" s="62"/>
      <c r="D37" s="62"/>
      <c r="E37" s="62"/>
    </row>
    <row r="38" spans="1:5" ht="15.75">
      <c r="A38" s="659" t="str">
        <f>CONCATENATE("From the ",E1-2," Budget Certificate Page")</f>
        <v>From the 2012 Budget Certificate Page</v>
      </c>
      <c r="B38" s="660"/>
      <c r="C38" s="62"/>
      <c r="D38" s="62"/>
      <c r="E38" s="62"/>
    </row>
    <row r="39" spans="1:5" ht="15.75">
      <c r="A39" s="90"/>
      <c r="B39" s="90" t="str">
        <f>CONCATENATE("",E1-2," Expenditure Amounts")</f>
        <v>2012 Expenditure Amounts</v>
      </c>
      <c r="C39" s="661" t="str">
        <f>CONCATENATE("Note: If the ",E1-2," budget was amended, then the")</f>
        <v>Note: If the 2012 budget was amended, then the</v>
      </c>
      <c r="D39" s="662"/>
      <c r="E39" s="662"/>
    </row>
    <row r="40" spans="1:5" ht="15.75">
      <c r="A40" s="91" t="s">
        <v>211</v>
      </c>
      <c r="B40" s="91" t="s">
        <v>212</v>
      </c>
      <c r="C40" s="92" t="s">
        <v>213</v>
      </c>
      <c r="D40" s="93"/>
      <c r="E40" s="93"/>
    </row>
    <row r="41" spans="1:5" ht="15.75">
      <c r="A41" s="94" t="str">
        <f>inputPrYr!B19</f>
        <v>General</v>
      </c>
      <c r="B41" s="56">
        <v>1282</v>
      </c>
      <c r="C41" s="92" t="s">
        <v>214</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39" t="s">
        <v>711</v>
      </c>
    </row>
    <row r="2" spans="1:10" ht="54" customHeight="1">
      <c r="A2" s="663" t="s">
        <v>319</v>
      </c>
      <c r="B2" s="664"/>
      <c r="C2" s="664"/>
      <c r="D2" s="664"/>
      <c r="E2" s="664"/>
      <c r="F2" s="664"/>
      <c r="J2" s="539" t="s">
        <v>712</v>
      </c>
    </row>
    <row r="3" spans="1:10" ht="15.75">
      <c r="A3" s="537" t="s">
        <v>709</v>
      </c>
      <c r="B3" s="538" t="s">
        <v>796</v>
      </c>
      <c r="C3" s="538"/>
      <c r="J3" s="539" t="s">
        <v>713</v>
      </c>
    </row>
    <row r="4" spans="1:10" ht="15.75">
      <c r="A4" s="339"/>
      <c r="B4" s="339"/>
      <c r="C4" s="339"/>
      <c r="D4" s="340"/>
      <c r="E4" s="339"/>
      <c r="F4" s="339"/>
      <c r="J4" s="539" t="s">
        <v>714</v>
      </c>
    </row>
    <row r="5" spans="1:10" ht="15.75">
      <c r="A5" s="537" t="s">
        <v>710</v>
      </c>
      <c r="B5" s="538" t="s">
        <v>795</v>
      </c>
      <c r="C5" s="339"/>
      <c r="D5" s="340"/>
      <c r="E5" s="339"/>
      <c r="F5" s="339"/>
      <c r="J5" s="539" t="s">
        <v>715</v>
      </c>
    </row>
    <row r="6" spans="1:10" ht="15.75">
      <c r="A6" s="339"/>
      <c r="B6" s="339"/>
      <c r="C6" s="339"/>
      <c r="D6" s="340"/>
      <c r="E6" s="339"/>
      <c r="F6" s="339"/>
      <c r="J6" s="539" t="s">
        <v>716</v>
      </c>
    </row>
    <row r="7" spans="1:10" ht="15.75">
      <c r="A7" s="341" t="s">
        <v>320</v>
      </c>
      <c r="B7" s="342" t="s">
        <v>797</v>
      </c>
      <c r="C7" s="343"/>
      <c r="D7" s="341" t="s">
        <v>708</v>
      </c>
      <c r="E7" s="339"/>
      <c r="F7" s="339"/>
      <c r="J7" s="539" t="s">
        <v>717</v>
      </c>
    </row>
    <row r="8" spans="1:10" ht="15.75">
      <c r="A8" s="341"/>
      <c r="B8" s="344"/>
      <c r="C8" s="345"/>
      <c r="D8" s="540" t="str">
        <f>IF(B7="","",CONCATENATE("Latest date for notice to be published in your newspaper: ",G18," ",G22,", ",G23))</f>
        <v>Latest date for notice to be published in your newspaper: August 2, 2013</v>
      </c>
      <c r="E8" s="339"/>
      <c r="F8" s="339"/>
      <c r="J8" s="539" t="s">
        <v>718</v>
      </c>
    </row>
    <row r="9" spans="1:10" ht="15.75">
      <c r="A9" s="341" t="s">
        <v>321</v>
      </c>
      <c r="B9" s="342" t="s">
        <v>798</v>
      </c>
      <c r="C9" s="346"/>
      <c r="D9" s="341"/>
      <c r="E9" s="339"/>
      <c r="F9" s="339"/>
      <c r="J9" s="539" t="s">
        <v>719</v>
      </c>
    </row>
    <row r="10" spans="1:10" ht="15.75">
      <c r="A10" s="341"/>
      <c r="B10" s="341"/>
      <c r="C10" s="341"/>
      <c r="D10" s="341"/>
      <c r="E10" s="339"/>
      <c r="F10" s="339"/>
      <c r="J10" s="539" t="s">
        <v>720</v>
      </c>
    </row>
    <row r="11" spans="1:10" ht="15.75">
      <c r="A11" s="341" t="s">
        <v>322</v>
      </c>
      <c r="B11" s="347" t="s">
        <v>799</v>
      </c>
      <c r="C11" s="347"/>
      <c r="D11" s="347"/>
      <c r="E11" s="348"/>
      <c r="F11" s="339"/>
      <c r="J11" s="539" t="s">
        <v>721</v>
      </c>
    </row>
    <row r="12" spans="1:10" ht="15.75">
      <c r="A12" s="341"/>
      <c r="B12" s="341"/>
      <c r="C12" s="341"/>
      <c r="D12" s="341"/>
      <c r="E12" s="339"/>
      <c r="F12" s="339"/>
      <c r="J12" s="539" t="s">
        <v>722</v>
      </c>
    </row>
    <row r="13" spans="1:6" ht="15.75">
      <c r="A13" s="341"/>
      <c r="B13" s="341"/>
      <c r="C13" s="341"/>
      <c r="D13" s="341"/>
      <c r="E13" s="339"/>
      <c r="F13" s="339"/>
    </row>
    <row r="14" spans="1:6" ht="15.75">
      <c r="A14" s="341" t="s">
        <v>323</v>
      </c>
      <c r="B14" s="347" t="s">
        <v>800</v>
      </c>
      <c r="C14" s="347"/>
      <c r="D14" s="347"/>
      <c r="E14" s="348"/>
      <c r="F14" s="339"/>
    </row>
    <row r="17" spans="1:6" ht="15.75">
      <c r="A17" s="665" t="s">
        <v>324</v>
      </c>
      <c r="B17" s="665"/>
      <c r="C17" s="341"/>
      <c r="D17" s="341"/>
      <c r="E17" s="341"/>
      <c r="F17" s="339"/>
    </row>
    <row r="18" spans="1:7" ht="15.75">
      <c r="A18" s="341"/>
      <c r="B18" s="341"/>
      <c r="C18" s="341"/>
      <c r="D18" s="341"/>
      <c r="E18" s="341"/>
      <c r="F18" s="339"/>
      <c r="G18" s="539" t="str">
        <f ca="1">IF(B7="","",INDIRECT(G19))</f>
        <v>August</v>
      </c>
    </row>
    <row r="19" spans="1:7" ht="15.75">
      <c r="A19" s="341" t="s">
        <v>320</v>
      </c>
      <c r="B19" s="344" t="s">
        <v>325</v>
      </c>
      <c r="C19" s="341"/>
      <c r="D19" s="341"/>
      <c r="E19" s="341"/>
      <c r="G19" s="541" t="str">
        <f>IF(B7="","",CONCATENATE("J",G21))</f>
        <v>J8</v>
      </c>
    </row>
    <row r="20" spans="1:7" ht="15.75">
      <c r="A20" s="341"/>
      <c r="B20" s="341"/>
      <c r="C20" s="341"/>
      <c r="D20" s="341"/>
      <c r="E20" s="341"/>
      <c r="G20" s="542">
        <f>B7-10</f>
        <v>41488</v>
      </c>
    </row>
    <row r="21" spans="1:7" ht="15.75">
      <c r="A21" s="341" t="s">
        <v>321</v>
      </c>
      <c r="B21" s="341" t="s">
        <v>326</v>
      </c>
      <c r="C21" s="341"/>
      <c r="D21" s="341"/>
      <c r="E21" s="341"/>
      <c r="G21" s="543">
        <f>IF(B7="","",MONTH(G20))</f>
        <v>8</v>
      </c>
    </row>
    <row r="22" spans="1:7" ht="15.75">
      <c r="A22" s="341"/>
      <c r="B22" s="341"/>
      <c r="C22" s="341"/>
      <c r="D22" s="341"/>
      <c r="E22" s="341"/>
      <c r="G22" s="544">
        <f>IF(B7="","",DAY(G20))</f>
        <v>2</v>
      </c>
    </row>
    <row r="23" spans="1:7" ht="15.75">
      <c r="A23" s="341" t="s">
        <v>322</v>
      </c>
      <c r="B23" s="341" t="s">
        <v>328</v>
      </c>
      <c r="C23" s="341"/>
      <c r="D23" s="341"/>
      <c r="E23" s="341"/>
      <c r="G23" s="545">
        <f>IF(B7="","",YEAR(G20))</f>
        <v>2013</v>
      </c>
    </row>
    <row r="24" spans="1:5" ht="15.75">
      <c r="A24" s="341"/>
      <c r="B24" s="341"/>
      <c r="C24" s="341"/>
      <c r="D24" s="341"/>
      <c r="E24" s="341"/>
    </row>
    <row r="25" spans="1:5" ht="15.7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7">
      <selection activeCell="G24" sqref="G2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7" t="s">
        <v>79</v>
      </c>
      <c r="B2" s="667"/>
      <c r="C2" s="667"/>
      <c r="D2" s="667"/>
      <c r="E2" s="667"/>
      <c r="F2" s="667"/>
      <c r="G2" s="667"/>
    </row>
    <row r="3" spans="1:7" ht="15.75">
      <c r="A3" s="18"/>
      <c r="B3" s="18"/>
      <c r="C3" s="18"/>
      <c r="D3" s="18"/>
      <c r="E3" s="18"/>
      <c r="F3" s="18"/>
      <c r="G3" s="60">
        <f>inputPrYr!D6</f>
        <v>2014</v>
      </c>
    </row>
    <row r="4" spans="1:7" ht="15.75">
      <c r="A4" s="668" t="str">
        <f>CONCATENATE("To the Clerk of ",inputPrYr!D4,", State of Kansas")</f>
        <v>To the Clerk of Osborne County, State of Kansas</v>
      </c>
      <c r="B4" s="668"/>
      <c r="C4" s="668"/>
      <c r="D4" s="668"/>
      <c r="E4" s="668"/>
      <c r="F4" s="668"/>
      <c r="G4" s="668"/>
    </row>
    <row r="5" spans="1:7" ht="15.75">
      <c r="A5" s="97" t="s">
        <v>156</v>
      </c>
      <c r="B5" s="24"/>
      <c r="C5" s="24"/>
      <c r="D5" s="24"/>
      <c r="E5" s="24"/>
      <c r="F5" s="24"/>
      <c r="G5" s="24"/>
    </row>
    <row r="6" spans="1:7" ht="15.75">
      <c r="A6" s="650" t="str">
        <f>inputPrYr!D3</f>
        <v>Butler Cemetery</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9" t="str">
        <f>CONCATENATE("",G3," Adopted Budget")</f>
        <v>2014 Adopted Budget</v>
      </c>
      <c r="F13" s="670"/>
      <c r="G13" s="671"/>
    </row>
    <row r="14" spans="1:8" ht="15.75">
      <c r="A14" s="17"/>
      <c r="B14" s="18"/>
      <c r="C14" s="18"/>
      <c r="D14" s="40"/>
      <c r="E14" s="101" t="s">
        <v>18</v>
      </c>
      <c r="F14" s="102"/>
      <c r="G14" s="103" t="s">
        <v>19</v>
      </c>
      <c r="H14" s="104"/>
    </row>
    <row r="15" spans="1:7" ht="15.75">
      <c r="A15" s="18"/>
      <c r="B15" s="18"/>
      <c r="C15" s="18"/>
      <c r="D15" s="102" t="s">
        <v>20</v>
      </c>
      <c r="E15" s="105" t="s">
        <v>212</v>
      </c>
      <c r="F15" s="672" t="str">
        <f>CONCATENATE("Amount of ",G3-1," Ad Valorem Tax")</f>
        <v>Amount of 2013 Ad Valorem Tax</v>
      </c>
      <c r="G15" s="103" t="s">
        <v>21</v>
      </c>
    </row>
    <row r="16" spans="1:7" ht="15.75">
      <c r="A16" s="17" t="s">
        <v>22</v>
      </c>
      <c r="B16" s="18"/>
      <c r="C16" s="18"/>
      <c r="D16" s="105" t="s">
        <v>23</v>
      </c>
      <c r="E16" s="105" t="s">
        <v>560</v>
      </c>
      <c r="F16" s="67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8">
        <f>IF(gen!$E$61&lt;&gt;0,gen!$E$61,"  ")</f>
        <v>1905</v>
      </c>
      <c r="F23" s="558">
        <f>IF(gen!$E$68&lt;&gt;0,gen!$E$68,"  ")</f>
        <v>799</v>
      </c>
      <c r="G23" s="559">
        <v>0.985</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1905</v>
      </c>
      <c r="F30" s="565">
        <f>SUM(F23:F28)</f>
        <v>799</v>
      </c>
      <c r="G30" s="566">
        <f>IF(SUM(G23:G28)=0,"",SUM(G23:G28))</f>
        <v>0.985</v>
      </c>
    </row>
    <row r="31" spans="1:7" ht="15.75">
      <c r="A31" s="119" t="s">
        <v>204</v>
      </c>
      <c r="B31" s="67"/>
      <c r="C31" s="116"/>
      <c r="D31" s="131">
        <f>summ!E41</f>
        <v>0</v>
      </c>
      <c r="E31" s="135" t="s">
        <v>199</v>
      </c>
      <c r="F31" s="383" t="str">
        <f>IF(F30&gt;computation!J34,"Yes","No")</f>
        <v>No</v>
      </c>
      <c r="G31" s="384" t="s">
        <v>136</v>
      </c>
    </row>
    <row r="32" spans="1:7" ht="15.75">
      <c r="A32" s="119" t="s">
        <v>219</v>
      </c>
      <c r="B32" s="133"/>
      <c r="C32" s="134"/>
      <c r="D32" s="131">
        <f>IF(Nhood!C35=0,"",Nhood!C35)</f>
      </c>
      <c r="E32" s="382"/>
      <c r="F32" s="69"/>
      <c r="G32" s="140">
        <v>811786</v>
      </c>
    </row>
    <row r="33" spans="1:7" ht="15.75">
      <c r="A33" s="136" t="s">
        <v>198</v>
      </c>
      <c r="B33" s="67"/>
      <c r="C33" s="116"/>
      <c r="D33" s="131">
        <f>IF(Resolution!E45=0,"",Resolution!E45)</f>
      </c>
      <c r="E33" s="60"/>
      <c r="F33" s="69"/>
      <c r="G33" s="673" t="str">
        <f>CONCATENATE("Nov. 1, ",G3-1," Total Assessed Valuation")</f>
        <v>Nov. 1, 2013 Total Assessed Valuation</v>
      </c>
    </row>
    <row r="34" spans="1:7" ht="15.75">
      <c r="A34" s="20"/>
      <c r="B34" s="69"/>
      <c r="C34" s="18"/>
      <c r="D34" s="137"/>
      <c r="E34" s="60"/>
      <c r="F34" s="69"/>
      <c r="G34" s="674"/>
    </row>
    <row r="35" spans="1:7" ht="15.75">
      <c r="A35" s="17" t="s">
        <v>563</v>
      </c>
      <c r="B35" s="69"/>
      <c r="C35" s="69"/>
      <c r="D35" s="69"/>
      <c r="E35" s="132"/>
      <c r="F35" s="69"/>
      <c r="G35" s="18"/>
    </row>
    <row r="36" spans="1:7" ht="15.75">
      <c r="A36" s="520" t="s">
        <v>801</v>
      </c>
      <c r="B36" s="520"/>
      <c r="C36" s="69"/>
      <c r="D36" s="69"/>
      <c r="E36" s="139"/>
      <c r="F36" s="69"/>
      <c r="G36" s="18"/>
    </row>
    <row r="37" spans="1:7" ht="15.75">
      <c r="A37" s="521" t="s">
        <v>802</v>
      </c>
      <c r="B37" s="521"/>
      <c r="C37" s="69"/>
      <c r="D37" s="69"/>
      <c r="E37" s="391"/>
      <c r="F37" s="69"/>
      <c r="G37" s="69"/>
    </row>
    <row r="38" spans="1:7" ht="15.75">
      <c r="A38" s="20" t="s">
        <v>564</v>
      </c>
      <c r="B38" s="69"/>
      <c r="C38" s="69"/>
      <c r="D38" s="69"/>
      <c r="E38" s="553"/>
      <c r="F38" s="69"/>
      <c r="G38" s="69"/>
    </row>
    <row r="39" spans="1:7" ht="15.75">
      <c r="A39" s="520" t="s">
        <v>803</v>
      </c>
      <c r="B39" s="520"/>
      <c r="C39" s="69"/>
      <c r="D39" s="69" t="s">
        <v>729</v>
      </c>
      <c r="E39" s="554"/>
      <c r="F39" s="554"/>
      <c r="G39" s="69"/>
    </row>
    <row r="40" spans="1:7" ht="15.75">
      <c r="A40" s="521" t="s">
        <v>804</v>
      </c>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2013</v>
      </c>
      <c r="D47" s="69" t="s">
        <v>729</v>
      </c>
      <c r="E47" s="69"/>
      <c r="F47" s="556"/>
      <c r="G47" s="556"/>
    </row>
    <row r="48" spans="1:7" ht="15.75">
      <c r="A48" s="141"/>
      <c r="B48" s="69"/>
      <c r="C48" s="17"/>
      <c r="D48" s="69"/>
      <c r="E48" s="69"/>
      <c r="F48" s="557"/>
      <c r="G48" s="557"/>
    </row>
    <row r="49" spans="1:7" ht="15.75">
      <c r="A49" s="675"/>
      <c r="B49" s="676"/>
      <c r="C49" s="18"/>
      <c r="D49" s="69" t="s">
        <v>729</v>
      </c>
      <c r="E49" s="69"/>
      <c r="F49" s="69"/>
      <c r="G49" s="69"/>
    </row>
    <row r="50" spans="1:7" ht="15.75">
      <c r="A50" s="24" t="s">
        <v>30</v>
      </c>
      <c r="B50" s="24"/>
      <c r="C50" s="18"/>
      <c r="D50" s="677" t="s">
        <v>29</v>
      </c>
      <c r="E50" s="678"/>
      <c r="F50" s="678"/>
      <c r="G50" s="678"/>
    </row>
    <row r="51" spans="1:7" ht="15.75">
      <c r="A51" s="679"/>
      <c r="B51" s="679"/>
      <c r="C51" s="679"/>
      <c r="D51" s="679"/>
      <c r="E51" s="679"/>
      <c r="F51" s="679"/>
      <c r="G51" s="679"/>
    </row>
    <row r="52" spans="1:7" ht="15.75">
      <c r="A52" s="680"/>
      <c r="B52" s="680"/>
      <c r="C52" s="680"/>
      <c r="D52" s="680"/>
      <c r="E52" s="680"/>
      <c r="F52" s="680"/>
      <c r="G52" s="680"/>
    </row>
    <row r="53" spans="1:7" ht="15.75">
      <c r="A53" s="16"/>
      <c r="B53" s="16"/>
      <c r="C53" s="16"/>
      <c r="D53" s="16"/>
      <c r="E53" s="16"/>
      <c r="F53" s="16"/>
      <c r="G53" s="666"/>
    </row>
    <row r="54" spans="1:7" ht="15.75">
      <c r="A54" s="16"/>
      <c r="B54" s="16"/>
      <c r="C54" s="16"/>
      <c r="D54" s="16"/>
      <c r="E54" s="16"/>
      <c r="F54" s="16"/>
      <c r="G54" s="666"/>
    </row>
    <row r="55" spans="1:7" ht="15.75">
      <c r="A55" s="16"/>
      <c r="B55" s="16"/>
      <c r="C55" s="16"/>
      <c r="D55" s="16"/>
      <c r="E55" s="16"/>
      <c r="F55" s="16"/>
      <c r="G55" s="666"/>
    </row>
    <row r="56" spans="1:7" ht="15.75">
      <c r="A56" s="16"/>
      <c r="B56" s="16"/>
      <c r="C56" s="16"/>
      <c r="D56" s="16"/>
      <c r="E56" s="16"/>
      <c r="F56" s="16"/>
      <c r="G56" s="666"/>
    </row>
    <row r="57" spans="1:7" ht="15.75">
      <c r="A57" s="16"/>
      <c r="B57" s="16"/>
      <c r="C57" s="16"/>
      <c r="D57" s="142"/>
      <c r="E57" s="16"/>
      <c r="F57" s="16"/>
      <c r="G57" s="666"/>
    </row>
    <row r="58" ht="15.75">
      <c r="G58" s="666"/>
    </row>
    <row r="59" ht="15.75">
      <c r="G59" s="666"/>
    </row>
    <row r="60" ht="15.75">
      <c r="G60" s="666"/>
    </row>
    <row r="61" ht="15.75">
      <c r="G61" s="666"/>
    </row>
    <row r="62" ht="15.75">
      <c r="G62" s="666"/>
    </row>
    <row r="63" ht="15.75">
      <c r="G63" s="666"/>
    </row>
    <row r="64" ht="15.75">
      <c r="G64" s="666"/>
    </row>
    <row r="65" ht="15.75">
      <c r="G65" s="666"/>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Butler Cemetery</v>
      </c>
      <c r="D1" s="18"/>
      <c r="E1" s="18"/>
      <c r="F1" s="18"/>
      <c r="G1" s="18"/>
      <c r="H1" s="18"/>
      <c r="I1" s="18"/>
      <c r="J1" s="18">
        <f>inputPrYr!D6</f>
        <v>2014</v>
      </c>
    </row>
    <row r="2" spans="1:10" ht="15.75" customHeight="1">
      <c r="A2" s="18"/>
      <c r="B2" s="18"/>
      <c r="C2" s="18" t="str">
        <f>inputPrYr!D4</f>
        <v>Osborne County</v>
      </c>
      <c r="D2" s="18"/>
      <c r="E2" s="18"/>
      <c r="F2" s="18"/>
      <c r="G2" s="18"/>
      <c r="H2" s="18"/>
      <c r="I2" s="18"/>
      <c r="J2" s="18"/>
    </row>
    <row r="3" spans="1:10" ht="15.75">
      <c r="A3" s="652" t="str">
        <f>CONCATENATE("Computation to Determine Limit for ",J1,"")</f>
        <v>Computation to Determine Limit for 2014</v>
      </c>
      <c r="B3" s="667"/>
      <c r="C3" s="667"/>
      <c r="D3" s="667"/>
      <c r="E3" s="667"/>
      <c r="F3" s="667"/>
      <c r="G3" s="667"/>
      <c r="H3" s="667"/>
      <c r="I3" s="667"/>
      <c r="J3" s="667"/>
    </row>
    <row r="4" spans="1:10" ht="15.75">
      <c r="A4" s="18"/>
      <c r="B4" s="18"/>
      <c r="C4" s="18"/>
      <c r="D4" s="18"/>
      <c r="E4" s="667"/>
      <c r="F4" s="667"/>
      <c r="G4" s="667"/>
      <c r="H4" s="96"/>
      <c r="I4" s="18"/>
      <c r="J4" s="144" t="s">
        <v>90</v>
      </c>
    </row>
    <row r="5" spans="1:10" ht="15.75">
      <c r="A5" s="145" t="s">
        <v>91</v>
      </c>
      <c r="B5" s="18" t="str">
        <f>CONCATENATE("Total Tax Levy Amount in ",J1-1," Budget")</f>
        <v>Total Tax Levy Amount in 2013 Budget</v>
      </c>
      <c r="C5" s="18"/>
      <c r="D5" s="18"/>
      <c r="E5" s="37"/>
      <c r="F5" s="37"/>
      <c r="G5" s="37"/>
      <c r="H5" s="146" t="s">
        <v>92</v>
      </c>
      <c r="I5" s="37" t="s">
        <v>93</v>
      </c>
      <c r="J5" s="361">
        <f>inputPrYr!E24</f>
        <v>799</v>
      </c>
    </row>
    <row r="6" spans="1:10" ht="15.75">
      <c r="A6" s="145" t="s">
        <v>94</v>
      </c>
      <c r="B6" s="18" t="str">
        <f>CONCATENATE("Debt Service Levy in ",J1-1," Budget")</f>
        <v>Debt Service Levy in 2013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799</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2013:</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2013:</v>
      </c>
      <c r="C13" s="18"/>
      <c r="D13" s="18"/>
      <c r="E13" s="146"/>
      <c r="F13" s="146"/>
      <c r="G13" s="149"/>
      <c r="H13" s="149"/>
      <c r="I13" s="37"/>
      <c r="J13" s="37"/>
    </row>
    <row r="14" spans="1:10" ht="15.75">
      <c r="A14" s="18"/>
      <c r="B14" s="18" t="s">
        <v>98</v>
      </c>
      <c r="C14" s="18" t="str">
        <f>CONCATENATE("Personal Property ",J1-1,"")</f>
        <v>Personal Property 2013</v>
      </c>
      <c r="D14" s="145" t="s">
        <v>92</v>
      </c>
      <c r="E14" s="148">
        <f>inputOth!E9</f>
        <v>21853</v>
      </c>
      <c r="F14" s="146"/>
      <c r="G14" s="37"/>
      <c r="H14" s="37"/>
      <c r="I14" s="149"/>
      <c r="J14" s="37"/>
    </row>
    <row r="15" spans="1:10" ht="15.75">
      <c r="A15" s="145"/>
      <c r="B15" s="18" t="s">
        <v>99</v>
      </c>
      <c r="C15" s="18" t="str">
        <f>CONCATENATE("Personal Property ",J1-2,"")</f>
        <v>Personal Property 2012</v>
      </c>
      <c r="D15" s="145" t="s">
        <v>95</v>
      </c>
      <c r="E15" s="41">
        <f>inputOth!E11</f>
        <v>22157</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2013:</v>
      </c>
      <c r="C18" s="18"/>
      <c r="D18" s="145"/>
      <c r="E18" s="37"/>
      <c r="F18" s="37"/>
      <c r="G18" s="37">
        <f>inputOth!E10</f>
        <v>20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20</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1,2013</v>
      </c>
      <c r="C22" s="18"/>
      <c r="D22" s="18"/>
      <c r="E22" s="148">
        <f>inputOth!E7</f>
        <v>833328</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833308</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2.4000729622180514E-05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0</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799</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799</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2014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Butler Cemetery</v>
      </c>
      <c r="C1" s="18"/>
      <c r="D1" s="18"/>
      <c r="E1" s="18"/>
      <c r="F1" s="18"/>
      <c r="G1" s="18"/>
      <c r="H1" s="18"/>
      <c r="I1" s="155"/>
      <c r="J1" s="18"/>
    </row>
    <row r="2" spans="1:10" ht="15.75">
      <c r="A2" s="18"/>
      <c r="B2" s="18" t="str">
        <f>inputPrYr!D4</f>
        <v>Osborne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85" t="str">
        <f>CONCATENATE("",G2-1,"                    Budgeted Funds")</f>
        <v>2013                    Budgeted Funds</v>
      </c>
      <c r="C9" s="683" t="str">
        <f>CONCATENATE("Tax Levy Amount in ",G2-2," Budget")</f>
        <v>Tax Levy Amount in 2012 Budget</v>
      </c>
      <c r="D9" s="669" t="str">
        <f>CONCATENATE("Allocation for Year ",G2,"")</f>
        <v>Allocation for Year 2014</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799</v>
      </c>
      <c r="D11" s="123">
        <f>IF(E17=0,0,E17-D12-D13-D14)</f>
        <v>44</v>
      </c>
      <c r="E11" s="123">
        <f>IF(E19=0,0,E19-E12-E13-E14)</f>
        <v>1</v>
      </c>
      <c r="F11" s="123">
        <f>IF(E21=0,0,E21-F12-F13-F14)</f>
        <v>22</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799</v>
      </c>
      <c r="D15" s="130">
        <f>SUM(D11:D14)</f>
        <v>44</v>
      </c>
      <c r="E15" s="130">
        <f>SUM(E11:E14)</f>
        <v>1</v>
      </c>
      <c r="F15" s="203">
        <f>SUM(F11:F14)</f>
        <v>22</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44</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22</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0.05506883604505632</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0.0012515644555694619</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0.02753441802252816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Butler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67" t="s">
        <v>145</v>
      </c>
      <c r="B5" s="667"/>
      <c r="C5" s="667"/>
      <c r="D5" s="667"/>
      <c r="E5" s="667"/>
      <c r="F5" s="667"/>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2012</v>
      </c>
      <c r="D9" s="170">
        <f>F1-1</f>
        <v>2013</v>
      </c>
      <c r="E9" s="170">
        <f>F1</f>
        <v>2014</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550</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4" t="s">
        <v>554</v>
      </c>
      <c r="B29" s="365"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305</v>
      </c>
    </row>
    <row r="2" ht="15.75">
      <c r="A2" s="95"/>
    </row>
    <row r="3" ht="47.25">
      <c r="A3" s="317" t="s">
        <v>306</v>
      </c>
    </row>
    <row r="4" ht="15.75">
      <c r="A4" s="318"/>
    </row>
    <row r="5" ht="15.75">
      <c r="A5" s="95"/>
    </row>
    <row r="6" ht="63">
      <c r="A6" s="317" t="s">
        <v>307</v>
      </c>
    </row>
    <row r="7" ht="15.75">
      <c r="A7" s="318"/>
    </row>
    <row r="8" ht="15.75">
      <c r="A8" s="95"/>
    </row>
    <row r="9" ht="47.25">
      <c r="A9" s="317" t="s">
        <v>308</v>
      </c>
    </row>
    <row r="10" ht="15.75">
      <c r="A10" s="318"/>
    </row>
    <row r="11" ht="15.75">
      <c r="A11" s="318"/>
    </row>
    <row r="12" ht="31.5">
      <c r="A12" s="317" t="s">
        <v>309</v>
      </c>
    </row>
    <row r="13" ht="15.75">
      <c r="A13" s="95"/>
    </row>
    <row r="14" ht="15.75">
      <c r="A14" s="95"/>
    </row>
    <row r="15" ht="47.25">
      <c r="A15" s="317" t="s">
        <v>310</v>
      </c>
    </row>
    <row r="16" ht="15.75">
      <c r="A16" s="95"/>
    </row>
    <row r="17" ht="15.75">
      <c r="A17" s="95"/>
    </row>
    <row r="18" ht="63">
      <c r="A18" s="468" t="s">
        <v>654</v>
      </c>
    </row>
    <row r="19" ht="15.75">
      <c r="A19" s="95"/>
    </row>
    <row r="20" ht="15.75">
      <c r="A20" s="95"/>
    </row>
    <row r="21" ht="63">
      <c r="A21" s="338" t="s">
        <v>311</v>
      </c>
    </row>
    <row r="22" ht="15.75">
      <c r="A22" s="318"/>
    </row>
    <row r="23" ht="15.75">
      <c r="A23" s="95"/>
    </row>
    <row r="24" ht="63">
      <c r="A24" s="317" t="s">
        <v>312</v>
      </c>
    </row>
    <row r="25" ht="47.25">
      <c r="A25" s="319" t="s">
        <v>313</v>
      </c>
    </row>
    <row r="26" ht="15.75">
      <c r="A26" s="318"/>
    </row>
    <row r="27" ht="15.75">
      <c r="A27" s="95"/>
    </row>
    <row r="28" ht="63">
      <c r="A28" s="468" t="s">
        <v>655</v>
      </c>
    </row>
    <row r="29" ht="15.75">
      <c r="A29" s="95"/>
    </row>
    <row r="30" ht="15.75">
      <c r="A30" s="95"/>
    </row>
    <row r="31" ht="78.75">
      <c r="A31" s="468" t="s">
        <v>656</v>
      </c>
    </row>
    <row r="32" ht="15.75">
      <c r="A32" s="95"/>
    </row>
    <row r="33" ht="15.75">
      <c r="A33" s="95"/>
    </row>
    <row r="34" ht="47.25">
      <c r="A34" s="469" t="s">
        <v>657</v>
      </c>
    </row>
    <row r="35" ht="15.75">
      <c r="A35" s="95"/>
    </row>
    <row r="36" ht="15.75">
      <c r="A36" s="95"/>
    </row>
    <row r="37" ht="78.75">
      <c r="A37" s="317" t="s">
        <v>314</v>
      </c>
    </row>
    <row r="38" ht="15.75">
      <c r="A38" s="318"/>
    </row>
    <row r="39" ht="15.75">
      <c r="A39" s="318"/>
    </row>
    <row r="40" ht="47.25">
      <c r="A40" s="338" t="s">
        <v>315</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2013-07-18T13:18:54Z</cp:lastPrinted>
  <dcterms:created xsi:type="dcterms:W3CDTF">1999-08-06T13:59:57Z</dcterms:created>
  <dcterms:modified xsi:type="dcterms:W3CDTF">2013-11-19T19:19:07Z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