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<sst xmlns="http://schemas.openxmlformats.org/spreadsheetml/2006/main" count="1229" uniqueCount="823">
  <si>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</si>
  <si>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</si>
  <si>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</si>
  <si>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</si>
  <si>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</si>
  <si>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</si>
  <si>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</si>
  <si>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</si>
  <si>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</si>
  <si>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</si>
  <si>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</si>
  <si>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</si>
  <si>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</si>
  <si>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</si>
  <si>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</si>
  <si>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</si>
  <si>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</si>
  <si>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</si>
  <si>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</si>
  <si>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</si>
  <si>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</si>
  <si>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</si>
  <si>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</si>
  <si>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</si>
  <si>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</si>
  <si>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</si>
  <si>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</si>
  <si>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</si>
  <si>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</si>
  <si>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</si>
  <si>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</si>
  <si>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</si>
  <si>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</si>
  <si>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</si>
  <si>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</si>
  <si>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</si>
  <si>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</si>
  <si>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</si>
  <si>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</si>
  <si>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</si>
  <si>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</si>
  <si>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</si>
  <si>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</si>
  <si>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</si>
  <si>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</si>
  <si>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</si>
  <si>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</si>
  <si>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</si>
  <si>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</si>
  <si>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</si>
  <si>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</si>
  <si>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</si>
  <si>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</si>
  <si>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</si>
  <si>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</si>
  <si>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</si>
  <si>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</si>
  <si>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</si>
  <si>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</si>
  <si>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</si>
  <si>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</si>
  <si>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</si>
  <si>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</si>
  <si>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</si>
  <si>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</si>
  <si>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</si>
  <si>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</si>
  <si>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</si>
  <si>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</si>
  <si>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</si>
  <si>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</si>
  <si>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</si>
  <si>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</si>
  <si>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</si>
  <si>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</si>
  <si>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</si>
  <si>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</si>
  <si>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</si>
  <si>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</si>
  <si>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</si>
  <si>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</si>
  <si>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</si>
  <si>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</si>
  <si>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</si>
  <si>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</si>
  <si>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</si>
  <si>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</si>
  <si>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</si>
  <si>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</si>
  <si>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</si>
  <si>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</si>
  <si>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</si>
  <si>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</si>
  <si>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</si>
  <si>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</si>
  <si>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</si>
  <si>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</si>
  <si>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</si>
  <si>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</si>
  <si>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</si>
  <si>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</si>
  <si>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</si>
  <si>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</si>
  <si>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</si>
  <si>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</si>
  <si>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</si>
  <si>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</si>
  <si>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</si>
  <si>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</si>
  <si>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</si>
  <si>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</si>
  <si>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</si>
  <si>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</si>
  <si>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</si>
  <si>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</si>
  <si>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</si>
  <si>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</si>
  <si>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</si>
  <si>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</si>
  <si>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</si>
  <si>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</si>
  <si>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</si>
  <si>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</si>
  <si>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</si>
  <si>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</si>
  <si>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</si>
  <si>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</si>
  <si>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</si>
  <si>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</si>
  <si>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</si>
  <si>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</si>
  <si>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</si>
  <si>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</si>
  <si>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</si>
  <si>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</si>
  <si>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</si>
  <si>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</si>
  <si>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</si>
  <si>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</si>
  <si>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</si>
  <si>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</si>
  <si>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</si>
  <si>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</si>
  <si>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</si>
  <si>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</si>
  <si>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</si>
  <si>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</si>
  <si>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</si>
  <si>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</si>
  <si>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</si>
  <si>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</si>
  <si>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</si>
  <si>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</si>
  <si>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</si>
  <si>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</si>
  <si>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</si>
  <si>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</si>
  <si>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</si>
  <si>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</si>
  <si>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</si>
  <si>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</si>
  <si>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</si>
  <si>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</si>
  <si>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</si>
  <si>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</si>
  <si>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</si>
  <si>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</si>
  <si>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</si>
  <si>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</si>
  <si>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</si>
  <si>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</si>
  <si>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</si>
  <si>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</si>
  <si>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</si>
  <si>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</si>
  <si>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</si>
  <si>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</si>
  <si>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</si>
  <si>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</si>
  <si>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</si>
  <si>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</si>
  <si>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</si>
  <si>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</si>
  <si>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</si>
  <si>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</si>
  <si>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</si>
  <si>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</si>
  <si>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</si>
  <si>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</si>
  <si>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</si>
  <si>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</si>
  <si>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</si>
  <si>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</si>
  <si>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</si>
  <si>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</si>
  <si>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</si>
  <si>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</si>
  <si>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</si>
  <si>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</si>
  <si>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</si>
  <si>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</si>
  <si>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</si>
  <si>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</si>
  <si>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</si>
  <si>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</si>
  <si>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</si>
  <si>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</si>
  <si>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</si>
  <si>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</si>
  <si>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</si>
  <si>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</si>
  <si>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</si>
  <si>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</si>
  <si>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</si>
  <si>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</si>
  <si>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</si>
  <si>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</si>
  <si>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</si>
  <si>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</si>
  <si>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</si>
  <si>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</si>
  <si>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</si>
  <si>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</si>
  <si>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</si>
  <si>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</si>
  <si>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</si>
  <si>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</si>
  <si>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</si>
  <si>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</si>
  <si>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</si>
  <si>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</si>
  <si>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</si>
  <si>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</si>
  <si>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</si>
  <si>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</si>
  <si>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</si>
  <si>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</si>
  <si>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</si>
  <si>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</si>
  <si>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</si>
  <si>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</si>
  <si>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</si>
  <si>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</si>
  <si>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</si>
  <si>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</si>
  <si>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</si>
  <si>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</si>
  <si>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</si>
  <si>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</si>
  <si>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</si>
  <si>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</si>
  <si>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</si>
  <si>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</si>
  <si>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</si>
  <si>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</si>
  <si>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</si>
  <si>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</si>
  <si>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</si>
  <si>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</si>
  <si>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</si>
  <si>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</si>
  <si>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</si>
  <si>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</si>
  <si>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</si>
  <si>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</si>
  <si>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</si>
  <si>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</si>
  <si>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</si>
  <si>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</si>
  <si>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</si>
  <si>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</si>
  <si>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</si>
  <si>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</si>
  <si>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</si>
  <si>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</si>
  <si>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</si>
  <si>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</si>
  <si>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</si>
  <si>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</si>
  <si>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</si>
  <si>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</si>
  <si>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</si>
  <si>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</si>
  <si>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</si>
  <si>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</si>
  <si>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</si>
  <si>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</si>
  <si>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</si>
  <si>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</si>
  <si>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</si>
  <si>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</si>
  <si>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</si>
  <si>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</si>
  <si>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</si>
  <si>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</si>
  <si>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</si>
  <si>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</si>
  <si>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</si>
  <si>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</si>
  <si>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</si>
  <si>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</si>
  <si>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</si>
  <si>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</si>
  <si>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</si>
  <si>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</si>
  <si>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</si>
  <si>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</si>
  <si>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</si>
  <si>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</si>
  <si>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</si>
  <si>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</si>
  <si>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</si>
  <si>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</si>
  <si>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</si>
  <si>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</si>
  <si>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</si>
  <si>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</si>
  <si>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</si>
  <si>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</si>
  <si>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</si>
  <si>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</si>
  <si>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</si>
  <si>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</si>
  <si>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</si>
  <si>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</si>
  <si>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</si>
  <si>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</si>
  <si>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</si>
  <si>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</si>
  <si>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</si>
  <si>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</si>
  <si>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</si>
  <si>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</si>
  <si>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</si>
  <si>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</si>
  <si>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</si>
  <si>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</si>
  <si>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</si>
  <si>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</si>
  <si>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</si>
  <si>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</si>
  <si>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</si>
  <si>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</si>
  <si>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</si>
  <si>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</si>
  <si>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</si>
  <si>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</si>
  <si>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</si>
  <si>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</si>
  <si>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</si>
  <si>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</si>
  <si>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</si>
  <si>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</si>
  <si>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</si>
  <si>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</si>
  <si>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</si>
  <si>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</si>
  <si>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</si>
  <si>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</si>
  <si>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</si>
  <si>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</si>
  <si>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</si>
  <si>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</si>
  <si>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</si>
  <si>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</si>
  <si>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</si>
  <si>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</si>
  <si>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</si>
  <si>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</si>
  <si>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</si>
  <si>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</si>
  <si>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</si>
  <si>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</si>
  <si>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</si>
  <si>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</si>
  <si>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</si>
  <si>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</si>
  <si>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</si>
  <si>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</si>
  <si>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</si>
  <si>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</si>
  <si>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</si>
  <si>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</si>
  <si>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</si>
  <si>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</si>
  <si>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</si>
  <si>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</si>
  <si>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</si>
  <si>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</si>
  <si>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</si>
  <si>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</si>
  <si>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</si>
  <si>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</si>
  <si>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</si>
  <si>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</si>
  <si>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</si>
  <si>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</si>
  <si>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</si>
  <si>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</si>
  <si>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</si>
  <si>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</si>
  <si>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</si>
  <si>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</si>
  <si>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</si>
  <si>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</si>
  <si>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</si>
  <si>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</si>
  <si>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</si>
  <si>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</si>
  <si>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</si>
  <si>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</si>
  <si>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</si>
  <si>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</si>
  <si>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</si>
  <si>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</si>
  <si>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</si>
  <si>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</si>
  <si>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</si>
  <si>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</si>
  <si>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</si>
  <si>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</si>
  <si>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</si>
  <si>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</si>
  <si>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</si>
  <si>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</si>
  <si>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</si>
  <si>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</si>
  <si>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</si>
  <si>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</si>
  <si>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</si>
  <si>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</si>
  <si>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</si>
  <si>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</si>
  <si>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</si>
  <si>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</si>
  <si>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</si>
  <si>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</si>
  <si>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</si>
  <si>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</si>
  <si>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</si>
  <si>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</si>
  <si>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</si>
  <si>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</si>
  <si>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</si>
  <si>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</si>
  <si>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</si>
  <si>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</si>
  <si>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</si>
  <si>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</si>
  <si>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</si>
  <si>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</si>
  <si>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</si>
  <si>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</si>
  <si>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</si>
  <si>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</si>
  <si>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</si>
  <si>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</si>
  <si>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</si>
  <si>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</si>
  <si>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</si>
  <si>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</si>
  <si>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</si>
  <si>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</si>
  <si>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</si>
  <si>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</si>
  <si>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</si>
  <si>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</si>
  <si>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</si>
  <si>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</si>
  <si>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</si>
  <si>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</si>
  <si>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</si>
  <si>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</si>
  <si>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</si>
  <si>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</si>
  <si>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</si>
  <si>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</si>
  <si>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</si>
  <si>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</si>
  <si>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</si>
  <si>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</si>
  <si>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</si>
  <si>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</si>
  <si>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</si>
  <si>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</si>
  <si>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</si>
  <si>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</si>
  <si>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</si>
  <si>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</si>
  <si>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</si>
  <si>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</si>
  <si>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</si>
  <si>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</si>
  <si>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</si>
  <si>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</si>
  <si>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</si>
  <si>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</si>
  <si>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</si>
  <si>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</si>
  <si>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</si>
  <si>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</si>
  <si>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</si>
  <si>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</si>
  <si>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</si>
  <si>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</si>
  <si>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</si>
  <si>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</si>
  <si>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</si>
  <si>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</si>
  <si>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</si>
  <si>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</si>
  <si>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</si>
  <si>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</si>
  <si>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</si>
  <si>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</si>
  <si>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</si>
  <si>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</si>
  <si>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</si>
  <si>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</si>
  <si>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</si>
  <si>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</si>
  <si>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</si>
  <si>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</si>
  <si>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</si>
  <si>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</si>
  <si>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</si>
  <si>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</si>
  <si>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</si>
  <si>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</si>
  <si>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</si>
  <si>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</si>
  <si>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</si>
  <si>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</si>
  <si>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</si>
  <si>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</si>
  <si>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</si>
  <si>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</si>
  <si>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</si>
  <si>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</si>
  <si>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</si>
  <si>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</si>
  <si>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</si>
  <si>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</si>
  <si>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</si>
  <si>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</si>
  <si>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</si>
  <si>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</si>
  <si>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</si>
  <si>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</si>
  <si>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</si>
  <si>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</si>
  <si>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</si>
  <si>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</si>
  <si>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</si>
  <si>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</si>
  <si>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</si>
  <si>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</si>
  <si>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</si>
  <si>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</si>
  <si>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</si>
  <si>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</si>
  <si>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</si>
  <si>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</si>
  <si>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</si>
  <si>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</si>
  <si>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</si>
  <si>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</si>
  <si>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</si>
  <si>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</si>
  <si>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</si>
  <si>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</si>
  <si>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</si>
  <si>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</si>
  <si>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</si>
  <si>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</si>
  <si>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</si>
  <si>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</si>
  <si>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</si>
  <si>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</si>
  <si>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</si>
  <si>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</si>
  <si>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</si>
  <si>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</si>
  <si>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</si>
  <si>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</si>
  <si>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</si>
  <si>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</si>
  <si>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</si>
  <si>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</si>
  <si>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</si>
  <si>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</si>
  <si>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</si>
  <si>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</si>
  <si>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</si>
  <si>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</si>
  <si>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</si>
  <si>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</si>
  <si>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</si>
  <si>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</si>
  <si>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</si>
  <si>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</si>
  <si>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</si>
  <si>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</si>
  <si>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</si>
  <si>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</si>
  <si>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</si>
  <si>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</si>
  <si>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</si>
  <si>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</si>
  <si>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</si>
  <si>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</si>
  <si>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</si>
  <si>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</si>
  <si>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</si>
  <si>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</si>
  <si>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</si>
  <si>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</si>
  <si>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</si>
  <si>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</si>
  <si>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</si>
  <si>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</si>
  <si>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</si>
  <si>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</si>
  <si>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</si>
  <si>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</si>
  <si>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</si>
  <si>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</si>
  <si>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</si>
  <si>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</si>
  <si>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</si>
  <si>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</si>
  <si>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</si>
  <si>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</si>
  <si>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</si>
  <si>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</si>
  <si>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</si>
  <si>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</si>
  <si>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</si>
  <si>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</si>
  <si>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</si>
  <si>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</si>
  <si>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</si>
  <si>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</si>
  <si>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</si>
  <si>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</si>
  <si>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</si>
  <si>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</si>
  <si>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</si>
  <si>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</si>
  <si>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</si>
  <si>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</si>
  <si>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</si>
  <si>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</si>
  <si>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</si>
  <si>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</si>
  <si>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</si>
  <si>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</si>
  <si>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</si>
  <si>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</si>
  <si>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</si>
  <si>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</si>
  <si>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</si>
  <si>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</si>
  <si>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</si>
  <si>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</si>
  <si>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</si>
  <si>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</si>
  <si>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</si>
  <si>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</si>
  <si>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</si>
  <si>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</si>
  <si>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</si>
  <si>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</si>
  <si>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</si>
  <si>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</si>
  <si>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</si>
  <si>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</si>
  <si>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</si>
  <si>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</si>
  <si>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</si>
  <si>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</si>
  <si>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</si>
  <si>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</si>
  <si>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</si>
  <si>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</si>
  <si>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</si>
  <si>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</si>
  <si>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</si>
  <si>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</si>
  <si>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</si>
  <si>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</si>
  <si>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</si>
  <si>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</si>
  <si>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</si>
  <si>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</si>
  <si>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</si>
  <si>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</si>
  <si>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</si>
  <si>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</si>
  <si>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</si>
  <si>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</si>
  <si>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</si>
  <si>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</si>
  <si>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</si>
  <si>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</si>
  <si>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</si>
  <si>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</si>
  <si>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</si>
  <si>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</si>
  <si>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</si>
  <si>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</si>
  <si>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</si>
  <si>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</si>
  <si>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</si>
  <si>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</si>
  <si>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</si>
  <si>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</si>
  <si>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</si>
  <si>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</si>
  <si>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</si>
  <si>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</si>
  <si>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</si>
  <si>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</si>
  <si>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</si>
  <si>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</si>
  <si>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</si>
  <si>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</si>
  <si>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</si>
  <si>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</si>
  <si>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</si>
  <si>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</si>
  <si>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</si>
  <si>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</si>
  <si>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</si>
  <si>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</si>
  <si>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</si>
  <si>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</si>
  <si>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</si>
  <si>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</si>
  <si>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</si>
  <si>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</si>
  <si>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</si>
  <si>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</si>
  <si>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</si>
  <si>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</si>
  <si>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</si>
  <si>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</si>
  <si>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</si>
  <si>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</si>
  <si>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</si>
  <si>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</si>
  <si>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</si>
  <si>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</si>
  <si>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</si>
  <si>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</si>
  <si>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</si>
  <si>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</si>
  <si>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</si>
  <si>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</si>
  <si>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</si>
  <si>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</si>
  <si>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</si>
  <si>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</si>
  <si>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</si>
  <si>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</si>
  <si>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</si>
  <si>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</si>
  <si>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</si>
  <si>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</si>
  <si>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</si>
  <si>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</si>
  <si>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</si>
  <si>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</si>
  <si>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</si>
  <si>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</si>
  <si>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</si>
  <si>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</si>
  <si>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</si>
  <si>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</si>
  <si>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</si>
  <si>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</si>
  <si>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</si>
  <si>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</si>
  <si>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</si>
  <si>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</si>
  <si>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</si>
  <si>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</si>
  <si>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</si>
  <si>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</si>
  <si>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</si>
  <si>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</si>
  <si>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</si>
  <si>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</si>
  <si>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</si>
  <si>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</si>
  <si>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</si>
  <si>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</si>
  <si>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</si>
  <si>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</si>
  <si>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</si>
  <si>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</si>
  <si>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</si>
  <si>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</si>
  <si>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</si>
  <si>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</si>
  <si>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</si>
  <si>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</si>
  <si>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</si>
  <si>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Grand Center Cemetery</t>
  </si>
  <si>
    <t>Osborne County</t>
  </si>
  <si>
    <t>Russell County</t>
  </si>
  <si>
    <t>Operation</t>
  </si>
  <si>
    <t>Mowing</t>
  </si>
  <si>
    <t>Stone Maintenance</t>
  </si>
  <si>
    <t>August 12, 2013</t>
  </si>
  <si>
    <t>2:00 p.m.</t>
  </si>
  <si>
    <t>Osborne County Courthouse</t>
  </si>
  <si>
    <t>Vanan Mullender</t>
  </si>
  <si>
    <t xml:space="preserve">Osborne County Clerk's Office </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</si>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</sst>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77"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6"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6" fillId="42" borderId="29" xfId="0" applyFont="1" applyFill="1" applyBorder="1" applyAlignment="1">
      <alignment horizontal="center" vertic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34" fillId="0" borderId="0" xfId="0" applyFont="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796875" defaultRowHeight="15"/>
  <cols>
    <col min="1" max="1" width="81.69921875" style="1" customWidth="1"/>
    <col min="2" max="16384" width="8.8984375" style="1" customWidth="1"/>
  </cols>
  <sheetData>
    <row r="1" spans="1:2" ht="15.75">
      <c r="A1" s="5" t="s">
        <v>177</v>
      </c>
      <c r="B1" s="6"/>
    </row>
    <row r="2" spans="1:2" ht="15.75">
      <c r="A2" s="5"/>
      <c r="B2" s="6"/>
    </row>
    <row r="3" ht="35.25" customHeight="1">
      <c r="A3" s="3" t="s">
        <v>805</v>
      </c>
    </row>
    <row r="4" ht="15.75">
      <c r="A4" s="7"/>
    </row>
    <row r="5" ht="15.75">
      <c r="A5" s="7" t="s">
        <v>564</v>
      </c>
    </row>
    <row r="6" ht="15.75">
      <c r="A6" s="7"/>
    </row>
    <row r="7" ht="55.5" customHeight="1">
      <c r="A7" s="95" t="s">
        <v>279</v>
      </c>
    </row>
    <row r="8" ht="15.75">
      <c r="A8" s="7"/>
    </row>
    <row r="9" spans="1:2" ht="15.75">
      <c r="A9" s="8" t="s">
        <v>239</v>
      </c>
      <c r="B9" s="6"/>
    </row>
    <row r="10" ht="14.25" customHeight="1">
      <c r="A10" s="4"/>
    </row>
    <row r="11" ht="20.25" customHeight="1">
      <c r="A11" s="7" t="s">
        <v>240</v>
      </c>
    </row>
    <row r="12" ht="14.25" customHeight="1">
      <c r="A12" s="4"/>
    </row>
    <row r="13" s="3" customFormat="1" ht="40.5" customHeight="1">
      <c r="A13" s="2" t="s">
        <v>280</v>
      </c>
    </row>
    <row r="16" ht="15.75">
      <c r="A16" s="8" t="s">
        <v>0</v>
      </c>
    </row>
    <row r="17" ht="15.7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75">
      <c r="A24" s="4"/>
    </row>
    <row r="25" ht="15.7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75">
      <c r="A84" s="146"/>
    </row>
    <row r="85" ht="31.5">
      <c r="A85" s="377" t="s">
        <v>557</v>
      </c>
    </row>
    <row r="86" ht="15.75">
      <c r="A86" s="146"/>
    </row>
    <row r="87" ht="15.75">
      <c r="A87" s="377" t="s">
        <v>558</v>
      </c>
    </row>
    <row r="88" ht="15.7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Grand Center Cemetery</v>
      </c>
      <c r="C1" s="98"/>
      <c r="D1" s="98"/>
      <c r="E1" s="98"/>
      <c r="F1" s="98"/>
      <c r="G1" s="98"/>
      <c r="H1" s="98"/>
      <c r="I1" s="98"/>
      <c r="J1" s="98"/>
      <c r="K1" s="98"/>
      <c r="L1" s="276">
        <f>inputPrYr!D11</f>
        <v>2014</v>
      </c>
    </row>
    <row r="2" spans="1:12" ht="15.75">
      <c r="A2" s="277"/>
      <c r="B2" s="98" t="str">
        <f>inputPrYr!$D$4</f>
        <v>Osborne County</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28" t="s">
        <v>78</v>
      </c>
      <c r="C4" s="729"/>
      <c r="D4" s="729"/>
      <c r="E4" s="729"/>
      <c r="F4" s="729"/>
      <c r="G4" s="729"/>
      <c r="H4" s="729"/>
      <c r="I4" s="729"/>
      <c r="J4" s="729"/>
      <c r="K4" s="729"/>
      <c r="L4" s="729"/>
    </row>
    <row r="5" spans="1:12" s="278" customFormat="1" ht="15.75">
      <c r="A5" s="277"/>
      <c r="B5" s="279"/>
      <c r="C5" s="279"/>
      <c r="D5" s="279"/>
      <c r="E5" s="279"/>
      <c r="F5" s="279"/>
      <c r="G5" s="279"/>
      <c r="H5" s="279"/>
      <c r="I5" s="279"/>
      <c r="J5" s="279"/>
      <c r="K5" s="279"/>
      <c r="L5" s="279"/>
    </row>
    <row r="6" spans="1:12" s="278" customFormat="1" ht="15.75">
      <c r="A6" s="277"/>
      <c r="B6" s="208" t="s">
        <v>755</v>
      </c>
      <c r="C6" s="208" t="s">
        <v>53</v>
      </c>
      <c r="D6" s="208" t="s">
        <v>61</v>
      </c>
      <c r="E6" s="208"/>
      <c r="F6" s="208" t="s">
        <v>25</v>
      </c>
      <c r="G6" s="280"/>
      <c r="H6" s="281"/>
      <c r="I6" s="280" t="s">
        <v>54</v>
      </c>
      <c r="J6" s="281"/>
      <c r="K6" s="280" t="s">
        <v>54</v>
      </c>
      <c r="L6" s="281"/>
    </row>
    <row r="7" spans="1:12" s="278" customFormat="1" ht="15.75">
      <c r="A7" s="277"/>
      <c r="B7" s="154" t="s">
        <v>757</v>
      </c>
      <c r="C7" s="154" t="s">
        <v>55</v>
      </c>
      <c r="D7" s="154" t="s">
        <v>56</v>
      </c>
      <c r="E7" s="154" t="s">
        <v>25</v>
      </c>
      <c r="F7" s="154" t="s">
        <v>125</v>
      </c>
      <c r="G7" s="282" t="s">
        <v>57</v>
      </c>
      <c r="H7" s="283"/>
      <c r="I7" s="282">
        <f>L1-1</f>
        <v>2013</v>
      </c>
      <c r="J7" s="283"/>
      <c r="K7" s="282">
        <f>L1</f>
        <v>2014</v>
      </c>
      <c r="L7" s="283"/>
    </row>
    <row r="8" spans="1:12" s="278" customFormat="1" ht="15.75">
      <c r="A8" s="277"/>
      <c r="B8" s="157" t="s">
        <v>756</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75">
      <c r="A9" s="277"/>
      <c r="B9" s="118" t="s">
        <v>157</v>
      </c>
      <c r="C9" s="285"/>
      <c r="D9" s="118"/>
      <c r="E9" s="118"/>
      <c r="F9" s="118"/>
      <c r="G9" s="286"/>
      <c r="H9" s="286"/>
      <c r="I9" s="118"/>
      <c r="J9" s="118"/>
      <c r="K9" s="118"/>
      <c r="L9" s="118"/>
    </row>
    <row r="10" spans="1:12" s="278" customFormat="1" ht="15.75">
      <c r="A10" s="277"/>
      <c r="B10" s="287"/>
      <c r="C10" s="433"/>
      <c r="D10" s="287"/>
      <c r="E10" s="287"/>
      <c r="F10" s="142"/>
      <c r="G10" s="288"/>
      <c r="H10" s="288"/>
      <c r="I10" s="287"/>
      <c r="J10" s="287"/>
      <c r="K10" s="287"/>
      <c r="L10" s="287"/>
    </row>
    <row r="11" spans="1:12" s="278" customFormat="1" ht="15.75">
      <c r="A11" s="277"/>
      <c r="B11" s="123"/>
      <c r="C11" s="434"/>
      <c r="D11" s="289"/>
      <c r="E11" s="120"/>
      <c r="F11" s="120"/>
      <c r="G11" s="290"/>
      <c r="H11" s="290"/>
      <c r="I11" s="291"/>
      <c r="J11" s="291"/>
      <c r="K11" s="291"/>
      <c r="L11" s="291"/>
    </row>
    <row r="12" spans="1:12" s="278" customFormat="1" ht="15.7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159</v>
      </c>
      <c r="C13" s="296"/>
      <c r="D13" s="297"/>
      <c r="E13" s="298"/>
      <c r="F13" s="159"/>
      <c r="G13" s="294"/>
      <c r="H13" s="294"/>
      <c r="I13" s="159"/>
      <c r="J13" s="159"/>
      <c r="K13" s="159"/>
      <c r="L13" s="159"/>
    </row>
    <row r="14" spans="1:12" s="278" customFormat="1" ht="15.75">
      <c r="A14" s="277"/>
      <c r="B14" s="123"/>
      <c r="C14" s="434"/>
      <c r="D14" s="289"/>
      <c r="E14" s="120"/>
      <c r="F14" s="291"/>
      <c r="G14" s="290"/>
      <c r="H14" s="290"/>
      <c r="I14" s="291"/>
      <c r="J14" s="291"/>
      <c r="K14" s="291"/>
      <c r="L14" s="291"/>
    </row>
    <row r="15" spans="1:12" s="278" customFormat="1" ht="15.75">
      <c r="A15" s="277"/>
      <c r="B15" s="123"/>
      <c r="C15" s="434"/>
      <c r="D15" s="289"/>
      <c r="E15" s="120"/>
      <c r="F15" s="291"/>
      <c r="G15" s="290"/>
      <c r="H15" s="290"/>
      <c r="I15" s="291"/>
      <c r="J15" s="291"/>
      <c r="K15" s="291"/>
      <c r="L15" s="291"/>
    </row>
    <row r="16" spans="1:12" s="278" customFormat="1" ht="15.7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161</v>
      </c>
      <c r="C17" s="296"/>
      <c r="D17" s="297"/>
      <c r="E17" s="298"/>
      <c r="F17" s="159"/>
      <c r="G17" s="294"/>
      <c r="H17" s="294"/>
      <c r="I17" s="159"/>
      <c r="J17" s="159"/>
      <c r="K17" s="159"/>
      <c r="L17" s="159"/>
    </row>
    <row r="18" spans="1:12" s="278" customFormat="1" ht="15.75">
      <c r="A18" s="277"/>
      <c r="B18" s="123"/>
      <c r="C18" s="434"/>
      <c r="D18" s="289"/>
      <c r="E18" s="120"/>
      <c r="F18" s="291"/>
      <c r="G18" s="290"/>
      <c r="H18" s="290"/>
      <c r="I18" s="291"/>
      <c r="J18" s="291"/>
      <c r="K18" s="291"/>
      <c r="L18" s="291"/>
    </row>
    <row r="19" spans="1:12" s="278" customFormat="1" ht="15.75">
      <c r="A19" s="277"/>
      <c r="B19" s="123"/>
      <c r="C19" s="434"/>
      <c r="D19" s="289"/>
      <c r="E19" s="120"/>
      <c r="F19" s="291"/>
      <c r="G19" s="290"/>
      <c r="H19" s="290"/>
      <c r="I19" s="291"/>
      <c r="J19" s="291"/>
      <c r="K19" s="291"/>
      <c r="L19" s="291"/>
    </row>
    <row r="20" spans="1:12" s="278" customFormat="1" ht="15.7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28" t="s">
        <v>73</v>
      </c>
      <c r="C23" s="729"/>
      <c r="D23" s="729"/>
      <c r="E23" s="729"/>
      <c r="F23" s="729"/>
      <c r="G23" s="729"/>
      <c r="H23" s="729"/>
      <c r="I23" s="729"/>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60</v>
      </c>
      <c r="E25" s="186"/>
      <c r="F25" s="208" t="s">
        <v>8</v>
      </c>
      <c r="G25" s="186"/>
      <c r="H25" s="186"/>
      <c r="I25" s="186"/>
      <c r="J25" s="304"/>
      <c r="K25" s="305"/>
      <c r="L25" s="302"/>
    </row>
    <row r="26" spans="1:12" s="303" customFormat="1" ht="15.75">
      <c r="A26" s="277"/>
      <c r="B26" s="156"/>
      <c r="C26" s="154"/>
      <c r="D26" s="154" t="s">
        <v>55</v>
      </c>
      <c r="E26" s="154" t="s">
        <v>61</v>
      </c>
      <c r="F26" s="154" t="s">
        <v>25</v>
      </c>
      <c r="G26" s="154" t="s">
        <v>62</v>
      </c>
      <c r="H26" s="154" t="s">
        <v>63</v>
      </c>
      <c r="I26" s="154" t="s">
        <v>63</v>
      </c>
      <c r="J26" s="302"/>
      <c r="K26" s="302"/>
      <c r="L26" s="302"/>
    </row>
    <row r="27" spans="1:12" s="303" customFormat="1" ht="15.75">
      <c r="A27" s="277"/>
      <c r="B27" s="154" t="s">
        <v>758</v>
      </c>
      <c r="C27" s="154" t="s">
        <v>64</v>
      </c>
      <c r="D27" s="154" t="s">
        <v>65</v>
      </c>
      <c r="E27" s="154" t="s">
        <v>56</v>
      </c>
      <c r="F27" s="154" t="s">
        <v>66</v>
      </c>
      <c r="G27" s="154" t="s">
        <v>105</v>
      </c>
      <c r="H27" s="154" t="s">
        <v>67</v>
      </c>
      <c r="I27" s="154" t="s">
        <v>67</v>
      </c>
      <c r="J27" s="302"/>
      <c r="K27" s="302"/>
      <c r="L27" s="302"/>
    </row>
    <row r="28" spans="1:12" s="303" customFormat="1" ht="15.75">
      <c r="A28" s="277"/>
      <c r="B28" s="157" t="s">
        <v>759</v>
      </c>
      <c r="C28" s="157" t="s">
        <v>53</v>
      </c>
      <c r="D28" s="306" t="s">
        <v>68</v>
      </c>
      <c r="E28" s="157" t="s">
        <v>36</v>
      </c>
      <c r="F28" s="306" t="s">
        <v>126</v>
      </c>
      <c r="G28" s="284" t="str">
        <f>F8</f>
        <v>Jan 1,2013</v>
      </c>
      <c r="H28" s="157">
        <f>L1-1</f>
        <v>2013</v>
      </c>
      <c r="I28" s="157">
        <f>L1</f>
        <v>2014</v>
      </c>
      <c r="J28" s="302"/>
      <c r="K28" s="302"/>
      <c r="L28" s="302"/>
    </row>
    <row r="29" spans="1:12" s="303" customFormat="1" ht="15.75">
      <c r="A29" s="277"/>
      <c r="B29" s="123"/>
      <c r="C29" s="434"/>
      <c r="D29" s="307"/>
      <c r="E29" s="289"/>
      <c r="F29" s="120"/>
      <c r="G29" s="120"/>
      <c r="H29" s="120"/>
      <c r="I29" s="120"/>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5.75">
      <c r="A39" s="594"/>
      <c r="B39" s="595"/>
      <c r="C39" s="596"/>
      <c r="D39" s="299"/>
      <c r="E39" s="308"/>
      <c r="F39" s="598" t="s">
        <v>79</v>
      </c>
      <c r="G39" s="300">
        <f>SUM(G29:G38)</f>
        <v>0</v>
      </c>
      <c r="H39" s="300">
        <f>SUM(H29:H38)</f>
        <v>0</v>
      </c>
      <c r="I39" s="300">
        <f>SUM(I29:I38)</f>
        <v>0</v>
      </c>
      <c r="J39" s="279"/>
      <c r="K39" s="279"/>
      <c r="L39" s="309"/>
    </row>
    <row r="40" spans="1:12" ht="15.75">
      <c r="A40" s="277"/>
      <c r="B40" s="279" t="s">
        <v>104</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C49">
      <selection activeCell="E37" sqref="E37"/>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Grand Center Cemetery</v>
      </c>
      <c r="C1" s="177"/>
      <c r="D1" s="98"/>
      <c r="E1" s="310"/>
      <c r="F1" s="601"/>
    </row>
    <row r="2" spans="2:6" ht="15.75">
      <c r="B2" s="98" t="str">
        <f>inputPrYr!D4</f>
        <v>Osborne County</v>
      </c>
      <c r="C2" s="177"/>
      <c r="D2" s="98"/>
      <c r="E2" s="181"/>
      <c r="F2" s="601"/>
    </row>
    <row r="3" spans="2:6" ht="15.75">
      <c r="B3" s="109"/>
      <c r="C3" s="177"/>
      <c r="D3" s="98"/>
      <c r="E3" s="276">
        <f>inputPrYr!D11</f>
        <v>2014</v>
      </c>
      <c r="F3" s="602"/>
    </row>
    <row r="4" spans="2:6" ht="15.75">
      <c r="B4" s="568" t="s">
        <v>74</v>
      </c>
      <c r="C4" s="567"/>
      <c r="D4" s="213"/>
      <c r="E4" s="213"/>
      <c r="F4" s="601"/>
    </row>
    <row r="5" spans="2:6" ht="15.75">
      <c r="B5" s="97" t="s">
        <v>26</v>
      </c>
      <c r="C5" s="425" t="s">
        <v>261</v>
      </c>
      <c r="D5" s="427" t="s">
        <v>263</v>
      </c>
      <c r="E5" s="312" t="s">
        <v>264</v>
      </c>
      <c r="F5" s="601"/>
    </row>
    <row r="6" spans="2:6" ht="15.75">
      <c r="B6" s="436" t="str">
        <f>inputPrYr!B24</f>
        <v>General</v>
      </c>
      <c r="C6" s="426" t="str">
        <f>CONCATENATE("Actual for ",E3-2,"")</f>
        <v>Actual for 2012</v>
      </c>
      <c r="D6" s="426" t="str">
        <f>CONCATENATE("Estimate for ",E3-1,"")</f>
        <v>Estimate for 2013</v>
      </c>
      <c r="E6" s="264" t="str">
        <f>CONCATENATE("Year for ",E3,"")</f>
        <v>Year for 2014</v>
      </c>
      <c r="F6" s="601"/>
    </row>
    <row r="7" spans="2:6" ht="15.75">
      <c r="B7" s="219" t="s">
        <v>118</v>
      </c>
      <c r="C7" s="420">
        <v>5481</v>
      </c>
      <c r="D7" s="424">
        <f>C62</f>
        <v>8337</v>
      </c>
      <c r="E7" s="160">
        <f>D62</f>
        <v>2875</v>
      </c>
      <c r="F7" s="601"/>
    </row>
    <row r="8" spans="2:6" ht="15.75">
      <c r="B8" s="236" t="s">
        <v>120</v>
      </c>
      <c r="C8" s="313"/>
      <c r="D8" s="313"/>
      <c r="E8" s="159"/>
      <c r="F8" s="601"/>
    </row>
    <row r="9" spans="2:6" ht="15.75">
      <c r="B9" s="219" t="s">
        <v>27</v>
      </c>
      <c r="C9" s="420">
        <v>3932</v>
      </c>
      <c r="D9" s="424">
        <f>IF(inputPrYr!H23&gt;0,inputPrYr!G24,inputPrYr!E24)</f>
        <v>4171</v>
      </c>
      <c r="E9" s="230" t="s">
        <v>21</v>
      </c>
      <c r="F9" s="601"/>
    </row>
    <row r="10" spans="2:6" ht="15.75">
      <c r="B10" s="219" t="s">
        <v>28</v>
      </c>
      <c r="C10" s="420">
        <v>49</v>
      </c>
      <c r="D10" s="420"/>
      <c r="E10" s="291"/>
      <c r="F10" s="601"/>
    </row>
    <row r="11" spans="2:6" ht="15.75">
      <c r="B11" s="219" t="s">
        <v>29</v>
      </c>
      <c r="C11" s="420">
        <v>309</v>
      </c>
      <c r="D11" s="420">
        <v>285</v>
      </c>
      <c r="E11" s="160">
        <f>mvalloc!D11</f>
        <v>318</v>
      </c>
      <c r="F11" s="601"/>
    </row>
    <row r="12" spans="2:6" ht="15.75">
      <c r="B12" s="219" t="s">
        <v>30</v>
      </c>
      <c r="C12" s="420">
        <v>2</v>
      </c>
      <c r="D12" s="420">
        <v>0</v>
      </c>
      <c r="E12" s="160">
        <f>mvalloc!E11</f>
        <v>2</v>
      </c>
      <c r="F12" s="601"/>
    </row>
    <row r="13" spans="2:6" ht="15.75">
      <c r="B13" s="313" t="s">
        <v>102</v>
      </c>
      <c r="C13" s="420">
        <v>7</v>
      </c>
      <c r="D13" s="420">
        <v>22</v>
      </c>
      <c r="E13" s="160">
        <f>mvalloc!F11</f>
        <v>18</v>
      </c>
      <c r="F13" s="601"/>
    </row>
    <row r="14" spans="2:6" ht="15.75">
      <c r="B14" s="313" t="s">
        <v>171</v>
      </c>
      <c r="C14" s="420"/>
      <c r="D14" s="420"/>
      <c r="E14" s="160">
        <f>inputOth!D84</f>
        <v>0</v>
      </c>
      <c r="F14" s="601"/>
    </row>
    <row r="15" spans="2:6" ht="15.75">
      <c r="B15" s="314"/>
      <c r="C15" s="420"/>
      <c r="D15" s="420"/>
      <c r="E15" s="291"/>
      <c r="F15" s="601"/>
    </row>
    <row r="16" spans="2:6" ht="15.75">
      <c r="B16" s="438"/>
      <c r="C16" s="420"/>
      <c r="D16" s="420"/>
      <c r="E16" s="291"/>
      <c r="F16" s="601"/>
    </row>
    <row r="17" spans="2:6" ht="15.75">
      <c r="B17" s="314"/>
      <c r="C17" s="420"/>
      <c r="D17" s="420"/>
      <c r="E17" s="291"/>
      <c r="F17" s="601"/>
    </row>
    <row r="18" spans="2:6" ht="15.75">
      <c r="B18" s="314"/>
      <c r="C18" s="420"/>
      <c r="D18" s="420"/>
      <c r="E18" s="291"/>
      <c r="F18" s="601"/>
    </row>
    <row r="19" spans="2:6" ht="15.75">
      <c r="B19" s="314"/>
      <c r="C19" s="420"/>
      <c r="D19" s="420"/>
      <c r="E19" s="291"/>
      <c r="F19" s="601"/>
    </row>
    <row r="20" spans="2:6" ht="15.75">
      <c r="B20" s="314"/>
      <c r="C20" s="420"/>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c r="C28" s="420"/>
      <c r="D28" s="420"/>
      <c r="E28" s="291"/>
      <c r="F28" s="601"/>
    </row>
    <row r="29" spans="2:6" ht="15.75">
      <c r="B29" s="314" t="s">
        <v>674</v>
      </c>
      <c r="C29" s="420"/>
      <c r="D29" s="420"/>
      <c r="E29" s="291"/>
      <c r="F29" s="601"/>
    </row>
    <row r="30" spans="2:6" ht="15.75">
      <c r="B30" s="315" t="s">
        <v>31</v>
      </c>
      <c r="C30" s="420">
        <v>17</v>
      </c>
      <c r="D30" s="420"/>
      <c r="E30" s="291"/>
      <c r="F30" s="601"/>
    </row>
    <row r="31" spans="2:6" ht="15.75">
      <c r="B31" s="316" t="s">
        <v>226</v>
      </c>
      <c r="C31" s="420"/>
      <c r="D31" s="420"/>
      <c r="E31" s="120"/>
      <c r="F31" s="601"/>
    </row>
    <row r="32" spans="2:6" ht="15.75">
      <c r="B32" s="316" t="s">
        <v>579</v>
      </c>
      <c r="C32" s="422">
        <f>IF(C33*0.1&lt;C31,"Exceed 10% Rule","")</f>
      </c>
      <c r="D32" s="422">
        <f>IF(D33*0.1&lt;D31,"Exceed 10% Rule","")</f>
      </c>
      <c r="E32" s="437">
        <f>IF(E33*0.1+E68&lt;E31,"Exceed 10% Rule","")</f>
      </c>
      <c r="F32" s="601"/>
    </row>
    <row r="33" spans="2:6" ht="15.75">
      <c r="B33" s="319" t="s">
        <v>32</v>
      </c>
      <c r="C33" s="423">
        <f>SUM(C9:C31)</f>
        <v>4316</v>
      </c>
      <c r="D33" s="423">
        <f>SUM(D9:D31)</f>
        <v>4478</v>
      </c>
      <c r="E33" s="320">
        <f>SUM(E9:E31)</f>
        <v>338</v>
      </c>
      <c r="F33" s="601"/>
    </row>
    <row r="34" spans="2:6" ht="15.75">
      <c r="B34" s="319" t="s">
        <v>33</v>
      </c>
      <c r="C34" s="423">
        <f>C7+C33</f>
        <v>9797</v>
      </c>
      <c r="D34" s="423">
        <f>D7+D33</f>
        <v>12815</v>
      </c>
      <c r="E34" s="320">
        <f>E7+E33</f>
        <v>3213</v>
      </c>
      <c r="F34" s="601"/>
    </row>
    <row r="35" spans="2:6" ht="15.75">
      <c r="B35" s="219" t="s">
        <v>34</v>
      </c>
      <c r="C35" s="222"/>
      <c r="D35" s="222"/>
      <c r="E35" s="132"/>
      <c r="F35" s="601"/>
    </row>
    <row r="36" spans="2:6" ht="15.75">
      <c r="B36" s="314" t="s">
        <v>811</v>
      </c>
      <c r="C36" s="420">
        <v>260</v>
      </c>
      <c r="D36" s="420">
        <v>5000</v>
      </c>
      <c r="E36" s="120">
        <v>3400</v>
      </c>
      <c r="F36" s="601"/>
    </row>
    <row r="37" spans="2:6" ht="15.75">
      <c r="B37" s="314" t="s">
        <v>812</v>
      </c>
      <c r="C37" s="420">
        <v>1200</v>
      </c>
      <c r="D37" s="420">
        <v>4000</v>
      </c>
      <c r="E37" s="120">
        <v>4000</v>
      </c>
      <c r="F37" s="601"/>
    </row>
    <row r="38" spans="2:6" ht="15.75">
      <c r="B38" s="314" t="s">
        <v>813</v>
      </c>
      <c r="C38" s="420"/>
      <c r="D38" s="420">
        <v>940</v>
      </c>
      <c r="E38" s="120"/>
      <c r="F38" s="601"/>
    </row>
    <row r="39" spans="2:6" ht="15.75">
      <c r="B39" s="314"/>
      <c r="C39" s="420"/>
      <c r="D39" s="420"/>
      <c r="E39" s="120"/>
      <c r="F39" s="601"/>
    </row>
    <row r="40" spans="2:6" ht="15.75">
      <c r="B40" s="314"/>
      <c r="C40" s="420"/>
      <c r="D40" s="420"/>
      <c r="E40" s="120"/>
      <c r="F40" s="601"/>
    </row>
    <row r="41" spans="2:6" ht="15.75">
      <c r="B41" s="314"/>
      <c r="C41" s="420"/>
      <c r="D41" s="420"/>
      <c r="E41" s="120"/>
      <c r="F41" s="601"/>
    </row>
    <row r="42" spans="2:6" ht="15.75">
      <c r="B42" s="314"/>
      <c r="C42" s="420"/>
      <c r="D42" s="420"/>
      <c r="E42" s="120"/>
      <c r="F42" s="601"/>
    </row>
    <row r="43" spans="2:6" ht="15.75">
      <c r="B43" s="314"/>
      <c r="C43" s="420"/>
      <c r="D43" s="420"/>
      <c r="E43" s="120"/>
      <c r="F43" s="601"/>
    </row>
    <row r="44" spans="2:6" ht="15.75">
      <c r="B44" s="314"/>
      <c r="C44" s="420"/>
      <c r="D44" s="420"/>
      <c r="E44" s="120"/>
      <c r="F44" s="601"/>
    </row>
    <row r="45" spans="2:6" ht="15.75">
      <c r="B45" s="314"/>
      <c r="C45" s="420"/>
      <c r="D45" s="420"/>
      <c r="E45" s="120"/>
      <c r="F45" s="601"/>
    </row>
    <row r="46" spans="2:6" ht="15.75">
      <c r="B46" s="314"/>
      <c r="C46" s="420"/>
      <c r="D46" s="420"/>
      <c r="E46" s="120"/>
      <c r="F46" s="601"/>
    </row>
    <row r="47" spans="2:6" ht="15.75">
      <c r="B47" s="314"/>
      <c r="C47" s="420"/>
      <c r="D47" s="420"/>
      <c r="E47" s="120"/>
      <c r="F47" s="601"/>
    </row>
    <row r="48" spans="2:6" ht="15.75">
      <c r="B48" s="314"/>
      <c r="C48" s="420"/>
      <c r="D48" s="420"/>
      <c r="E48" s="120"/>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5.75">
      <c r="B52" s="314"/>
      <c r="C52" s="420"/>
      <c r="D52" s="420"/>
      <c r="E52" s="120"/>
      <c r="F52" s="96"/>
      <c r="G52" s="739" t="str">
        <f>CONCATENATE("Desired Carryover Into ",E3+1,"")</f>
        <v>Desired Carryover Into 2015</v>
      </c>
      <c r="H52" s="740"/>
      <c r="I52" s="740"/>
      <c r="J52" s="741"/>
      <c r="K52" s="96"/>
    </row>
    <row r="53" spans="2:11" ht="15.75">
      <c r="B53" s="314"/>
      <c r="C53" s="420"/>
      <c r="D53" s="420"/>
      <c r="E53" s="120"/>
      <c r="F53" s="96"/>
      <c r="G53" s="536"/>
      <c r="H53" s="105"/>
      <c r="I53" s="530"/>
      <c r="J53" s="537"/>
      <c r="K53" s="96"/>
    </row>
    <row r="54" spans="2:11" ht="15.75">
      <c r="B54" s="314"/>
      <c r="C54" s="420"/>
      <c r="D54" s="420"/>
      <c r="E54" s="120"/>
      <c r="F54" s="96"/>
      <c r="G54" s="538" t="s">
        <v>679</v>
      </c>
      <c r="H54" s="530"/>
      <c r="I54" s="530"/>
      <c r="J54" s="539">
        <v>0</v>
      </c>
      <c r="K54" s="96"/>
    </row>
    <row r="55" spans="2:11" ht="15.75">
      <c r="B55" s="314"/>
      <c r="C55" s="420"/>
      <c r="D55" s="420"/>
      <c r="E55" s="120"/>
      <c r="F55" s="96"/>
      <c r="G55" s="536" t="s">
        <v>680</v>
      </c>
      <c r="H55" s="105"/>
      <c r="I55" s="105"/>
      <c r="J55" s="645">
        <f>IF(J54=0,"",ROUND((J54+E68-G67)/inputOth!E12*1000,3)-G72)</f>
      </c>
      <c r="K55" s="96"/>
    </row>
    <row r="56" spans="2:11" ht="15.7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75">
      <c r="B57" s="314"/>
      <c r="C57" s="420"/>
      <c r="D57" s="420"/>
      <c r="E57" s="120"/>
      <c r="F57" s="96"/>
      <c r="G57" s="616" t="s">
        <v>760</v>
      </c>
      <c r="H57" s="617"/>
      <c r="I57" s="617"/>
      <c r="J57" s="618">
        <f>IF(J54&gt;0,J56-E65,0)</f>
        <v>0</v>
      </c>
      <c r="K57" s="96"/>
    </row>
    <row r="58" spans="2:11" ht="15.75">
      <c r="B58" s="222" t="s">
        <v>225</v>
      </c>
      <c r="C58" s="314"/>
      <c r="D58" s="314"/>
      <c r="E58" s="162">
        <f>Nhood!E7</f>
      </c>
      <c r="F58" s="96"/>
      <c r="G58" s="96"/>
      <c r="H58" s="96"/>
      <c r="I58" s="96"/>
      <c r="J58" s="96"/>
      <c r="K58" s="96"/>
    </row>
    <row r="59" spans="2:11" ht="15.75">
      <c r="B59" s="222" t="s">
        <v>226</v>
      </c>
      <c r="C59" s="420"/>
      <c r="D59" s="420"/>
      <c r="E59" s="120"/>
      <c r="F59" s="96"/>
      <c r="G59" s="739" t="str">
        <f>CONCATENATE("Projected Carryover Into ",E3+1,"")</f>
        <v>Projected Carryover Into 2015</v>
      </c>
      <c r="H59" s="740"/>
      <c r="I59" s="740"/>
      <c r="J59" s="741"/>
      <c r="K59" s="96"/>
    </row>
    <row r="60" spans="2:11" ht="15.75">
      <c r="B60" s="222" t="s">
        <v>580</v>
      </c>
      <c r="C60" s="422">
        <f>IF(C61*0.1&lt;C59,"Exceed 10% Rule","")</f>
      </c>
      <c r="D60" s="422">
        <f>IF(D61*0.1&lt;D59,"Exceed 10% Rule","")</f>
      </c>
      <c r="E60" s="437">
        <f>IF(E61*0.1&lt;E59,"Exceed 10% Rule","")</f>
      </c>
      <c r="F60" s="96"/>
      <c r="G60" s="525"/>
      <c r="H60" s="105"/>
      <c r="I60" s="105"/>
      <c r="J60" s="527"/>
      <c r="K60" s="96"/>
    </row>
    <row r="61" spans="2:11" ht="15.75">
      <c r="B61" s="319" t="s">
        <v>35</v>
      </c>
      <c r="C61" s="423">
        <f>SUM(C36:C59)</f>
        <v>1460</v>
      </c>
      <c r="D61" s="423">
        <f>SUM(D36:D59)</f>
        <v>9940</v>
      </c>
      <c r="E61" s="320">
        <f>SUM(E36:E59)</f>
        <v>7400</v>
      </c>
      <c r="F61" s="96"/>
      <c r="G61" s="528">
        <f>D62</f>
        <v>2875</v>
      </c>
      <c r="H61" s="529" t="str">
        <f>CONCATENATE("",E3-1," Ending Cash Balance (est.)")</f>
        <v>2013 Ending Cash Balance (est.)</v>
      </c>
      <c r="I61" s="621"/>
      <c r="J61" s="527"/>
      <c r="K61" s="96"/>
    </row>
    <row r="62" spans="2:11" ht="15.75">
      <c r="B62" s="219" t="s">
        <v>119</v>
      </c>
      <c r="C62" s="421">
        <f>C34-C61</f>
        <v>8337</v>
      </c>
      <c r="D62" s="421">
        <f>D34-D61</f>
        <v>2875</v>
      </c>
      <c r="E62" s="230" t="s">
        <v>21</v>
      </c>
      <c r="F62" s="96"/>
      <c r="G62" s="528">
        <f>E33</f>
        <v>338</v>
      </c>
      <c r="H62" s="530" t="str">
        <f>CONCATENATE("",E3," Non-AV Receipts (est.)")</f>
        <v>2014 Non-AV Receipts (est.)</v>
      </c>
      <c r="I62" s="621"/>
      <c r="J62" s="527"/>
      <c r="K62" s="96"/>
    </row>
    <row r="63" spans="2:11" ht="15.75">
      <c r="B63" s="181" t="str">
        <f>CONCATENATE("",E3-2,"/",E3-1," Budget Authority Amount:")</f>
        <v>2012/2013 Budget Authority Amount:</v>
      </c>
      <c r="C63" s="193">
        <f>inputOth!B102</f>
        <v>4161</v>
      </c>
      <c r="D63" s="170">
        <f>inputPrYr!D24</f>
        <v>9940</v>
      </c>
      <c r="E63" s="230" t="s">
        <v>21</v>
      </c>
      <c r="F63" s="646"/>
      <c r="G63" s="531">
        <f>IF(E67&gt;0,E66,E68)</f>
        <v>4187</v>
      </c>
      <c r="H63" s="530" t="str">
        <f>CONCATENATE("",E3," Ad Valorem Tax (est.)")</f>
        <v>2014 Ad Valorem Tax (est.)</v>
      </c>
      <c r="I63" s="530"/>
      <c r="J63" s="527"/>
      <c r="K63" s="647">
        <f>IF(G63=E68,"","Note: Does not include Delinquent Taxes")</f>
      </c>
    </row>
    <row r="64" spans="2:11" ht="15.75">
      <c r="B64" s="181"/>
      <c r="C64" s="735" t="s">
        <v>675</v>
      </c>
      <c r="D64" s="736"/>
      <c r="E64" s="120"/>
      <c r="F64" s="648">
        <f>IF(E61/0.95-E61&lt;E64,"Exceeds 5%","")</f>
      </c>
      <c r="G64" s="528">
        <f>SUM(G61:G63)</f>
        <v>7400</v>
      </c>
      <c r="H64" s="530" t="str">
        <f>CONCATENATE("Total ",E3," Resources Available")</f>
        <v>Total 2014 Resources Available</v>
      </c>
      <c r="I64" s="621"/>
      <c r="J64" s="527"/>
      <c r="K64" s="96"/>
    </row>
    <row r="65" spans="2:11" ht="15.75">
      <c r="B65" s="521" t="str">
        <f>CONCATENATE(C79,"     ",D79)</f>
        <v>     </v>
      </c>
      <c r="C65" s="737" t="s">
        <v>676</v>
      </c>
      <c r="D65" s="738"/>
      <c r="E65" s="160">
        <f>E61+E64</f>
        <v>7400</v>
      </c>
      <c r="F65" s="96"/>
      <c r="G65" s="532"/>
      <c r="H65" s="530"/>
      <c r="I65" s="530"/>
      <c r="J65" s="527"/>
      <c r="K65" s="96"/>
    </row>
    <row r="66" spans="2:11" ht="15.75">
      <c r="B66" s="521" t="str">
        <f>CONCATENATE(C80,"     ",D80)</f>
        <v>     </v>
      </c>
      <c r="C66" s="523"/>
      <c r="D66" s="524" t="s">
        <v>677</v>
      </c>
      <c r="E66" s="163">
        <f>IF(E65-E34&gt;0,E65-E34,0)</f>
        <v>4187</v>
      </c>
      <c r="F66" s="96"/>
      <c r="G66" s="531">
        <f>ROUND(C61*0.05+C61,0)</f>
        <v>1533</v>
      </c>
      <c r="H66" s="530" t="str">
        <f>CONCATENATE("Less ",E3-2," Expenditures + 5%")</f>
        <v>Less 2012 Expenditures + 5%</v>
      </c>
      <c r="I66" s="621"/>
      <c r="J66" s="527"/>
      <c r="K66" s="96"/>
    </row>
    <row r="67" spans="2:11" ht="15.75">
      <c r="B67" s="251"/>
      <c r="C67" s="522" t="s">
        <v>678</v>
      </c>
      <c r="D67" s="643">
        <f>inputOth!$E$96</f>
        <v>0</v>
      </c>
      <c r="E67" s="160">
        <f>ROUND(IF(D67&gt;0,(E66*D67),0),0)</f>
        <v>0</v>
      </c>
      <c r="F67" s="96"/>
      <c r="G67" s="649">
        <f>G64-G66</f>
        <v>5867</v>
      </c>
      <c r="H67" s="650" t="str">
        <f>CONCATENATE("Projected ",E3+1," Carryover (est.)")</f>
        <v>Projected 2015 Carryover (est.)</v>
      </c>
      <c r="I67" s="625"/>
      <c r="J67" s="534"/>
      <c r="K67" s="96"/>
    </row>
    <row r="68" spans="2:11" ht="15.75">
      <c r="B68" s="98"/>
      <c r="C68" s="733" t="str">
        <f>CONCATENATE("Amount of  ",$E$3-1," Ad Valorem Tax")</f>
        <v>Amount of  2013 Ad Valorem Tax</v>
      </c>
      <c r="D68" s="734"/>
      <c r="E68" s="163">
        <f>E66+E67</f>
        <v>4187</v>
      </c>
      <c r="F68" s="96"/>
      <c r="G68" s="96"/>
      <c r="H68" s="96"/>
      <c r="I68" s="96"/>
      <c r="J68" s="96"/>
      <c r="K68" s="96"/>
    </row>
    <row r="69" spans="2:11" ht="15.75">
      <c r="B69" s="98"/>
      <c r="C69" s="98"/>
      <c r="D69" s="98"/>
      <c r="E69" s="98"/>
      <c r="F69" s="96"/>
      <c r="G69" s="730" t="s">
        <v>761</v>
      </c>
      <c r="H69" s="731"/>
      <c r="I69" s="731"/>
      <c r="J69" s="732"/>
      <c r="K69" s="96"/>
    </row>
    <row r="70" spans="2:11" ht="15.75">
      <c r="B70" s="98"/>
      <c r="C70" s="98"/>
      <c r="D70" s="98"/>
      <c r="E70" s="98"/>
      <c r="F70" s="96"/>
      <c r="G70" s="627"/>
      <c r="H70" s="529"/>
      <c r="I70" s="605"/>
      <c r="J70" s="628"/>
      <c r="K70" s="96"/>
    </row>
    <row r="71" spans="2:11" ht="15.75">
      <c r="B71" s="98"/>
      <c r="C71" s="98"/>
      <c r="D71" s="98"/>
      <c r="E71" s="98"/>
      <c r="F71" s="96"/>
      <c r="G71" s="629">
        <f>summ!H16</f>
        <v>3.913</v>
      </c>
      <c r="H71" s="529" t="str">
        <f>CONCATENATE("",E3," Fund Mill Rate")</f>
        <v>2014 Fund Mill Rate</v>
      </c>
      <c r="I71" s="605"/>
      <c r="J71" s="628"/>
      <c r="K71" s="96"/>
    </row>
    <row r="72" spans="2:11" ht="15.75">
      <c r="B72" s="98"/>
      <c r="C72" s="98"/>
      <c r="D72" s="98"/>
      <c r="E72" s="98"/>
      <c r="F72" s="651"/>
      <c r="G72" s="630">
        <f>summ!E16</f>
        <v>4.171</v>
      </c>
      <c r="H72" s="529" t="str">
        <f>CONCATENATE("",E3-1," Fund Mill Rate")</f>
        <v>2013 Fund Mill Rate</v>
      </c>
      <c r="I72" s="605"/>
      <c r="J72" s="628"/>
      <c r="K72" s="96"/>
    </row>
    <row r="73" spans="2:11" ht="15.75">
      <c r="B73" s="98"/>
      <c r="C73" s="177"/>
      <c r="D73" s="177"/>
      <c r="E73" s="177"/>
      <c r="F73" s="644"/>
      <c r="G73" s="631">
        <f>summ!H23</f>
        <v>3.913</v>
      </c>
      <c r="H73" s="529" t="str">
        <f>CONCATENATE("Total ",E3," Mill Rate")</f>
        <v>Total 2014 Mill Rate</v>
      </c>
      <c r="I73" s="605"/>
      <c r="J73" s="628"/>
      <c r="K73" s="96"/>
    </row>
    <row r="74" spans="2:11" ht="15.75">
      <c r="B74" s="181"/>
      <c r="C74" s="115" t="s">
        <v>238</v>
      </c>
      <c r="D74" s="98"/>
      <c r="E74" s="98"/>
      <c r="F74" s="644"/>
      <c r="G74" s="630">
        <f>summ!E23</f>
        <v>4.171</v>
      </c>
      <c r="H74" s="632" t="str">
        <f>CONCATENATE("Total ",E3-1," Mill Rate")</f>
        <v>Total 2013 Mill Rate</v>
      </c>
      <c r="I74" s="633"/>
      <c r="J74" s="634"/>
      <c r="K74" s="96"/>
    </row>
    <row r="76" spans="2:9" ht="15.75">
      <c r="B76" s="184"/>
      <c r="G76" s="675" t="s">
        <v>801</v>
      </c>
      <c r="H76" s="674"/>
      <c r="I76" s="673" t="str">
        <f>cert!F30</f>
        <v>No</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Grand Center Cemetery</v>
      </c>
      <c r="C1" s="98"/>
      <c r="D1" s="98"/>
      <c r="E1" s="310">
        <f>inputPrYr!$D$11</f>
        <v>2014</v>
      </c>
      <c r="F1" s="601"/>
    </row>
    <row r="2" spans="2:6" ht="15.75">
      <c r="B2" s="98"/>
      <c r="C2" s="98"/>
      <c r="D2" s="98"/>
      <c r="E2" s="251"/>
      <c r="F2" s="601"/>
    </row>
    <row r="3" spans="2:6" ht="15.75">
      <c r="B3" s="109"/>
      <c r="C3" s="177"/>
      <c r="D3" s="177"/>
      <c r="E3" s="322"/>
      <c r="F3" s="602"/>
    </row>
    <row r="4" spans="2:6" ht="15.75">
      <c r="B4" s="569" t="s">
        <v>74</v>
      </c>
      <c r="C4" s="567"/>
      <c r="D4" s="323"/>
      <c r="E4" s="323"/>
      <c r="F4" s="601"/>
    </row>
    <row r="5" spans="2:6" ht="15.75">
      <c r="B5" s="128" t="s">
        <v>26</v>
      </c>
      <c r="C5" s="425" t="s">
        <v>261</v>
      </c>
      <c r="D5" s="427" t="s">
        <v>263</v>
      </c>
      <c r="E5" s="312" t="s">
        <v>264</v>
      </c>
      <c r="F5" s="601"/>
    </row>
    <row r="6" spans="2:6" ht="15.75">
      <c r="B6" s="439" t="s">
        <v>284</v>
      </c>
      <c r="C6" s="426" t="str">
        <f>CONCATENATE("Actual for ",E1-2,"")</f>
        <v>Actual for 2012</v>
      </c>
      <c r="D6" s="426" t="str">
        <f>CONCATENATE("Estimate for ",E1-1,"")</f>
        <v>Estimate for 2013</v>
      </c>
      <c r="E6" s="264" t="str">
        <f>CONCATENATE("Year for ",E1,"")</f>
        <v>Year for 2014</v>
      </c>
      <c r="F6" s="601"/>
    </row>
    <row r="7" spans="2:6" ht="15.75">
      <c r="B7" s="215" t="s">
        <v>118</v>
      </c>
      <c r="C7" s="428"/>
      <c r="D7" s="432">
        <f>C55</f>
        <v>0</v>
      </c>
      <c r="E7" s="324">
        <f>D55</f>
        <v>0</v>
      </c>
      <c r="F7" s="601"/>
    </row>
    <row r="8" spans="2:6" ht="15.75">
      <c r="B8" s="325" t="s">
        <v>120</v>
      </c>
      <c r="C8" s="431"/>
      <c r="D8" s="432"/>
      <c r="E8" s="324"/>
      <c r="F8" s="601"/>
    </row>
    <row r="9" spans="2:6" ht="15.75">
      <c r="B9" s="215" t="s">
        <v>27</v>
      </c>
      <c r="C9" s="428"/>
      <c r="D9" s="431">
        <f>IF(inputPrYr!H23&gt;0,inputPrYr!G25,inputPrYr!E25)</f>
        <v>0</v>
      </c>
      <c r="E9" s="326" t="s">
        <v>21</v>
      </c>
      <c r="F9" s="601"/>
    </row>
    <row r="10" spans="2:6" ht="15.75">
      <c r="B10" s="215" t="s">
        <v>28</v>
      </c>
      <c r="C10" s="428"/>
      <c r="D10" s="428"/>
      <c r="E10" s="327"/>
      <c r="F10" s="601"/>
    </row>
    <row r="11" spans="2:6" ht="15.75">
      <c r="B11" s="215" t="s">
        <v>29</v>
      </c>
      <c r="C11" s="428"/>
      <c r="D11" s="428"/>
      <c r="E11" s="328">
        <f>mvalloc!D12</f>
        <v>0</v>
      </c>
      <c r="F11" s="601"/>
    </row>
    <row r="12" spans="2:6" ht="15.75">
      <c r="B12" s="215" t="s">
        <v>30</v>
      </c>
      <c r="C12" s="428"/>
      <c r="D12" s="428"/>
      <c r="E12" s="328">
        <f>mvalloc!E12</f>
        <v>0</v>
      </c>
      <c r="F12" s="601"/>
    </row>
    <row r="13" spans="2:6" ht="15.75">
      <c r="B13" s="329" t="s">
        <v>102</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163</v>
      </c>
      <c r="C26" s="428"/>
      <c r="D26" s="428"/>
      <c r="E26" s="327"/>
      <c r="F26" s="601"/>
    </row>
    <row r="27" spans="2:6" ht="15.75">
      <c r="B27" s="332" t="s">
        <v>31</v>
      </c>
      <c r="C27" s="428"/>
      <c r="D27" s="428"/>
      <c r="E27" s="327"/>
      <c r="F27" s="601"/>
    </row>
    <row r="28" spans="2:6" ht="15.75">
      <c r="B28" s="316" t="s">
        <v>226</v>
      </c>
      <c r="C28" s="428"/>
      <c r="D28" s="428"/>
      <c r="E28" s="327"/>
      <c r="F28" s="601"/>
    </row>
    <row r="29" spans="2:6" ht="15.75">
      <c r="B29" s="316" t="s">
        <v>579</v>
      </c>
      <c r="C29" s="422">
        <f>IF(C30*0.1&lt;C28,"Exceed 10% Rule","")</f>
      </c>
      <c r="D29" s="422">
        <f>IF(D30*0.1&lt;D28,"Exceed 10% Rule","")</f>
      </c>
      <c r="E29" s="437">
        <f>IF(E30*0.1&lt;E28,"Exceed 10% Rule","")</f>
      </c>
      <c r="F29" s="601"/>
    </row>
    <row r="30" spans="2:6" ht="15.75">
      <c r="B30" s="319" t="s">
        <v>32</v>
      </c>
      <c r="C30" s="429">
        <f>SUM(C9:C28)</f>
        <v>0</v>
      </c>
      <c r="D30" s="429">
        <f>SUM(D9:D28)</f>
        <v>0</v>
      </c>
      <c r="E30" s="333">
        <f>SUM(E9:E28)</f>
        <v>0</v>
      </c>
      <c r="F30" s="601"/>
    </row>
    <row r="31" spans="2:6" ht="15.75">
      <c r="B31" s="319" t="s">
        <v>33</v>
      </c>
      <c r="C31" s="429">
        <f>C7+C30</f>
        <v>0</v>
      </c>
      <c r="D31" s="429">
        <f>D7+D30</f>
        <v>0</v>
      </c>
      <c r="E31" s="334">
        <f>E7+E30</f>
        <v>0</v>
      </c>
      <c r="F31" s="601"/>
    </row>
    <row r="32" spans="2:6" ht="15.75">
      <c r="B32" s="325" t="s">
        <v>34</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5.75">
      <c r="B46" s="335"/>
      <c r="C46" s="428"/>
      <c r="D46" s="428"/>
      <c r="E46" s="327"/>
      <c r="F46" s="619"/>
      <c r="G46" s="739" t="str">
        <f>CONCATENATE("Desired Carryover Into ",E1+1,"")</f>
        <v>Desired Carryover Into 2015</v>
      </c>
      <c r="H46" s="740"/>
      <c r="I46" s="740"/>
      <c r="J46" s="741"/>
      <c r="K46" s="619"/>
    </row>
    <row r="47" spans="2:11" ht="15.75">
      <c r="B47" s="335"/>
      <c r="C47" s="428"/>
      <c r="D47" s="428"/>
      <c r="E47" s="327"/>
      <c r="F47" s="619"/>
      <c r="G47" s="536"/>
      <c r="H47" s="526"/>
      <c r="I47" s="530"/>
      <c r="J47" s="537"/>
      <c r="K47" s="619"/>
    </row>
    <row r="48" spans="2:11" ht="15.75">
      <c r="B48" s="335"/>
      <c r="C48" s="428"/>
      <c r="D48" s="428"/>
      <c r="E48" s="327"/>
      <c r="F48" s="619"/>
      <c r="G48" s="538" t="s">
        <v>679</v>
      </c>
      <c r="H48" s="530"/>
      <c r="I48" s="530"/>
      <c r="J48" s="539">
        <v>0</v>
      </c>
      <c r="K48" s="619"/>
    </row>
    <row r="49" spans="2:11" ht="15.75">
      <c r="B49" s="335"/>
      <c r="C49" s="428"/>
      <c r="D49" s="428"/>
      <c r="E49" s="327"/>
      <c r="F49" s="619"/>
      <c r="G49" s="536" t="s">
        <v>680</v>
      </c>
      <c r="H49" s="526"/>
      <c r="I49" s="526"/>
      <c r="J49" s="613">
        <f>IF(J48=0,"",ROUND((J48+E62-G61)/inputOth!E12*1000,3)-G66)</f>
      </c>
      <c r="K49" s="619"/>
    </row>
    <row r="50" spans="2:11" ht="15.7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75">
      <c r="B51" s="222" t="s">
        <v>225</v>
      </c>
      <c r="C51" s="428"/>
      <c r="D51" s="428"/>
      <c r="E51" s="271">
        <f>Nhood!E8</f>
      </c>
      <c r="F51" s="619"/>
      <c r="G51" s="616" t="s">
        <v>760</v>
      </c>
      <c r="H51" s="617"/>
      <c r="I51" s="617"/>
      <c r="J51" s="618">
        <f>IF(J48&gt;0,J50-E59,0)</f>
        <v>0</v>
      </c>
      <c r="K51" s="619"/>
    </row>
    <row r="52" spans="2:11" ht="15.75">
      <c r="B52" s="222" t="s">
        <v>226</v>
      </c>
      <c r="C52" s="428"/>
      <c r="D52" s="428"/>
      <c r="E52" s="327"/>
      <c r="F52" s="619"/>
      <c r="G52" s="619"/>
      <c r="H52" s="619"/>
      <c r="I52" s="619"/>
      <c r="J52" s="619"/>
      <c r="K52" s="619"/>
    </row>
    <row r="53" spans="2:11" ht="15.75">
      <c r="B53" s="222" t="s">
        <v>580</v>
      </c>
      <c r="C53" s="422">
        <f>IF(C54*0.1&lt;C52,"Exceed 10% Rule","")</f>
      </c>
      <c r="D53" s="422">
        <f>IF(D54*0.1&lt;D52,"Exceed 10% Rule","")</f>
      </c>
      <c r="E53" s="437">
        <f>IF(E54*0.1&lt;E52,"Exceed 10% Rule","")</f>
      </c>
      <c r="F53" s="619"/>
      <c r="G53" s="739" t="str">
        <f>CONCATENATE("Projected Carryover Into ",E1+1,"")</f>
        <v>Projected Carryover Into 2015</v>
      </c>
      <c r="H53" s="742"/>
      <c r="I53" s="742"/>
      <c r="J53" s="743"/>
      <c r="K53" s="619"/>
    </row>
    <row r="54" spans="2:11" ht="15.75">
      <c r="B54" s="319" t="s">
        <v>35</v>
      </c>
      <c r="C54" s="429">
        <f>SUM(C33:C52)</f>
        <v>0</v>
      </c>
      <c r="D54" s="429">
        <f>SUM(D33:D52)</f>
        <v>0</v>
      </c>
      <c r="E54" s="333">
        <f>SUM(E33:E52)</f>
        <v>0</v>
      </c>
      <c r="F54" s="619"/>
      <c r="G54" s="536"/>
      <c r="H54" s="530"/>
      <c r="I54" s="530"/>
      <c r="J54" s="639"/>
      <c r="K54" s="619"/>
    </row>
    <row r="55" spans="2:11" ht="15.7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7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75">
      <c r="B57" s="181"/>
      <c r="C57" s="735" t="s">
        <v>675</v>
      </c>
      <c r="D57" s="736"/>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75">
      <c r="B58" s="521" t="str">
        <f>CONCATENATE(C69,"     ",D69)</f>
        <v>     </v>
      </c>
      <c r="C58" s="737" t="s">
        <v>676</v>
      </c>
      <c r="D58" s="738"/>
      <c r="E58" s="160">
        <f>E54+E57</f>
        <v>0</v>
      </c>
      <c r="G58" s="528">
        <f>SUM(G55:G57)</f>
        <v>0</v>
      </c>
      <c r="H58" s="530" t="str">
        <f>CONCATENATE("Total ",E1," Resources Available")</f>
        <v>Total 2014 Resources Available</v>
      </c>
      <c r="I58" s="621"/>
      <c r="J58" s="639"/>
      <c r="K58" s="619"/>
    </row>
    <row r="59" spans="2:11" ht="15.75">
      <c r="B59" s="521" t="str">
        <f>CONCATENATE(C70,"     ",D70)</f>
        <v>     </v>
      </c>
      <c r="C59" s="523"/>
      <c r="D59" s="524" t="s">
        <v>677</v>
      </c>
      <c r="E59" s="163">
        <f>IF(E58-E31&gt;0,E58-E31,0)</f>
        <v>0</v>
      </c>
      <c r="F59"/>
      <c r="G59" s="532"/>
      <c r="H59" s="530"/>
      <c r="I59" s="530"/>
      <c r="J59" s="639"/>
      <c r="K59" s="619"/>
    </row>
    <row r="60" spans="2:11" ht="15.75">
      <c r="B60" s="251"/>
      <c r="C60" s="522" t="s">
        <v>678</v>
      </c>
      <c r="D60" s="643">
        <f>inputOth!$E$96</f>
        <v>0</v>
      </c>
      <c r="E60" s="160">
        <f>ROUND(IF(D60&gt;0,(E59*D60),0),0)</f>
        <v>0</v>
      </c>
      <c r="F60"/>
      <c r="G60" s="531">
        <f>C54</f>
        <v>0</v>
      </c>
      <c r="H60" s="530" t="str">
        <f>CONCATENATE("Less ",E1-2," Expenditures")</f>
        <v>Less 2012 Expenditures</v>
      </c>
      <c r="I60" s="530"/>
      <c r="J60" s="639"/>
      <c r="K60" s="619"/>
    </row>
    <row r="61" spans="2:11" ht="15.75">
      <c r="B61" s="98"/>
      <c r="C61" s="733" t="str">
        <f>CONCATENATE("Amount of  ",$E$1-1," Ad Valorem Tax")</f>
        <v>Amount of  2013 Ad Valorem Tax</v>
      </c>
      <c r="D61" s="734"/>
      <c r="E61" s="163">
        <f>E59+E60</f>
        <v>0</v>
      </c>
      <c r="F61"/>
      <c r="G61" s="544">
        <f>G58-G60</f>
        <v>0</v>
      </c>
      <c r="H61" s="533" t="str">
        <f>CONCATENATE("Projected ",E1+1," carryover (est.)")</f>
        <v>Projected 2015 carryover (est.)</v>
      </c>
      <c r="I61" s="625"/>
      <c r="J61" s="640"/>
      <c r="K61" s="619"/>
    </row>
    <row r="62" spans="2:11" ht="15.75">
      <c r="B62" s="251"/>
      <c r="C62" s="98"/>
      <c r="D62" s="98"/>
      <c r="E62" s="98"/>
      <c r="F62"/>
      <c r="G62" s="619"/>
      <c r="H62" s="619"/>
      <c r="I62" s="619"/>
      <c r="J62" s="619"/>
      <c r="K62" s="619"/>
    </row>
    <row r="63" spans="2:11" ht="15.75">
      <c r="B63" s="181" t="s">
        <v>37</v>
      </c>
      <c r="C63" s="204"/>
      <c r="D63" s="98"/>
      <c r="E63" s="98"/>
      <c r="F63"/>
      <c r="G63" s="730" t="s">
        <v>761</v>
      </c>
      <c r="H63" s="731"/>
      <c r="I63" s="731"/>
      <c r="J63" s="732"/>
      <c r="K63" s="619"/>
    </row>
    <row r="64" spans="6:11" ht="15.75">
      <c r="F64"/>
      <c r="G64" s="627"/>
      <c r="H64" s="529"/>
      <c r="I64" s="605"/>
      <c r="J64" s="628"/>
      <c r="K64" s="619"/>
    </row>
    <row r="65" spans="6:11" ht="15.75">
      <c r="F65"/>
      <c r="G65" s="629" t="str">
        <f>summ!H17</f>
        <v> </v>
      </c>
      <c r="H65" s="529" t="str">
        <f>CONCATENATE("",E1," Fund Mill Rate")</f>
        <v>2014 Fund Mill Rate</v>
      </c>
      <c r="I65" s="605"/>
      <c r="J65" s="628"/>
      <c r="K65" s="619"/>
    </row>
    <row r="66" spans="6:11" ht="15.75">
      <c r="F66"/>
      <c r="G66" s="630" t="str">
        <f>summ!E17</f>
        <v>  </v>
      </c>
      <c r="H66" s="529" t="str">
        <f>CONCATENATE("",E1-1," Fund Mill Rate")</f>
        <v>2013 Fund Mill Rate</v>
      </c>
      <c r="I66" s="605"/>
      <c r="J66" s="628"/>
      <c r="K66" s="619"/>
    </row>
    <row r="67" spans="6:11" ht="15.75">
      <c r="F67"/>
      <c r="G67" s="631">
        <f>summ!H23</f>
        <v>3.913</v>
      </c>
      <c r="H67" s="529" t="str">
        <f>CONCATENATE("Total ",E1," Mill Rate")</f>
        <v>Total 2014 Mill Rate</v>
      </c>
      <c r="I67" s="605"/>
      <c r="J67" s="628"/>
      <c r="K67" s="619"/>
    </row>
    <row r="68" spans="6:11" ht="15.75">
      <c r="F68"/>
      <c r="G68" s="630">
        <f>summ!E23</f>
        <v>4.171</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8" t="s">
        <v>801</v>
      </c>
      <c r="H72" s="677"/>
      <c r="I72" s="676" t="str">
        <f>cert!F30</f>
        <v>No</v>
      </c>
    </row>
    <row r="73" ht="15.75">
      <c r="F73" s="601"/>
    </row>
    <row r="74" ht="15.7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Grand Center Cemetery</v>
      </c>
      <c r="C1" s="98"/>
      <c r="D1" s="98"/>
      <c r="E1" s="276"/>
      <c r="F1" s="601"/>
    </row>
    <row r="2" spans="2:6" ht="15.75">
      <c r="B2" s="98" t="str">
        <f>inputPrYr!D4</f>
        <v>Osborne County</v>
      </c>
      <c r="C2" s="98"/>
      <c r="D2" s="98"/>
      <c r="E2" s="181"/>
      <c r="F2" s="601"/>
    </row>
    <row r="3" spans="2:6" ht="15.75">
      <c r="B3" s="109"/>
      <c r="C3" s="177"/>
      <c r="D3" s="177"/>
      <c r="E3" s="311">
        <f>inputPrYr!D11</f>
        <v>2014</v>
      </c>
      <c r="F3" s="602"/>
    </row>
    <row r="4" spans="2:6" ht="15.75">
      <c r="B4" s="569" t="s">
        <v>74</v>
      </c>
      <c r="C4" s="567"/>
      <c r="D4" s="180"/>
      <c r="E4" s="180"/>
      <c r="F4" s="601"/>
    </row>
    <row r="5" spans="2:6" ht="15.75">
      <c r="B5" s="97" t="s">
        <v>26</v>
      </c>
      <c r="C5" s="425" t="s">
        <v>261</v>
      </c>
      <c r="D5" s="427" t="s">
        <v>263</v>
      </c>
      <c r="E5" s="312" t="s">
        <v>264</v>
      </c>
      <c r="F5" s="601"/>
    </row>
    <row r="6" spans="2:6" ht="15.75">
      <c r="B6" s="436">
        <f>inputPrYr!B27</f>
        <v>0</v>
      </c>
      <c r="C6" s="426" t="str">
        <f>CONCATENATE("Actual for ",E3-2,"")</f>
        <v>Actual for 2012</v>
      </c>
      <c r="D6" s="426" t="str">
        <f>CONCATENATE("Estimate for ",E3-1,"")</f>
        <v>Estimate for 2013</v>
      </c>
      <c r="E6" s="264" t="str">
        <f>CONCATENATE("Year for ",E3,"")</f>
        <v>Year for 2014</v>
      </c>
      <c r="F6" s="601"/>
    </row>
    <row r="7" spans="2:6" ht="15.75">
      <c r="B7" s="219" t="s">
        <v>118</v>
      </c>
      <c r="C7" s="420"/>
      <c r="D7" s="424">
        <f>C34</f>
        <v>0</v>
      </c>
      <c r="E7" s="160">
        <f>D34</f>
        <v>0</v>
      </c>
      <c r="F7" s="601"/>
    </row>
    <row r="8" spans="2:6" ht="15.75">
      <c r="B8" s="236" t="s">
        <v>120</v>
      </c>
      <c r="C8" s="313"/>
      <c r="D8" s="313"/>
      <c r="E8" s="159"/>
      <c r="F8" s="601"/>
    </row>
    <row r="9" spans="2:6" ht="15.75">
      <c r="B9" s="219" t="s">
        <v>27</v>
      </c>
      <c r="C9" s="420"/>
      <c r="D9" s="313">
        <f>IF(inputPrYr!H23&gt;0,inputPrYr!G27,inputPrYr!E27)</f>
        <v>0</v>
      </c>
      <c r="E9" s="230" t="s">
        <v>21</v>
      </c>
      <c r="F9" s="601"/>
    </row>
    <row r="10" spans="2:6" ht="15.75">
      <c r="B10" s="219" t="s">
        <v>28</v>
      </c>
      <c r="C10" s="420"/>
      <c r="D10" s="420"/>
      <c r="E10" s="291"/>
      <c r="F10" s="601"/>
    </row>
    <row r="11" spans="2:6" ht="15.75">
      <c r="B11" s="219" t="s">
        <v>29</v>
      </c>
      <c r="C11" s="420"/>
      <c r="D11" s="420"/>
      <c r="E11" s="160">
        <f>mvalloc!D13</f>
        <v>0</v>
      </c>
      <c r="F11" s="601"/>
    </row>
    <row r="12" spans="2:6" ht="15.75">
      <c r="B12" s="219" t="s">
        <v>30</v>
      </c>
      <c r="C12" s="420"/>
      <c r="D12" s="420"/>
      <c r="E12" s="160">
        <f>mvalloc!E13</f>
        <v>0</v>
      </c>
      <c r="F12" s="601"/>
    </row>
    <row r="13" spans="2:6" ht="15.75">
      <c r="B13" s="313" t="s">
        <v>102</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31</v>
      </c>
      <c r="C17" s="420"/>
      <c r="D17" s="420"/>
      <c r="E17" s="291"/>
      <c r="F17" s="601"/>
    </row>
    <row r="18" spans="2:6" ht="15.75">
      <c r="B18" s="316" t="s">
        <v>226</v>
      </c>
      <c r="C18" s="314"/>
      <c r="D18" s="314"/>
      <c r="E18" s="291"/>
      <c r="F18" s="601"/>
    </row>
    <row r="19" spans="2:6" ht="15.75">
      <c r="B19" s="316" t="s">
        <v>579</v>
      </c>
      <c r="C19" s="422">
        <f>IF(C20*0.1&lt;C18,"Exceed 10% Rule","")</f>
      </c>
      <c r="D19" s="422">
        <f>IF(D20*0.1&lt;D18,"Exceed 10% Rule","")</f>
      </c>
      <c r="E19" s="437">
        <f>IF(E20*0.1&lt;E18,"Exceed 10% Rule","")</f>
      </c>
      <c r="F19" s="601"/>
    </row>
    <row r="20" spans="2:6" ht="15.75">
      <c r="B20" s="319" t="s">
        <v>32</v>
      </c>
      <c r="C20" s="423">
        <f>SUM(C9:C18)</f>
        <v>0</v>
      </c>
      <c r="D20" s="423">
        <f>SUM(D9:D18)</f>
        <v>0</v>
      </c>
      <c r="E20" s="320">
        <f>SUM(E9:E18)</f>
        <v>0</v>
      </c>
      <c r="F20" s="601"/>
    </row>
    <row r="21" spans="2:6" ht="15.75">
      <c r="B21" s="319" t="s">
        <v>33</v>
      </c>
      <c r="C21" s="423">
        <f>C7+C20</f>
        <v>0</v>
      </c>
      <c r="D21" s="423">
        <f>D7+D20</f>
        <v>0</v>
      </c>
      <c r="E21" s="320">
        <f>E7+E20</f>
        <v>0</v>
      </c>
      <c r="F21" s="601"/>
    </row>
    <row r="22" spans="2:6" ht="15.75">
      <c r="B22" s="219" t="s">
        <v>34</v>
      </c>
      <c r="C22" s="222"/>
      <c r="D22" s="222"/>
      <c r="E22" s="132"/>
      <c r="F22" s="601"/>
    </row>
    <row r="23" spans="2:6" ht="15.75">
      <c r="B23" s="314"/>
      <c r="C23" s="420"/>
      <c r="D23" s="420"/>
      <c r="E23" s="120"/>
      <c r="F23" s="601"/>
    </row>
    <row r="24" spans="2:6" ht="15.75">
      <c r="B24" s="314"/>
      <c r="C24" s="420"/>
      <c r="D24" s="420"/>
      <c r="E24" s="120"/>
      <c r="F24" s="601"/>
    </row>
    <row r="25" spans="2:11" ht="15.75">
      <c r="B25" s="314"/>
      <c r="C25" s="420"/>
      <c r="D25" s="420"/>
      <c r="E25" s="120"/>
      <c r="F25" s="96"/>
      <c r="G25" s="739" t="str">
        <f>CONCATENATE("Desired Carryover Into ",E3+1,"")</f>
        <v>Desired Carryover Into 2015</v>
      </c>
      <c r="H25" s="740"/>
      <c r="I25" s="740"/>
      <c r="J25" s="741"/>
      <c r="K25" s="96"/>
    </row>
    <row r="26" spans="2:11" ht="15.75">
      <c r="B26" s="314"/>
      <c r="C26" s="420"/>
      <c r="D26" s="420"/>
      <c r="E26" s="120"/>
      <c r="F26" s="96"/>
      <c r="G26" s="536"/>
      <c r="H26" s="526"/>
      <c r="I26" s="530"/>
      <c r="J26" s="537"/>
      <c r="K26" s="96"/>
    </row>
    <row r="27" spans="2:11" ht="15.75">
      <c r="B27" s="314"/>
      <c r="C27" s="420"/>
      <c r="D27" s="420"/>
      <c r="E27" s="120"/>
      <c r="F27" s="96"/>
      <c r="G27" s="538" t="s">
        <v>679</v>
      </c>
      <c r="H27" s="530"/>
      <c r="I27" s="530"/>
      <c r="J27" s="539">
        <v>0</v>
      </c>
      <c r="K27" s="96"/>
    </row>
    <row r="28" spans="2:11" ht="15.75">
      <c r="B28" s="314"/>
      <c r="C28" s="420"/>
      <c r="D28" s="420"/>
      <c r="E28" s="120"/>
      <c r="F28" s="96"/>
      <c r="G28" s="536" t="s">
        <v>680</v>
      </c>
      <c r="H28" s="526"/>
      <c r="I28" s="526"/>
      <c r="J28" s="613">
        <f>IF(J27=0,"",ROUND((J27+E40-G40)/inputOth!E12*1000,3)-G45)</f>
      </c>
      <c r="K28" s="96"/>
    </row>
    <row r="29" spans="2:11" ht="15.7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75">
      <c r="B30" s="222" t="s">
        <v>225</v>
      </c>
      <c r="C30" s="420"/>
      <c r="D30" s="420"/>
      <c r="E30" s="162">
        <f>Nhood!E9</f>
      </c>
      <c r="F30" s="96"/>
      <c r="G30" s="616" t="s">
        <v>760</v>
      </c>
      <c r="H30" s="617"/>
      <c r="I30" s="617"/>
      <c r="J30" s="618">
        <f>IF(J27&gt;0,J29-E37,0)</f>
        <v>0</v>
      </c>
      <c r="K30" s="96"/>
    </row>
    <row r="31" spans="2:11" ht="15.75">
      <c r="B31" s="222" t="s">
        <v>226</v>
      </c>
      <c r="C31" s="314"/>
      <c r="D31" s="314"/>
      <c r="E31" s="291"/>
      <c r="F31" s="96"/>
      <c r="G31" s="96"/>
      <c r="H31" s="96"/>
      <c r="I31" s="96"/>
      <c r="J31" s="619"/>
      <c r="K31" s="96"/>
    </row>
    <row r="32" spans="2:11" ht="15.75">
      <c r="B32" s="222" t="s">
        <v>580</v>
      </c>
      <c r="C32" s="422">
        <f>IF(C33*0.1&lt;C31,"Exceed 10% Rule","")</f>
      </c>
      <c r="D32" s="422">
        <f>IF(D33*0.1&lt;D31,"Exceed 10% Rule","")</f>
      </c>
      <c r="E32" s="437">
        <f>IF(E33*0.1&lt;E31,"Exceed 10% Rule","")</f>
      </c>
      <c r="F32" s="96"/>
      <c r="G32" s="739" t="str">
        <f>CONCATENATE("Projected Carryover Into ",E3+1,"")</f>
        <v>Projected Carryover Into 2015</v>
      </c>
      <c r="H32" s="742"/>
      <c r="I32" s="742"/>
      <c r="J32" s="743"/>
      <c r="K32" s="96"/>
    </row>
    <row r="33" spans="2:11" ht="15.75">
      <c r="B33" s="319" t="s">
        <v>35</v>
      </c>
      <c r="C33" s="423">
        <f>SUM(C23:C31)</f>
        <v>0</v>
      </c>
      <c r="D33" s="423">
        <f>SUM(D23:D31)</f>
        <v>0</v>
      </c>
      <c r="E33" s="320">
        <f>SUM(E23:E31)</f>
        <v>0</v>
      </c>
      <c r="F33" s="96"/>
      <c r="G33" s="536"/>
      <c r="H33" s="530"/>
      <c r="I33" s="530"/>
      <c r="J33" s="620"/>
      <c r="K33" s="96"/>
    </row>
    <row r="34" spans="2:11" ht="15.7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7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75">
      <c r="B36" s="181"/>
      <c r="C36" s="735" t="s">
        <v>675</v>
      </c>
      <c r="D36" s="736"/>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75">
      <c r="B37" s="521" t="str">
        <f>CONCATENATE(C88,"     ",D88)</f>
        <v>     </v>
      </c>
      <c r="C37" s="737" t="s">
        <v>676</v>
      </c>
      <c r="D37" s="738"/>
      <c r="E37" s="160">
        <f>E33+E36</f>
        <v>0</v>
      </c>
      <c r="G37" s="528">
        <f>SUM(G34:G36)</f>
        <v>0</v>
      </c>
      <c r="H37" s="530" t="str">
        <f>CONCATENATE("Total ",E3," Resources Available")</f>
        <v>Total 2014 Resources Available</v>
      </c>
      <c r="I37" s="621"/>
      <c r="J37" s="620"/>
      <c r="K37" s="96"/>
    </row>
    <row r="38" spans="2:11" ht="15.75">
      <c r="B38" s="521" t="str">
        <f>CONCATENATE(C89,"     ",D89)</f>
        <v>     </v>
      </c>
      <c r="C38" s="523"/>
      <c r="D38" s="524" t="s">
        <v>677</v>
      </c>
      <c r="E38" s="163">
        <f>IF(E37-E21&gt;0,E37-E21,0)</f>
        <v>0</v>
      </c>
      <c r="F38" s="96"/>
      <c r="G38" s="532"/>
      <c r="H38" s="530"/>
      <c r="I38" s="530"/>
      <c r="J38" s="620"/>
      <c r="K38" s="96"/>
    </row>
    <row r="39" spans="2:11" ht="15.75">
      <c r="B39" s="251"/>
      <c r="C39" s="522" t="s">
        <v>678</v>
      </c>
      <c r="D39" s="643">
        <f>inputOth!$E$96</f>
        <v>0</v>
      </c>
      <c r="E39" s="160">
        <f>ROUND(IF(D39&gt;0,(E38*D39),0),0)</f>
        <v>0</v>
      </c>
      <c r="F39" s="96"/>
      <c r="G39" s="531">
        <f>ROUND(C33*0.05+C33,0)</f>
        <v>0</v>
      </c>
      <c r="H39" s="530" t="str">
        <f>CONCATENATE("Less ",E3-2," Expenditures + 5%")</f>
        <v>Less 2012 Expenditures + 5%</v>
      </c>
      <c r="I39" s="621"/>
      <c r="J39" s="620"/>
      <c r="K39" s="96"/>
    </row>
    <row r="40" spans="2:11" ht="15.75">
      <c r="B40" s="98"/>
      <c r="C40" s="733" t="str">
        <f>CONCATENATE("Amount of  ",$E$3-1," Ad Valorem Tax")</f>
        <v>Amount of  2013 Ad Valorem Tax</v>
      </c>
      <c r="D40" s="734"/>
      <c r="E40" s="163">
        <f>E38+E39</f>
        <v>0</v>
      </c>
      <c r="F40" s="96"/>
      <c r="G40" s="544">
        <f>G37-G39</f>
        <v>0</v>
      </c>
      <c r="H40" s="533" t="str">
        <f>CONCATENATE("Projected ",E3+1," carryover (est.)")</f>
        <v>Projected 2015 carryover (est.)</v>
      </c>
      <c r="I40" s="625"/>
      <c r="J40" s="626"/>
      <c r="K40" s="96"/>
    </row>
    <row r="41" spans="2:11" ht="15.75">
      <c r="B41" s="98"/>
      <c r="C41" s="98"/>
      <c r="D41" s="98"/>
      <c r="E41" s="98"/>
      <c r="F41" s="96"/>
      <c r="G41" s="619"/>
      <c r="H41" s="619"/>
      <c r="I41" s="619"/>
      <c r="J41" s="619"/>
      <c r="K41" s="96"/>
    </row>
    <row r="42" spans="2:11" ht="15.75">
      <c r="B42" s="97" t="s">
        <v>26</v>
      </c>
      <c r="C42" s="180"/>
      <c r="D42" s="180"/>
      <c r="E42" s="180"/>
      <c r="F42" s="96"/>
      <c r="G42" s="730" t="s">
        <v>761</v>
      </c>
      <c r="H42" s="731"/>
      <c r="I42" s="731"/>
      <c r="J42" s="732"/>
      <c r="K42" s="96"/>
    </row>
    <row r="43" spans="2:11" ht="15.75">
      <c r="B43" s="98"/>
      <c r="C43" s="425" t="s">
        <v>262</v>
      </c>
      <c r="D43" s="427" t="s">
        <v>263</v>
      </c>
      <c r="E43" s="312" t="s">
        <v>264</v>
      </c>
      <c r="F43" s="96"/>
      <c r="G43" s="627"/>
      <c r="H43" s="529"/>
      <c r="I43" s="605"/>
      <c r="J43" s="628"/>
      <c r="K43" s="96"/>
    </row>
    <row r="44" spans="2:11" ht="15.7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75">
      <c r="B45" s="219" t="s">
        <v>118</v>
      </c>
      <c r="C45" s="420"/>
      <c r="D45" s="424">
        <f>C74</f>
        <v>0</v>
      </c>
      <c r="E45" s="160">
        <f>D74</f>
        <v>0</v>
      </c>
      <c r="F45" s="96"/>
      <c r="G45" s="630" t="str">
        <f>summ!E18</f>
        <v>  </v>
      </c>
      <c r="H45" s="529" t="str">
        <f>CONCATENATE("",E3-1," Fund Mill Rate")</f>
        <v>2013 Fund Mill Rate</v>
      </c>
      <c r="I45" s="605"/>
      <c r="J45" s="628"/>
      <c r="K45" s="96"/>
    </row>
    <row r="46" spans="2:11" ht="15.75">
      <c r="B46" s="236" t="s">
        <v>120</v>
      </c>
      <c r="C46" s="313"/>
      <c r="D46" s="313"/>
      <c r="E46" s="159"/>
      <c r="F46" s="96"/>
      <c r="G46" s="631">
        <f>summ!H23</f>
        <v>3.913</v>
      </c>
      <c r="H46" s="529" t="str">
        <f>CONCATENATE("Total ",E3," Mill Rate")</f>
        <v>Total 2014 Mill Rate</v>
      </c>
      <c r="I46" s="605"/>
      <c r="J46" s="628"/>
      <c r="K46" s="96"/>
    </row>
    <row r="47" spans="2:11" ht="15.75">
      <c r="B47" s="219" t="s">
        <v>27</v>
      </c>
      <c r="C47" s="420"/>
      <c r="D47" s="313">
        <f>IF(inputPrYr!H23&gt;0,inputPrYr!G28,inputPrYr!G28)</f>
        <v>0</v>
      </c>
      <c r="E47" s="230" t="s">
        <v>21</v>
      </c>
      <c r="F47" s="96"/>
      <c r="G47" s="630">
        <f>summ!E23</f>
        <v>4.171</v>
      </c>
      <c r="H47" s="632" t="str">
        <f>CONCATENATE("Total ",E3-1," Mill Rate")</f>
        <v>Total 2013 Mill Rate</v>
      </c>
      <c r="I47" s="633"/>
      <c r="J47" s="634"/>
      <c r="K47" s="96"/>
    </row>
    <row r="48" spans="2:6" ht="15.75">
      <c r="B48" s="219" t="s">
        <v>28</v>
      </c>
      <c r="C48" s="420"/>
      <c r="D48" s="420"/>
      <c r="E48" s="291"/>
      <c r="F48" s="601"/>
    </row>
    <row r="49" spans="2:9" ht="15.75">
      <c r="B49" s="219" t="s">
        <v>29</v>
      </c>
      <c r="C49" s="420"/>
      <c r="D49" s="420"/>
      <c r="E49" s="160">
        <f>mvalloc!D14</f>
        <v>0</v>
      </c>
      <c r="F49" s="601"/>
      <c r="G49" s="681" t="s">
        <v>801</v>
      </c>
      <c r="H49" s="680"/>
      <c r="I49" s="679" t="str">
        <f>cert!F30</f>
        <v>No</v>
      </c>
    </row>
    <row r="50" spans="2:6" ht="15.75">
      <c r="B50" s="219" t="s">
        <v>30</v>
      </c>
      <c r="C50" s="420"/>
      <c r="D50" s="420"/>
      <c r="E50" s="160">
        <f>mvalloc!E14</f>
        <v>0</v>
      </c>
      <c r="F50" s="601"/>
    </row>
    <row r="51" spans="2:6" ht="15.75">
      <c r="B51" s="313" t="s">
        <v>102</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5.75">
      <c r="B57" s="315" t="s">
        <v>31</v>
      </c>
      <c r="C57" s="420"/>
      <c r="D57" s="420"/>
      <c r="E57" s="291"/>
      <c r="F57" s="601"/>
      <c r="G57" s="610"/>
      <c r="H57" s="612"/>
      <c r="I57" s="612"/>
      <c r="J57" s="611"/>
    </row>
    <row r="58" spans="2:10" ht="15.75">
      <c r="B58" s="316" t="s">
        <v>226</v>
      </c>
      <c r="C58" s="314"/>
      <c r="D58" s="314"/>
      <c r="E58" s="291"/>
      <c r="F58" s="601"/>
      <c r="G58" s="535"/>
      <c r="H58" s="535"/>
      <c r="I58" s="535"/>
      <c r="J58" s="535"/>
    </row>
    <row r="59" spans="2:10" ht="15.75">
      <c r="B59" s="316" t="s">
        <v>579</v>
      </c>
      <c r="C59" s="422">
        <f>IF(C60*0.1&lt;C58,"Exceed 10% Rule","")</f>
      </c>
      <c r="D59" s="422">
        <f>IF(D60*0.1&lt;D58,"Exceed 10% Rule","")</f>
      </c>
      <c r="E59" s="437">
        <f>IF(E60*0.1+E80&lt;E58,"Exceed 10% Rule","")</f>
      </c>
      <c r="F59" s="601"/>
      <c r="G59" s="606"/>
      <c r="H59" s="607"/>
      <c r="I59" s="608"/>
      <c r="J59" s="535"/>
    </row>
    <row r="60" spans="2:10" ht="15.75">
      <c r="B60" s="319" t="s">
        <v>32</v>
      </c>
      <c r="C60" s="423">
        <f>SUM(C47:C58)</f>
        <v>0</v>
      </c>
      <c r="D60" s="423">
        <f>SUM(D47:D58)</f>
        <v>0</v>
      </c>
      <c r="E60" s="320">
        <f>SUM(E47:E58)</f>
        <v>0</v>
      </c>
      <c r="F60" s="601"/>
      <c r="G60" s="606"/>
      <c r="H60" s="608"/>
      <c r="I60" s="608"/>
      <c r="J60" s="535"/>
    </row>
    <row r="61" spans="2:10" ht="15.75">
      <c r="B61" s="319" t="s">
        <v>33</v>
      </c>
      <c r="C61" s="423">
        <f>C45+C60</f>
        <v>0</v>
      </c>
      <c r="D61" s="423">
        <f>D45+D60</f>
        <v>0</v>
      </c>
      <c r="E61" s="320">
        <f>E45+E60</f>
        <v>0</v>
      </c>
      <c r="F61" s="601"/>
      <c r="G61" s="606"/>
      <c r="H61" s="608"/>
      <c r="I61" s="608"/>
      <c r="J61" s="535"/>
    </row>
    <row r="62" spans="2:10" ht="15.75">
      <c r="B62" s="219" t="s">
        <v>34</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5.75">
      <c r="B65" s="314"/>
      <c r="C65" s="420"/>
      <c r="D65" s="420"/>
      <c r="E65" s="291"/>
      <c r="F65" s="96"/>
      <c r="G65" s="739" t="str">
        <f>CONCATENATE("Desired Carryover Into ",E3+1,"")</f>
        <v>Desired Carryover Into 2015</v>
      </c>
      <c r="H65" s="740"/>
      <c r="I65" s="740"/>
      <c r="J65" s="741"/>
      <c r="K65" s="96"/>
    </row>
    <row r="66" spans="2:11" ht="15.75">
      <c r="B66" s="314"/>
      <c r="C66" s="420"/>
      <c r="D66" s="420"/>
      <c r="E66" s="291"/>
      <c r="F66" s="96"/>
      <c r="G66" s="536"/>
      <c r="H66" s="526"/>
      <c r="I66" s="530"/>
      <c r="J66" s="537"/>
      <c r="K66" s="96"/>
    </row>
    <row r="67" spans="2:11" ht="15.75">
      <c r="B67" s="314"/>
      <c r="C67" s="420"/>
      <c r="D67" s="420"/>
      <c r="E67" s="291"/>
      <c r="F67" s="96"/>
      <c r="G67" s="538" t="s">
        <v>679</v>
      </c>
      <c r="H67" s="530"/>
      <c r="I67" s="530"/>
      <c r="J67" s="539">
        <v>0</v>
      </c>
      <c r="K67" s="96"/>
    </row>
    <row r="68" spans="2:11" ht="15.75">
      <c r="B68" s="314"/>
      <c r="C68" s="420"/>
      <c r="D68" s="420"/>
      <c r="E68" s="291"/>
      <c r="F68" s="96"/>
      <c r="G68" s="536" t="s">
        <v>680</v>
      </c>
      <c r="H68" s="526"/>
      <c r="I68" s="526"/>
      <c r="J68" s="613">
        <f>IF(J67=0,"",ROUND((J67+E77-G80)/inputOth!E12*1000,3)-G85)</f>
      </c>
      <c r="K68" s="96"/>
    </row>
    <row r="69" spans="2:11" ht="15.7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75">
      <c r="B70" s="222" t="s">
        <v>225</v>
      </c>
      <c r="C70" s="314"/>
      <c r="D70" s="314"/>
      <c r="E70" s="162">
        <f>Nhood!E10</f>
      </c>
      <c r="F70" s="96"/>
      <c r="G70" s="616" t="s">
        <v>760</v>
      </c>
      <c r="H70" s="617"/>
      <c r="I70" s="617"/>
      <c r="J70" s="618">
        <f>IF(J67&gt;0,J69-E77,0)</f>
        <v>0</v>
      </c>
      <c r="K70" s="96"/>
    </row>
    <row r="71" spans="2:11" ht="15.75">
      <c r="B71" s="222" t="s">
        <v>226</v>
      </c>
      <c r="C71" s="314"/>
      <c r="D71" s="314"/>
      <c r="E71" s="291"/>
      <c r="F71" s="96"/>
      <c r="G71" s="96"/>
      <c r="H71" s="96"/>
      <c r="I71" s="96"/>
      <c r="J71" s="619"/>
      <c r="K71" s="96"/>
    </row>
    <row r="72" spans="2:11" ht="15.75">
      <c r="B72" s="222" t="s">
        <v>580</v>
      </c>
      <c r="C72" s="422">
        <f>IF(C73*0.1&lt;C71,"Exceed 10% Rule","")</f>
      </c>
      <c r="D72" s="422">
        <f>IF(D73*0.1&lt;D71,"Exceed 10% Rule","")</f>
      </c>
      <c r="E72" s="437">
        <f>IF(E73*0.1&lt;E71,"Exceed 10% Rule","")</f>
      </c>
      <c r="F72" s="96"/>
      <c r="G72" s="739" t="str">
        <f>CONCATENATE("Projected Carryover Into ",E3+1,"")</f>
        <v>Projected Carryover Into 2015</v>
      </c>
      <c r="H72" s="744"/>
      <c r="I72" s="744"/>
      <c r="J72" s="743"/>
      <c r="K72" s="96"/>
    </row>
    <row r="73" spans="2:11" ht="15.75">
      <c r="B73" s="319" t="s">
        <v>35</v>
      </c>
      <c r="C73" s="423">
        <f>SUM(C63:C71)</f>
        <v>0</v>
      </c>
      <c r="D73" s="423">
        <f>SUM(D63:D71)</f>
        <v>0</v>
      </c>
      <c r="E73" s="320">
        <f>SUM(E63:E71)</f>
        <v>0</v>
      </c>
      <c r="F73" s="96"/>
      <c r="G73" s="525"/>
      <c r="H73" s="526"/>
      <c r="I73" s="526"/>
      <c r="J73" s="527"/>
      <c r="K73" s="96"/>
    </row>
    <row r="74" spans="2:11" ht="15.75">
      <c r="B74" s="219" t="s">
        <v>119</v>
      </c>
      <c r="C74" s="421">
        <f>C61-C73</f>
        <v>0</v>
      </c>
      <c r="D74" s="421">
        <f>D61-D73</f>
        <v>0</v>
      </c>
      <c r="E74" s="230" t="s">
        <v>21</v>
      </c>
      <c r="G74" s="528">
        <f>D74</f>
        <v>0</v>
      </c>
      <c r="H74" s="529" t="str">
        <f>CONCATENATE("",E3-1," Ending Cash Balance (est.)")</f>
        <v>2013 Ending Cash Balance (est.)</v>
      </c>
      <c r="I74" s="621"/>
      <c r="J74" s="527"/>
      <c r="K74" s="96"/>
    </row>
    <row r="75" spans="2:11" ht="15.7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75">
      <c r="B76" s="181"/>
      <c r="C76" s="735" t="s">
        <v>675</v>
      </c>
      <c r="D76" s="736"/>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75">
      <c r="B77" s="521" t="str">
        <f>CONCATENATE(C90,"     ",D90)</f>
        <v>     </v>
      </c>
      <c r="C77" s="737" t="s">
        <v>676</v>
      </c>
      <c r="D77" s="738"/>
      <c r="E77" s="160">
        <f>E73+E76</f>
        <v>0</v>
      </c>
      <c r="G77" s="635">
        <f>SUM(G74:G76)</f>
        <v>0</v>
      </c>
      <c r="H77" s="530" t="str">
        <f>CONCATENATE("Total ",E3," Resources Available")</f>
        <v>Total 2014 Resources Available</v>
      </c>
      <c r="I77" s="527"/>
      <c r="J77" s="527"/>
      <c r="K77" s="96"/>
    </row>
    <row r="78" spans="2:11" ht="15.75">
      <c r="B78" s="521" t="str">
        <f>CONCATENATE(C91,"     ",D91)</f>
        <v>     </v>
      </c>
      <c r="C78" s="523"/>
      <c r="D78" s="524" t="s">
        <v>677</v>
      </c>
      <c r="E78" s="163">
        <f>IF(E77-E61&gt;0,E77-E61,0)</f>
        <v>0</v>
      </c>
      <c r="F78" s="96"/>
      <c r="G78" s="636"/>
      <c r="H78" s="543"/>
      <c r="I78" s="526"/>
      <c r="J78" s="527"/>
      <c r="K78" s="96"/>
    </row>
    <row r="79" spans="2:11" ht="15.75">
      <c r="B79" s="251"/>
      <c r="C79" s="522" t="s">
        <v>678</v>
      </c>
      <c r="D79" s="643">
        <f>inputOth!$E$96</f>
        <v>0</v>
      </c>
      <c r="E79" s="160">
        <f>ROUND(IF(D79&gt;0,(E78*D79),0),0)</f>
        <v>0</v>
      </c>
      <c r="F79" s="96"/>
      <c r="G79" s="637">
        <f>ROUND(C73*0.05+C73,0)</f>
        <v>0</v>
      </c>
      <c r="H79" s="543" t="str">
        <f>CONCATENATE("Less ",E3-2," Expenditures + 5%")</f>
        <v>Less 2012 Expenditures + 5%</v>
      </c>
      <c r="I79" s="527"/>
      <c r="J79" s="527"/>
      <c r="K79" s="96"/>
    </row>
    <row r="80" spans="2:11" ht="15.75">
      <c r="B80" s="98"/>
      <c r="C80" s="733" t="str">
        <f>CONCATENATE("Amount of  ",$E$3-1," Ad Valorem Tax")</f>
        <v>Amount of  2013 Ad Valorem Tax</v>
      </c>
      <c r="D80" s="734"/>
      <c r="E80" s="163">
        <f>E78+E79</f>
        <v>0</v>
      </c>
      <c r="F80" s="96"/>
      <c r="G80" s="638">
        <f>G77-G79</f>
        <v>0</v>
      </c>
      <c r="H80" s="545" t="str">
        <f>CONCATENATE("Projected ",E3+1," carryover (est.)")</f>
        <v>Projected 2015 carryover (est.)</v>
      </c>
      <c r="I80" s="534"/>
      <c r="J80" s="626"/>
      <c r="K80" s="96"/>
    </row>
    <row r="81" spans="2:11" ht="15.75">
      <c r="B81" s="98"/>
      <c r="C81" s="171"/>
      <c r="D81" s="171"/>
      <c r="E81" s="171"/>
      <c r="F81" s="96"/>
      <c r="G81" s="619"/>
      <c r="H81" s="619"/>
      <c r="I81" s="619"/>
      <c r="J81" s="96"/>
      <c r="K81" s="96"/>
    </row>
    <row r="82" spans="2:11" ht="15.75">
      <c r="B82" s="181" t="s">
        <v>37</v>
      </c>
      <c r="C82" s="204"/>
      <c r="D82" s="98"/>
      <c r="E82" s="98"/>
      <c r="F82" s="96"/>
      <c r="G82" s="730" t="s">
        <v>761</v>
      </c>
      <c r="H82" s="731"/>
      <c r="I82" s="731"/>
      <c r="J82" s="732"/>
      <c r="K82" s="96"/>
    </row>
    <row r="83" spans="6:11" ht="15.75">
      <c r="F83" s="96"/>
      <c r="G83" s="627"/>
      <c r="H83" s="529"/>
      <c r="I83" s="605"/>
      <c r="J83" s="628"/>
      <c r="K83" s="96"/>
    </row>
    <row r="84" spans="6:11" ht="15.75">
      <c r="F84" s="96"/>
      <c r="G84" s="629" t="str">
        <f>summ!H19</f>
        <v> </v>
      </c>
      <c r="H84" s="529" t="str">
        <f>CONCATENATE("",E3," Fund Mill Rate")</f>
        <v>2014 Fund Mill Rate</v>
      </c>
      <c r="I84" s="605"/>
      <c r="J84" s="628"/>
      <c r="K84" s="96"/>
    </row>
    <row r="85" spans="6:11" ht="15.75">
      <c r="F85" s="96"/>
      <c r="G85" s="630" t="str">
        <f>summ!E19</f>
        <v>  </v>
      </c>
      <c r="H85" s="529" t="str">
        <f>CONCATENATE("",E3-1," Fund Mill Rate")</f>
        <v>2013 Fund Mill Rate</v>
      </c>
      <c r="I85" s="605"/>
      <c r="J85" s="628"/>
      <c r="K85" s="96"/>
    </row>
    <row r="86" spans="6:11" ht="15.75">
      <c r="F86" s="96"/>
      <c r="G86" s="631">
        <f>summ!H23</f>
        <v>3.913</v>
      </c>
      <c r="H86" s="529" t="str">
        <f>CONCATENATE("Total ",E3," Mill Rate")</f>
        <v>Total 2014 Mill Rate</v>
      </c>
      <c r="I86" s="605"/>
      <c r="J86" s="628"/>
      <c r="K86" s="96"/>
    </row>
    <row r="87" spans="6:11" ht="15.75">
      <c r="F87" s="96"/>
      <c r="G87" s="630">
        <f>summ!E23</f>
        <v>4.171</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84" t="s">
        <v>801</v>
      </c>
      <c r="H93" s="683"/>
      <c r="I93" s="682" t="str">
        <f>cert!F30</f>
        <v>No</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Grand Center Cemetery</v>
      </c>
      <c r="C1" s="177"/>
      <c r="D1" s="98"/>
      <c r="E1" s="276"/>
    </row>
    <row r="2" spans="2:5" ht="15.75">
      <c r="B2" s="98" t="str">
        <f>inputPrYr!D4</f>
        <v>Osborne County</v>
      </c>
      <c r="C2" s="177"/>
      <c r="D2" s="98"/>
      <c r="E2" s="181"/>
    </row>
    <row r="3" spans="2:6" ht="15.75">
      <c r="B3" s="109"/>
      <c r="C3" s="177"/>
      <c r="D3" s="177"/>
      <c r="E3" s="311"/>
      <c r="F3" s="146">
        <f>inputPrYr!D11</f>
        <v>2014</v>
      </c>
    </row>
    <row r="4" spans="2:5" ht="15.75">
      <c r="B4" s="109" t="s">
        <v>75</v>
      </c>
      <c r="C4" s="180"/>
      <c r="D4" s="180"/>
      <c r="E4" s="180"/>
    </row>
    <row r="5" spans="2:5" ht="15.75">
      <c r="B5" s="97" t="s">
        <v>26</v>
      </c>
      <c r="C5" s="336" t="s">
        <v>262</v>
      </c>
      <c r="D5" s="312" t="s">
        <v>263</v>
      </c>
      <c r="E5" s="312" t="s">
        <v>265</v>
      </c>
    </row>
    <row r="6" spans="2:5" ht="15.75">
      <c r="B6" s="436">
        <f>inputPrYr!B31</f>
        <v>0</v>
      </c>
      <c r="C6" s="264" t="str">
        <f>CONCATENATE("Actual for ",F3-2,"")</f>
        <v>Actual for 2012</v>
      </c>
      <c r="D6" s="264" t="str">
        <f>CONCATENATE("Estimate for ",F3-1,"")</f>
        <v>Estimate for 2013</v>
      </c>
      <c r="E6" s="264" t="str">
        <f>CONCATENATE("Year for ",F3,"")</f>
        <v>Year for 2014</v>
      </c>
    </row>
    <row r="7" spans="2:5" ht="15.75">
      <c r="B7" s="219" t="s">
        <v>118</v>
      </c>
      <c r="C7" s="120"/>
      <c r="D7" s="160">
        <f>C32</f>
        <v>0</v>
      </c>
      <c r="E7" s="160">
        <f>D32</f>
        <v>0</v>
      </c>
    </row>
    <row r="8" spans="2:5" ht="15.75">
      <c r="B8" s="236" t="s">
        <v>120</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31</v>
      </c>
      <c r="C16" s="291"/>
      <c r="D16" s="291"/>
      <c r="E16" s="291"/>
    </row>
    <row r="17" spans="2:5" ht="15.75">
      <c r="B17" s="316" t="s">
        <v>226</v>
      </c>
      <c r="C17" s="291"/>
      <c r="D17" s="317"/>
      <c r="E17" s="317"/>
    </row>
    <row r="18" spans="2:5" ht="15.75">
      <c r="B18" s="316" t="s">
        <v>579</v>
      </c>
      <c r="C18" s="437">
        <f>IF(C19*0.1&lt;C17,"Exceed 10% Rule","")</f>
      </c>
      <c r="D18" s="318">
        <f>IF(D19*0.1&lt;D17,"Exceed 10% Rule","")</f>
      </c>
      <c r="E18" s="318">
        <f>IF(E19*0.1&lt;E17,"Exceed 10% Rule","")</f>
      </c>
    </row>
    <row r="19" spans="2:5" ht="15.75">
      <c r="B19" s="319" t="s">
        <v>32</v>
      </c>
      <c r="C19" s="320">
        <f>SUM(C9:C17)</f>
        <v>0</v>
      </c>
      <c r="D19" s="320">
        <f>SUM(D9:D17)</f>
        <v>0</v>
      </c>
      <c r="E19" s="320">
        <f>SUM(E9:E17)</f>
        <v>0</v>
      </c>
    </row>
    <row r="20" spans="2:5" ht="15.75">
      <c r="B20" s="319" t="s">
        <v>33</v>
      </c>
      <c r="C20" s="320">
        <f>C19+C7</f>
        <v>0</v>
      </c>
      <c r="D20" s="320">
        <f>D19+D7</f>
        <v>0</v>
      </c>
      <c r="E20" s="320">
        <f>E19+E7</f>
        <v>0</v>
      </c>
    </row>
    <row r="21" spans="2:5" ht="15.75">
      <c r="B21" s="219" t="s">
        <v>34</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226</v>
      </c>
      <c r="C29" s="291"/>
      <c r="D29" s="317"/>
      <c r="E29" s="317"/>
    </row>
    <row r="30" spans="2:5" ht="15.75">
      <c r="B30" s="222" t="s">
        <v>580</v>
      </c>
      <c r="C30" s="437">
        <f>IF(C31*0.1&lt;C29,"Exceed 10% Rule","")</f>
      </c>
      <c r="D30" s="318">
        <f>IF(D31*0.1&lt;D29,"Exceed 10% Rule","")</f>
      </c>
      <c r="E30" s="318">
        <f>IF(E31*0.1&lt;E29,"Exceed 10% Rule","")</f>
      </c>
    </row>
    <row r="31" spans="2:5" ht="15.75">
      <c r="B31" s="319" t="s">
        <v>35</v>
      </c>
      <c r="C31" s="320">
        <f>SUM(C22:C29)</f>
        <v>0</v>
      </c>
      <c r="D31" s="320">
        <f>SUM(D22:D29)</f>
        <v>0</v>
      </c>
      <c r="E31" s="320">
        <f>SUM(E22:E29)</f>
        <v>0</v>
      </c>
    </row>
    <row r="32" spans="2:5" ht="15.75">
      <c r="B32" s="219" t="s">
        <v>119</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26</v>
      </c>
      <c r="C39" s="336" t="s">
        <v>261</v>
      </c>
      <c r="D39" s="312" t="s">
        <v>263</v>
      </c>
      <c r="E39" s="312" t="s">
        <v>264</v>
      </c>
    </row>
    <row r="40" spans="2:5" ht="15.75">
      <c r="B40" s="436">
        <f>inputPrYr!B32</f>
        <v>0</v>
      </c>
      <c r="C40" s="264" t="str">
        <f>C6</f>
        <v>Actual for 2012</v>
      </c>
      <c r="D40" s="264" t="str">
        <f>D6</f>
        <v>Estimate for 2013</v>
      </c>
      <c r="E40" s="264" t="str">
        <f>E6</f>
        <v>Year for 2014</v>
      </c>
    </row>
    <row r="41" spans="2:5" ht="15.75">
      <c r="B41" s="219" t="s">
        <v>118</v>
      </c>
      <c r="C41" s="120"/>
      <c r="D41" s="160">
        <f>C66</f>
        <v>0</v>
      </c>
      <c r="E41" s="160">
        <f>D66</f>
        <v>0</v>
      </c>
    </row>
    <row r="42" spans="2:5" ht="15.75">
      <c r="B42" s="236" t="s">
        <v>120</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31</v>
      </c>
      <c r="C50" s="291"/>
      <c r="D50" s="291"/>
      <c r="E50" s="291"/>
    </row>
    <row r="51" spans="2:5" ht="15.75">
      <c r="B51" s="316" t="s">
        <v>226</v>
      </c>
      <c r="C51" s="291"/>
      <c r="D51" s="317"/>
      <c r="E51" s="317"/>
    </row>
    <row r="52" spans="2:5" ht="15.75">
      <c r="B52" s="316" t="s">
        <v>579</v>
      </c>
      <c r="C52" s="437">
        <f>IF(C53*0.1&lt;C51,"Exceed 10% Rule","")</f>
      </c>
      <c r="D52" s="318">
        <f>IF(D53*0.1&lt;D51,"Exceed 10% Rule","")</f>
      </c>
      <c r="E52" s="318">
        <f>IF(E53*0.1&lt;E51,"Exceed 10% Rule","")</f>
      </c>
    </row>
    <row r="53" spans="2:5" ht="15.75">
      <c r="B53" s="319" t="s">
        <v>32</v>
      </c>
      <c r="C53" s="320">
        <f>SUM(C43:C51)</f>
        <v>0</v>
      </c>
      <c r="D53" s="320">
        <f>SUM(D43:D51)</f>
        <v>0</v>
      </c>
      <c r="E53" s="320">
        <f>SUM(E43:E51)</f>
        <v>0</v>
      </c>
    </row>
    <row r="54" spans="2:5" ht="15.75">
      <c r="B54" s="319" t="s">
        <v>33</v>
      </c>
      <c r="C54" s="320">
        <f>C53+C41</f>
        <v>0</v>
      </c>
      <c r="D54" s="320">
        <f>D53+D41</f>
        <v>0</v>
      </c>
      <c r="E54" s="320">
        <f>E53+E41</f>
        <v>0</v>
      </c>
    </row>
    <row r="55" spans="2:5" ht="15.75">
      <c r="B55" s="219" t="s">
        <v>34</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226</v>
      </c>
      <c r="C63" s="291"/>
      <c r="D63" s="317"/>
      <c r="E63" s="317"/>
    </row>
    <row r="64" spans="2:5" ht="15.75">
      <c r="B64" s="222" t="s">
        <v>580</v>
      </c>
      <c r="C64" s="437">
        <f>IF(C65*0.1&lt;C63,"Exceed 10% Rule","")</f>
      </c>
      <c r="D64" s="318">
        <f>IF(D65*0.1&lt;D63,"Exceed 10% Rule","")</f>
      </c>
      <c r="E64" s="318">
        <f>IF(E65*0.1&lt;E63,"Exceed 10% Rule","")</f>
      </c>
    </row>
    <row r="65" spans="2:5" ht="15.75">
      <c r="B65" s="319" t="s">
        <v>35</v>
      </c>
      <c r="C65" s="320">
        <f>SUM(C56:C63)</f>
        <v>0</v>
      </c>
      <c r="D65" s="320">
        <f>SUM(D56:D63)</f>
        <v>0</v>
      </c>
      <c r="E65" s="320">
        <f>SUM(E56:E63)</f>
        <v>0</v>
      </c>
    </row>
    <row r="66" spans="2:5" ht="15.75">
      <c r="B66" s="219" t="s">
        <v>119</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Grand Center Cemetery</v>
      </c>
      <c r="B1" s="337"/>
      <c r="C1" s="178"/>
      <c r="D1" s="178"/>
      <c r="E1" s="178"/>
      <c r="F1" s="338" t="s">
        <v>266</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267</v>
      </c>
      <c r="B3" s="178"/>
      <c r="C3" s="178"/>
      <c r="D3" s="178"/>
      <c r="E3" s="178"/>
      <c r="F3" s="337"/>
      <c r="G3" s="178"/>
      <c r="H3" s="178"/>
      <c r="I3" s="178"/>
      <c r="J3" s="178"/>
      <c r="K3" s="178"/>
    </row>
    <row r="4" spans="1:11" ht="15.75">
      <c r="A4" s="178" t="s">
        <v>268</v>
      </c>
      <c r="B4" s="178"/>
      <c r="C4" s="178" t="s">
        <v>269</v>
      </c>
      <c r="D4" s="178"/>
      <c r="E4" s="178" t="s">
        <v>270</v>
      </c>
      <c r="F4" s="337"/>
      <c r="G4" s="178" t="s">
        <v>271</v>
      </c>
      <c r="H4" s="178"/>
      <c r="I4" s="178" t="s">
        <v>272</v>
      </c>
      <c r="J4" s="178"/>
      <c r="K4" s="178"/>
    </row>
    <row r="5" spans="1:11" ht="15.75">
      <c r="A5" s="745">
        <f>inputPrYr!B35</f>
        <v>0</v>
      </c>
      <c r="B5" s="746"/>
      <c r="C5" s="745">
        <f>inputPrYr!B36</f>
        <v>0</v>
      </c>
      <c r="D5" s="746"/>
      <c r="E5" s="745">
        <f>inputPrYr!B37</f>
        <v>0</v>
      </c>
      <c r="F5" s="746"/>
      <c r="G5" s="745">
        <f>inputPrYr!B38</f>
        <v>0</v>
      </c>
      <c r="H5" s="746"/>
      <c r="I5" s="745">
        <f>inputPrYr!B39</f>
        <v>0</v>
      </c>
      <c r="J5" s="746"/>
      <c r="K5" s="341"/>
    </row>
    <row r="6" spans="1:11" ht="15.75">
      <c r="A6" s="342" t="s">
        <v>273</v>
      </c>
      <c r="B6" s="343"/>
      <c r="C6" s="344" t="s">
        <v>273</v>
      </c>
      <c r="D6" s="345"/>
      <c r="E6" s="344" t="s">
        <v>273</v>
      </c>
      <c r="F6" s="346"/>
      <c r="G6" s="344" t="s">
        <v>273</v>
      </c>
      <c r="H6" s="340"/>
      <c r="I6" s="344" t="s">
        <v>273</v>
      </c>
      <c r="J6" s="178"/>
      <c r="K6" s="347" t="s">
        <v>8</v>
      </c>
    </row>
    <row r="7" spans="1:11" ht="15.75">
      <c r="A7" s="348" t="s">
        <v>274</v>
      </c>
      <c r="B7" s="349"/>
      <c r="C7" s="350" t="s">
        <v>274</v>
      </c>
      <c r="D7" s="349"/>
      <c r="E7" s="350" t="s">
        <v>274</v>
      </c>
      <c r="F7" s="349"/>
      <c r="G7" s="350" t="s">
        <v>274</v>
      </c>
      <c r="H7" s="349"/>
      <c r="I7" s="350" t="s">
        <v>274</v>
      </c>
      <c r="J7" s="349"/>
      <c r="K7" s="351">
        <f>SUM(B7+D7+F7+H7+J7)</f>
        <v>0</v>
      </c>
    </row>
    <row r="8" spans="1:11" ht="15.75">
      <c r="A8" s="352" t="s">
        <v>120</v>
      </c>
      <c r="B8" s="353"/>
      <c r="C8" s="352" t="s">
        <v>120</v>
      </c>
      <c r="D8" s="354"/>
      <c r="E8" s="352" t="s">
        <v>120</v>
      </c>
      <c r="F8" s="337"/>
      <c r="G8" s="352" t="s">
        <v>120</v>
      </c>
      <c r="H8" s="178"/>
      <c r="I8" s="352" t="s">
        <v>120</v>
      </c>
      <c r="J8" s="178"/>
      <c r="K8" s="337"/>
    </row>
    <row r="9" spans="1:11" ht="15.75">
      <c r="A9" s="355"/>
      <c r="B9" s="349"/>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32</v>
      </c>
      <c r="B17" s="351">
        <f>SUM(B9:B16)</f>
        <v>0</v>
      </c>
      <c r="C17" s="352" t="s">
        <v>32</v>
      </c>
      <c r="D17" s="351">
        <f>SUM(D9:D16)</f>
        <v>0</v>
      </c>
      <c r="E17" s="352" t="s">
        <v>32</v>
      </c>
      <c r="F17" s="365">
        <f>SUM(F9:F16)</f>
        <v>0</v>
      </c>
      <c r="G17" s="352" t="s">
        <v>32</v>
      </c>
      <c r="H17" s="351">
        <f>SUM(H9:H16)</f>
        <v>0</v>
      </c>
      <c r="I17" s="352" t="s">
        <v>32</v>
      </c>
      <c r="J17" s="351">
        <f>SUM(J9:J16)</f>
        <v>0</v>
      </c>
      <c r="K17" s="351">
        <f>SUM(B17+D17+F17+H17+J17)</f>
        <v>0</v>
      </c>
    </row>
    <row r="18" spans="1:11" ht="15.75">
      <c r="A18" s="352" t="s">
        <v>33</v>
      </c>
      <c r="B18" s="351">
        <f>SUM(B7+B17)</f>
        <v>0</v>
      </c>
      <c r="C18" s="352" t="s">
        <v>33</v>
      </c>
      <c r="D18" s="351">
        <f>SUM(D7+D17)</f>
        <v>0</v>
      </c>
      <c r="E18" s="352" t="s">
        <v>33</v>
      </c>
      <c r="F18" s="351">
        <f>SUM(F7+F17)</f>
        <v>0</v>
      </c>
      <c r="G18" s="352" t="s">
        <v>33</v>
      </c>
      <c r="H18" s="351">
        <f>SUM(H7+H17)</f>
        <v>0</v>
      </c>
      <c r="I18" s="352" t="s">
        <v>33</v>
      </c>
      <c r="J18" s="351">
        <f>SUM(J7+J17)</f>
        <v>0</v>
      </c>
      <c r="K18" s="351">
        <f>SUM(B18+D18+F18+H18+J18)</f>
        <v>0</v>
      </c>
    </row>
    <row r="19" spans="1:11" ht="15.75">
      <c r="A19" s="352" t="s">
        <v>34</v>
      </c>
      <c r="B19" s="353"/>
      <c r="C19" s="352" t="s">
        <v>34</v>
      </c>
      <c r="D19" s="354"/>
      <c r="E19" s="352" t="s">
        <v>34</v>
      </c>
      <c r="F19" s="337"/>
      <c r="G19" s="352" t="s">
        <v>34</v>
      </c>
      <c r="H19" s="178"/>
      <c r="I19" s="352" t="s">
        <v>34</v>
      </c>
      <c r="J19" s="178"/>
      <c r="K19" s="337"/>
    </row>
    <row r="20" spans="1:11" ht="15.75">
      <c r="A20" s="355"/>
      <c r="B20" s="349"/>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75">
      <c r="A29" s="352" t="s">
        <v>275</v>
      </c>
      <c r="B29" s="351">
        <f>SUM(B18-B28)</f>
        <v>0</v>
      </c>
      <c r="C29" s="352" t="s">
        <v>275</v>
      </c>
      <c r="D29" s="351">
        <f>SUM(D18-D28)</f>
        <v>0</v>
      </c>
      <c r="E29" s="352" t="s">
        <v>275</v>
      </c>
      <c r="F29" s="351">
        <f>SUM(F18-F28)</f>
        <v>0</v>
      </c>
      <c r="G29" s="352" t="s">
        <v>275</v>
      </c>
      <c r="H29" s="351">
        <f>SUM(H18-H28)</f>
        <v>0</v>
      </c>
      <c r="I29" s="352" t="s">
        <v>275</v>
      </c>
      <c r="J29" s="351">
        <f>SUM(J18-J28)</f>
        <v>0</v>
      </c>
      <c r="K29" s="366">
        <f>SUM(B29+D29+F29+H29+J29)</f>
        <v>0</v>
      </c>
      <c r="L29" s="146" t="s">
        <v>276</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276</v>
      </c>
    </row>
    <row r="31" spans="1:11" ht="15.75">
      <c r="A31" s="178"/>
      <c r="B31" s="367"/>
      <c r="C31" s="178"/>
      <c r="D31" s="337"/>
      <c r="E31" s="178"/>
      <c r="F31" s="178"/>
      <c r="G31" s="368" t="s">
        <v>277</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37</v>
      </c>
      <c r="F33" s="204"/>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4" customWidth="1"/>
    <col min="2" max="16384" width="8.8984375" style="184" customWidth="1"/>
  </cols>
  <sheetData>
    <row r="1" ht="18.75">
      <c r="A1" s="370" t="s">
        <v>298</v>
      </c>
    </row>
    <row r="2" ht="15.75">
      <c r="A2" s="146"/>
    </row>
    <row r="3" ht="15.75">
      <c r="A3" s="146"/>
    </row>
    <row r="4" ht="56.25" customHeight="1">
      <c r="A4" s="371" t="s">
        <v>299</v>
      </c>
    </row>
    <row r="5" ht="15.75">
      <c r="A5" s="372"/>
    </row>
    <row r="6" ht="15.75">
      <c r="A6" s="146"/>
    </row>
    <row r="7" ht="50.25" customHeight="1">
      <c r="A7" s="371" t="s">
        <v>300</v>
      </c>
    </row>
    <row r="8" ht="15.75">
      <c r="A8" s="146"/>
    </row>
    <row r="9" ht="15.75">
      <c r="A9" s="146"/>
    </row>
    <row r="10" ht="52.5" customHeight="1">
      <c r="A10" s="371" t="s">
        <v>301</v>
      </c>
    </row>
    <row r="11" ht="15.75">
      <c r="A11" s="146"/>
    </row>
    <row r="12" ht="15.75">
      <c r="A12" s="146"/>
    </row>
    <row r="13" ht="52.5" customHeight="1">
      <c r="A13" s="371" t="s">
        <v>302</v>
      </c>
    </row>
    <row r="14" ht="15.75">
      <c r="A14" s="372"/>
    </row>
    <row r="15" ht="15.75">
      <c r="A15" s="372"/>
    </row>
    <row r="16" ht="51" customHeight="1">
      <c r="A16" s="443" t="s">
        <v>585</v>
      </c>
    </row>
    <row r="17" ht="15.75">
      <c r="A17" s="372"/>
    </row>
    <row r="18" ht="15.75">
      <c r="A18" s="372"/>
    </row>
    <row r="19" ht="37.5" customHeight="1">
      <c r="A19" s="371" t="s">
        <v>303</v>
      </c>
    </row>
    <row r="20" ht="15.75">
      <c r="A20" s="146"/>
    </row>
    <row r="21" ht="15.75">
      <c r="A21" s="146"/>
    </row>
    <row r="22" ht="47.25">
      <c r="A22" s="371" t="s">
        <v>304</v>
      </c>
    </row>
    <row r="23" ht="15.75">
      <c r="A23" s="372"/>
    </row>
    <row r="24" ht="15.75">
      <c r="A24" s="146"/>
    </row>
    <row r="25" ht="67.5" customHeight="1">
      <c r="A25" s="371" t="s">
        <v>305</v>
      </c>
    </row>
    <row r="26" ht="68.25" customHeight="1">
      <c r="A26" s="373" t="s">
        <v>306</v>
      </c>
    </row>
    <row r="27" ht="15.75">
      <c r="A27" s="146"/>
    </row>
    <row r="28" ht="15.75">
      <c r="A28" s="146"/>
    </row>
    <row r="29" ht="51" customHeight="1">
      <c r="A29" s="445" t="s">
        <v>586</v>
      </c>
    </row>
    <row r="30" ht="15.75">
      <c r="A30" s="146"/>
    </row>
    <row r="31" ht="15.75">
      <c r="A31" s="372"/>
    </row>
    <row r="32" ht="69" customHeight="1">
      <c r="A32" s="445" t="s">
        <v>587</v>
      </c>
    </row>
    <row r="33" ht="15.75">
      <c r="A33" s="372"/>
    </row>
    <row r="34" ht="15.75">
      <c r="A34" s="372"/>
    </row>
    <row r="35" ht="52.5" customHeight="1">
      <c r="A35" s="445" t="s">
        <v>588</v>
      </c>
    </row>
    <row r="36" ht="15.75">
      <c r="A36" s="372"/>
    </row>
    <row r="37" ht="15.75">
      <c r="A37" s="372"/>
    </row>
    <row r="38" ht="59.25" customHeight="1">
      <c r="A38" s="371" t="s">
        <v>307</v>
      </c>
    </row>
    <row r="39" ht="15.75">
      <c r="A39" s="146"/>
    </row>
    <row r="40" ht="15.75">
      <c r="A40" s="146"/>
    </row>
    <row r="41" ht="53.25" customHeight="1">
      <c r="A41" s="371" t="s">
        <v>308</v>
      </c>
    </row>
    <row r="42" ht="15.75">
      <c r="A42" s="372"/>
    </row>
    <row r="43" ht="15.7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0">
      <selection activeCell="M32" sqref="M32"/>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23" t="s">
        <v>76</v>
      </c>
      <c r="B1" s="722"/>
      <c r="C1" s="722"/>
      <c r="D1" s="722"/>
      <c r="E1" s="722"/>
      <c r="F1" s="722"/>
      <c r="G1" s="722"/>
      <c r="H1" s="722"/>
    </row>
    <row r="2" spans="1:8" ht="15.75">
      <c r="A2" s="98"/>
      <c r="B2" s="98"/>
      <c r="C2" s="98"/>
      <c r="D2" s="98"/>
      <c r="E2" s="98"/>
      <c r="F2" s="98"/>
      <c r="G2" s="98"/>
      <c r="H2" s="98"/>
    </row>
    <row r="3" spans="1:9" ht="15.75">
      <c r="A3" s="721" t="s">
        <v>103</v>
      </c>
      <c r="B3" s="721"/>
      <c r="C3" s="721"/>
      <c r="D3" s="721"/>
      <c r="E3" s="721"/>
      <c r="F3" s="721"/>
      <c r="G3" s="721"/>
      <c r="H3" s="721"/>
      <c r="I3" s="138">
        <f>inputPrYr!D11</f>
        <v>2014</v>
      </c>
    </row>
    <row r="4" spans="1:8" ht="15.75">
      <c r="A4" s="689" t="str">
        <f>inputPrYr!D3</f>
        <v>Grand Center Cemetery</v>
      </c>
      <c r="B4" s="689"/>
      <c r="C4" s="689"/>
      <c r="D4" s="689"/>
      <c r="E4" s="689"/>
      <c r="F4" s="689"/>
      <c r="G4" s="689"/>
      <c r="H4" s="689"/>
    </row>
    <row r="5" spans="1:8" ht="15.75">
      <c r="A5" s="749" t="str">
        <f>inputPrYr!D4</f>
        <v>Osborne County</v>
      </c>
      <c r="B5" s="749"/>
      <c r="C5" s="749"/>
      <c r="D5" s="749"/>
      <c r="E5" s="749"/>
      <c r="F5" s="749"/>
      <c r="G5" s="749"/>
      <c r="H5" s="749"/>
    </row>
    <row r="6" spans="1:8" ht="15.75">
      <c r="A6" s="751" t="str">
        <f>CONCATENATE("will meet on ",inputBudSum!B7," at ",inputBudSum!B9," at ",inputBudSum!B11," for the purpose of hearing and")</f>
        <v>will meet on August 12, 2013 at 2:00 p.m. at Osborne County Courthouse for the purpose of hearing and</v>
      </c>
      <c r="B6" s="751"/>
      <c r="C6" s="751"/>
      <c r="D6" s="751"/>
      <c r="E6" s="751"/>
      <c r="F6" s="751"/>
      <c r="G6" s="751"/>
      <c r="H6" s="751"/>
    </row>
    <row r="7" spans="1:8" ht="15.75">
      <c r="A7" s="148" t="s">
        <v>344</v>
      </c>
      <c r="B7" s="108"/>
      <c r="C7" s="108"/>
      <c r="D7" s="108"/>
      <c r="E7" s="108"/>
      <c r="F7" s="108"/>
      <c r="G7" s="108"/>
      <c r="H7" s="108"/>
    </row>
    <row r="8" spans="1:8" ht="15.75">
      <c r="A8" s="395" t="str">
        <f>CONCATENATE("Detailed budget information is avaiable at ",inputBudSum!B14," and will be available at this hearing.")</f>
        <v>Detailed budget information is avaiable at Osborne County Clerk's Office  and will be available at this hearing.</v>
      </c>
      <c r="B8" s="396"/>
      <c r="C8" s="396"/>
      <c r="D8" s="396"/>
      <c r="E8" s="396"/>
      <c r="F8" s="396"/>
      <c r="G8" s="108"/>
      <c r="H8" s="108"/>
    </row>
    <row r="9" spans="1:8" ht="15.75">
      <c r="A9" s="107" t="s">
        <v>77</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53" t="str">
        <f>CONCATENATE("Estimated Value Of One Mill For ",I3,"")</f>
        <v>Estimated Value Of One Mill For 2014</v>
      </c>
      <c r="K11" s="754"/>
      <c r="L11" s="754"/>
      <c r="M11" s="755"/>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681</v>
      </c>
      <c r="K13" s="550"/>
      <c r="L13" s="550"/>
      <c r="M13" s="551">
        <f>ROUND(F27/1000,0)</f>
        <v>1070</v>
      </c>
    </row>
    <row r="14" spans="1:13" ht="15.75">
      <c r="A14" s="156"/>
      <c r="B14" s="154"/>
      <c r="C14" s="155" t="s">
        <v>44</v>
      </c>
      <c r="D14" s="154"/>
      <c r="E14" s="155" t="s">
        <v>44</v>
      </c>
      <c r="F14" s="156" t="s">
        <v>220</v>
      </c>
      <c r="G14" s="747" t="str">
        <f>CONCATENATE("Amount of ",I3-1," Ad Valorem Tax")</f>
        <v>Amount of 2013 Ad Valorem Tax</v>
      </c>
      <c r="H14" s="155" t="s">
        <v>684</v>
      </c>
      <c r="J14" s="96"/>
      <c r="K14" s="96"/>
      <c r="L14" s="96"/>
      <c r="M14" s="96"/>
    </row>
    <row r="15" spans="1:13" ht="15.75">
      <c r="A15" s="263" t="s">
        <v>45</v>
      </c>
      <c r="B15" s="157" t="s">
        <v>46</v>
      </c>
      <c r="C15" s="158" t="s">
        <v>174</v>
      </c>
      <c r="D15" s="157" t="s">
        <v>46</v>
      </c>
      <c r="E15" s="158" t="s">
        <v>174</v>
      </c>
      <c r="F15" s="157" t="s">
        <v>578</v>
      </c>
      <c r="G15" s="748"/>
      <c r="H15" s="158" t="s">
        <v>174</v>
      </c>
      <c r="J15" s="753" t="str">
        <f>CONCATENATE("Want The Mill Rate The Same As For ",I3-1,"?")</f>
        <v>Want The Mill Rate The Same As For 2013?</v>
      </c>
      <c r="K15" s="756"/>
      <c r="L15" s="756"/>
      <c r="M15" s="757"/>
    </row>
    <row r="16" spans="1:13" ht="15.75">
      <c r="A16" s="132" t="str">
        <f>inputPrYr!B24</f>
        <v>General</v>
      </c>
      <c r="B16" s="160">
        <f>IF(gen!$C$61&lt;&gt;0,gen!$C$61,"  ")</f>
        <v>1460</v>
      </c>
      <c r="C16" s="663">
        <f>IF(inputPrYr!D43&gt;0,inputPrYr!D43,"  ")</f>
        <v>4.335</v>
      </c>
      <c r="D16" s="160">
        <f>IF(gen!$D$61&lt;&gt;0,gen!$D$61,"  ")</f>
        <v>9940</v>
      </c>
      <c r="E16" s="663">
        <f>IF(inputOth!D46&gt;0,inputOth!D46,"  ")</f>
        <v>4.171</v>
      </c>
      <c r="F16" s="160">
        <f>IF(gen!$E$61&lt;&gt;0,gen!$E$61,"  ")</f>
        <v>7400</v>
      </c>
      <c r="G16" s="160">
        <f>IF(gen!$E$68&lt;&gt;0,gen!$E$68,"  ")</f>
        <v>4187</v>
      </c>
      <c r="H16" s="663">
        <f>IF(gen!E68&gt;0,ROUND(G16/$F$27*1000,3)," ")</f>
        <v>3.913</v>
      </c>
      <c r="J16" s="552"/>
      <c r="K16" s="547"/>
      <c r="L16" s="547"/>
      <c r="M16" s="553"/>
    </row>
    <row r="17" spans="1:13" ht="15.7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4.171</v>
      </c>
    </row>
    <row r="18" spans="1:13" ht="15.7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t="str">
        <f>IF(M19&gt;0,"Increased By:","")</f>
        <v>Increased By:</v>
      </c>
      <c r="K19" s="556"/>
      <c r="L19" s="556"/>
      <c r="M19" s="557">
        <f>IF(M26&lt;0,M26*-1,0)</f>
        <v>276</v>
      </c>
    </row>
    <row r="20" spans="1:13" ht="15.7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f>IF(M20&lt;0,"Reduced By:","")</f>
      </c>
      <c r="K20" s="541"/>
      <c r="L20" s="541"/>
      <c r="M20" s="559">
        <f>IF(M26&gt;0,M26*-1,0)</f>
        <v>0</v>
      </c>
    </row>
    <row r="21" spans="1:13" ht="15.7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6.5" thickBot="1">
      <c r="A22" s="161">
        <f>IF((inputPrYr!$B$35&gt;" "),(NonBud!$A$3),"")</f>
      </c>
      <c r="B22" s="668">
        <f>IF(NonBud!K28&gt;0,NonBud!K28,"")</f>
      </c>
      <c r="C22" s="666"/>
      <c r="D22" s="668"/>
      <c r="E22" s="666"/>
      <c r="F22" s="668"/>
      <c r="G22" s="566"/>
      <c r="H22" s="666"/>
      <c r="J22" s="753" t="str">
        <f>CONCATENATE("Impact On Keeping The Same Mill Rate As For ",I3-1,"")</f>
        <v>Impact On Keeping The Same Mill Rate As For 2013</v>
      </c>
      <c r="K22" s="758"/>
      <c r="L22" s="758"/>
      <c r="M22" s="759"/>
    </row>
    <row r="23" spans="1:13" ht="15.75">
      <c r="A23" s="118" t="s">
        <v>127</v>
      </c>
      <c r="B23" s="565">
        <f>SUM(B16:B22)</f>
        <v>1460</v>
      </c>
      <c r="C23" s="667">
        <f aca="true" t="shared" si="0" ref="C23:H23">SUM(C16:C21)</f>
        <v>4.335</v>
      </c>
      <c r="D23" s="565">
        <f t="shared" si="0"/>
        <v>9940</v>
      </c>
      <c r="E23" s="667">
        <f t="shared" si="0"/>
        <v>4.171</v>
      </c>
      <c r="F23" s="565">
        <f t="shared" si="0"/>
        <v>7400</v>
      </c>
      <c r="G23" s="565">
        <f>SUM(G16:G21)</f>
        <v>4187</v>
      </c>
      <c r="H23" s="667">
        <f t="shared" si="0"/>
        <v>3.913</v>
      </c>
      <c r="J23" s="552"/>
      <c r="K23" s="547"/>
      <c r="L23" s="547"/>
      <c r="M23" s="553"/>
    </row>
    <row r="24" spans="1:13" ht="15.7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4187</v>
      </c>
    </row>
    <row r="25" spans="1:13" ht="16.5" thickBot="1">
      <c r="A25" s="118" t="s">
        <v>179</v>
      </c>
      <c r="B25" s="130">
        <f>SUM(B23-B24)</f>
        <v>1460</v>
      </c>
      <c r="C25" s="168"/>
      <c r="D25" s="130">
        <f>SUM(D23-D24)</f>
        <v>9940</v>
      </c>
      <c r="E25" s="168"/>
      <c r="F25" s="669">
        <f>SUM(F23-F24)</f>
        <v>7400</v>
      </c>
      <c r="G25" s="165"/>
      <c r="H25" s="166"/>
      <c r="J25" s="552" t="str">
        <f>CONCATENATE("",I3-1," Ad Valorem Tax Revenue:")</f>
        <v>2013 Ad Valorem Tax Revenue:</v>
      </c>
      <c r="K25" s="547"/>
      <c r="L25" s="547"/>
      <c r="M25" s="560">
        <f>ROUND(F27*M17/1000,0)</f>
        <v>4463</v>
      </c>
    </row>
    <row r="26" spans="1:13" ht="16.5" thickTop="1">
      <c r="A26" s="118" t="s">
        <v>47</v>
      </c>
      <c r="B26" s="221">
        <f>inputPrYr!E50</f>
        <v>4014</v>
      </c>
      <c r="C26" s="156"/>
      <c r="D26" s="221">
        <f>inputPrYr!E29</f>
        <v>4171</v>
      </c>
      <c r="E26" s="156"/>
      <c r="F26" s="326" t="s">
        <v>21</v>
      </c>
      <c r="G26" s="98"/>
      <c r="H26" s="98"/>
      <c r="J26" s="561" t="s">
        <v>682</v>
      </c>
      <c r="K26" s="562"/>
      <c r="L26" s="562"/>
      <c r="M26" s="551">
        <f>M24-M25</f>
        <v>-276</v>
      </c>
    </row>
    <row r="27" spans="1:13" ht="16.5" thickBot="1">
      <c r="A27" s="118" t="s">
        <v>212</v>
      </c>
      <c r="B27" s="231">
        <f>inputPrYr!E51</f>
        <v>926025</v>
      </c>
      <c r="C27" s="156"/>
      <c r="D27" s="231">
        <f>inputOth!E60</f>
        <v>1000135</v>
      </c>
      <c r="E27" s="156"/>
      <c r="F27" s="231">
        <f>inputOth!E12</f>
        <v>1069957</v>
      </c>
      <c r="G27" s="98"/>
      <c r="H27" s="98"/>
      <c r="J27" s="563"/>
      <c r="K27" s="563"/>
      <c r="L27" s="563"/>
      <c r="M27" s="4"/>
    </row>
    <row r="28" spans="1:13" ht="16.5" thickTop="1">
      <c r="A28" s="101"/>
      <c r="B28" s="165"/>
      <c r="C28" s="105"/>
      <c r="D28" s="165"/>
      <c r="E28" s="105"/>
      <c r="F28" s="165"/>
      <c r="G28" s="98"/>
      <c r="H28" s="98"/>
      <c r="J28" s="753" t="s">
        <v>683</v>
      </c>
      <c r="K28" s="756"/>
      <c r="L28" s="756"/>
      <c r="M28" s="757"/>
    </row>
    <row r="29" spans="1:13" ht="15.75">
      <c r="A29" s="97" t="s">
        <v>48</v>
      </c>
      <c r="B29" s="98"/>
      <c r="C29" s="98"/>
      <c r="D29" s="98"/>
      <c r="E29" s="98"/>
      <c r="F29" s="98"/>
      <c r="G29" s="98"/>
      <c r="H29" s="98"/>
      <c r="J29" s="552"/>
      <c r="K29" s="547"/>
      <c r="L29" s="547"/>
      <c r="M29" s="553"/>
    </row>
    <row r="30" spans="1:13" ht="15.7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3.913</v>
      </c>
    </row>
    <row r="31" spans="1:13" ht="15.75">
      <c r="A31" s="97" t="s">
        <v>49</v>
      </c>
      <c r="B31" s="170">
        <f>inputPrYr!D54</f>
        <v>0</v>
      </c>
      <c r="C31" s="171"/>
      <c r="D31" s="170">
        <f>inputPrYr!E54</f>
        <v>0</v>
      </c>
      <c r="E31" s="98"/>
      <c r="F31" s="170">
        <f>debt!F12</f>
        <v>0</v>
      </c>
      <c r="G31" s="98"/>
      <c r="H31" s="138"/>
      <c r="J31" s="552" t="str">
        <f>CONCATENATE("Desired ",I3," Mill Rate:")</f>
        <v>Desired 2014 Mill Rate:</v>
      </c>
      <c r="K31" s="547"/>
      <c r="L31" s="547"/>
      <c r="M31" s="564">
        <v>3.913</v>
      </c>
    </row>
    <row r="32" spans="1:13" ht="15.7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4187</v>
      </c>
    </row>
    <row r="33" spans="1:13" ht="15.7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75">
      <c r="A34" s="97" t="s">
        <v>128</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51</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52</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52" t="str">
        <f>inputBudSum!B3</f>
        <v>Vanan Mullender</v>
      </c>
      <c r="B41" s="712"/>
      <c r="C41" s="149"/>
      <c r="D41" s="98"/>
      <c r="E41" s="98"/>
      <c r="F41" s="98"/>
      <c r="G41" s="98"/>
      <c r="H41" s="138"/>
    </row>
    <row r="42" spans="1:8" ht="15.75">
      <c r="A42" s="750" t="str">
        <f>inputBudSum!B5</f>
        <v>Grand Center Cemetery</v>
      </c>
      <c r="B42" s="742"/>
      <c r="C42" s="98"/>
      <c r="D42" s="181" t="s">
        <v>37</v>
      </c>
      <c r="E42" s="182"/>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J11:M11"/>
    <mergeCell ref="J15:M15"/>
    <mergeCell ref="J22:M22"/>
    <mergeCell ref="J28:M28"/>
    <mergeCell ref="A1:H1"/>
    <mergeCell ref="G14:G15"/>
    <mergeCell ref="A3:H3"/>
    <mergeCell ref="A4:H4"/>
    <mergeCell ref="A5:H5"/>
    <mergeCell ref="A42:B42"/>
    <mergeCell ref="A6:H6"/>
    <mergeCell ref="A41:B41"/>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Grand Center Cemetery</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714" t="str">
        <f>CONCATENATE("",F1," Neighborhood Revitalization Rebate")</f>
        <v>2014 Neighborhood Revitalization Rebate</v>
      </c>
      <c r="C4" s="762"/>
      <c r="D4" s="762"/>
      <c r="E4" s="722"/>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215</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63" t="str">
        <f>CONCATENATE("",F1-1," July 1 Valuation:")</f>
        <v>2013 July 1 Valuation:</v>
      </c>
      <c r="B16" s="761"/>
      <c r="C16" s="763"/>
      <c r="D16" s="196">
        <f>inputOth!E12</f>
        <v>1069957</v>
      </c>
      <c r="E16" s="98"/>
      <c r="F16" s="138"/>
    </row>
    <row r="17" spans="1:6" ht="15.75">
      <c r="A17" s="98"/>
      <c r="B17" s="98"/>
      <c r="C17" s="98"/>
      <c r="D17" s="98"/>
      <c r="E17" s="98"/>
      <c r="F17" s="138"/>
    </row>
    <row r="18" spans="1:6" ht="15.75">
      <c r="A18" s="98"/>
      <c r="B18" s="763" t="s">
        <v>330</v>
      </c>
      <c r="C18" s="763"/>
      <c r="D18" s="197">
        <f>IF(D16&gt;0,(D16*0.001),"")</f>
        <v>1069.957</v>
      </c>
      <c r="E18" s="98"/>
      <c r="F18" s="138"/>
    </row>
    <row r="19" spans="1:6" ht="15.75">
      <c r="A19" s="98"/>
      <c r="B19" s="181"/>
      <c r="C19" s="181"/>
      <c r="D19" s="198"/>
      <c r="E19" s="98"/>
      <c r="F19" s="138"/>
    </row>
    <row r="20" spans="1:6" ht="15.75">
      <c r="A20" s="760" t="s">
        <v>311</v>
      </c>
      <c r="B20" s="722"/>
      <c r="C20" s="722"/>
      <c r="D20" s="200">
        <f>inputOth!D42</f>
        <v>0</v>
      </c>
      <c r="E20" s="201"/>
      <c r="F20" s="201"/>
    </row>
    <row r="21" spans="1:6" ht="15">
      <c r="A21" s="201"/>
      <c r="B21" s="201"/>
      <c r="C21" s="201"/>
      <c r="D21" s="202"/>
      <c r="E21" s="201"/>
      <c r="F21" s="201"/>
    </row>
    <row r="22" spans="1:6" ht="15.75">
      <c r="A22" s="201"/>
      <c r="B22" s="760" t="s">
        <v>312</v>
      </c>
      <c r="C22" s="76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6" t="s">
        <v>565</v>
      </c>
      <c r="B28" s="201"/>
      <c r="C28" s="201"/>
      <c r="D28" s="201"/>
      <c r="E28" s="201"/>
      <c r="F28" s="201"/>
    </row>
    <row r="29" spans="1:6" ht="15.75">
      <c r="A29" s="416"/>
      <c r="B29" s="201"/>
      <c r="C29" s="201"/>
      <c r="D29" s="201"/>
      <c r="E29" s="201"/>
      <c r="F29" s="201"/>
    </row>
    <row r="30" spans="1:6" ht="15.75">
      <c r="A30" s="416"/>
      <c r="B30" s="201"/>
      <c r="C30" s="201"/>
      <c r="D30" s="201"/>
      <c r="E30" s="201"/>
      <c r="F30" s="201"/>
    </row>
    <row r="31" spans="1:6" ht="15.75">
      <c r="A31" s="416"/>
      <c r="B31" s="201"/>
      <c r="C31" s="201"/>
      <c r="D31" s="201"/>
      <c r="E31" s="201"/>
      <c r="F31" s="201"/>
    </row>
    <row r="32" spans="1:6" ht="15.75">
      <c r="A32" s="416"/>
      <c r="B32" s="201"/>
      <c r="C32" s="201"/>
      <c r="D32" s="201"/>
      <c r="E32" s="201"/>
      <c r="F32" s="201"/>
    </row>
    <row r="33" spans="1:6" ht="15.75">
      <c r="A33" s="416"/>
      <c r="B33" s="201"/>
      <c r="C33" s="201"/>
      <c r="D33" s="201"/>
      <c r="E33" s="201"/>
      <c r="F33" s="201"/>
    </row>
    <row r="34" spans="1:6" ht="15.75">
      <c r="A34" s="416"/>
      <c r="B34" s="201"/>
      <c r="C34" s="201"/>
      <c r="D34" s="201"/>
      <c r="E34" s="201"/>
      <c r="F34" s="201"/>
    </row>
    <row r="35" spans="1:6" ht="15.7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68" t="s">
        <v>133</v>
      </c>
      <c r="C1" s="768"/>
      <c r="D1" s="768"/>
      <c r="E1" s="768"/>
      <c r="F1" s="768"/>
      <c r="G1" s="768"/>
      <c r="H1" s="768"/>
    </row>
    <row r="2" spans="2:8" ht="15.75">
      <c r="B2" s="42"/>
      <c r="C2"/>
      <c r="D2"/>
      <c r="E2"/>
      <c r="F2"/>
      <c r="G2"/>
      <c r="H2"/>
    </row>
    <row r="3" spans="2:8" ht="15.75">
      <c r="B3" s="769" t="s">
        <v>130</v>
      </c>
      <c r="C3" s="769"/>
      <c r="D3" s="769"/>
      <c r="E3" s="769"/>
      <c r="F3" s="769"/>
      <c r="G3" s="769"/>
      <c r="H3" s="769"/>
    </row>
    <row r="4" spans="2:8" ht="15.75">
      <c r="B4" s="43"/>
      <c r="C4"/>
      <c r="D4"/>
      <c r="E4"/>
      <c r="F4"/>
      <c r="G4"/>
      <c r="H4"/>
    </row>
    <row r="5" spans="2:8" ht="15.75">
      <c r="B5" s="770" t="str">
        <f>CONCATENATE("A resolution expressing the property taxation policy of the Board of ",(inputPrYr!D3)," District with respect to financing the ",inputPrYr!D11," annual budget for ",(inputPrYr!D3)," , ",(inputPrYr!D4)," , Kansas.")</f>
        <v>A resolution expressing the property taxation policy of the Board of Grand Center Cemetery District with respect to financing the 2014 annual budget for Grand Center Cemetery , Osborne County , Kansas.</v>
      </c>
      <c r="C5" s="767"/>
      <c r="D5" s="767"/>
      <c r="E5" s="767"/>
      <c r="F5" s="767"/>
      <c r="G5" s="767"/>
      <c r="H5" s="767"/>
    </row>
    <row r="6" spans="2:10" ht="15.75">
      <c r="B6" s="767"/>
      <c r="C6" s="767"/>
      <c r="D6" s="767"/>
      <c r="E6" s="767"/>
      <c r="F6" s="767"/>
      <c r="G6" s="767"/>
      <c r="H6" s="767"/>
      <c r="J6" s="38">
        <f>CONCATENATE(J7)</f>
      </c>
    </row>
    <row r="7" spans="2:8" ht="15.75">
      <c r="B7" s="47"/>
      <c r="C7"/>
      <c r="D7"/>
      <c r="E7"/>
      <c r="F7"/>
      <c r="G7"/>
      <c r="H7"/>
    </row>
    <row r="8" spans="2:8" ht="15.75">
      <c r="B8" s="48" t="s">
        <v>181</v>
      </c>
      <c r="C8"/>
      <c r="D8"/>
      <c r="E8"/>
      <c r="F8"/>
      <c r="G8"/>
      <c r="H8"/>
    </row>
    <row r="9" spans="2:8" ht="15.75">
      <c r="B9" s="48" t="str">
        <f>CONCATENATE("",inputPrYr!D11," ",(inputPrYr!D3)," district budget exceed the amount levied to finance the")</f>
        <v>2014 Grand Center Cemetery district budget exceed the amount levied to finance the</v>
      </c>
      <c r="C9"/>
      <c r="D9"/>
      <c r="E9"/>
      <c r="F9"/>
      <c r="G9"/>
      <c r="H9"/>
    </row>
    <row r="10" spans="2:8" ht="15.75">
      <c r="B10" s="48" t="str">
        <f>CONCATENATE("",inputPrYr!D11-1," ",inputPrYr!D3," except with regard to revenue produced and attributable to the")</f>
        <v>2013 Grand Center Cemetery except with regard to revenue produced and attributable to the</v>
      </c>
      <c r="C10"/>
      <c r="D10"/>
      <c r="E10"/>
      <c r="F10"/>
      <c r="G10"/>
      <c r="H10"/>
    </row>
    <row r="11" spans="2:8" ht="15.75">
      <c r="B11" s="771" t="s">
        <v>182</v>
      </c>
      <c r="C11" s="772"/>
      <c r="D11" s="772"/>
      <c r="E11" s="772"/>
      <c r="F11" s="772"/>
      <c r="G11" s="772"/>
      <c r="H11" s="772"/>
    </row>
    <row r="12" spans="2:8" ht="15.75">
      <c r="B12" s="772"/>
      <c r="C12" s="772"/>
      <c r="D12" s="772"/>
      <c r="E12" s="772"/>
      <c r="F12" s="772"/>
      <c r="G12" s="772"/>
      <c r="H12" s="772"/>
    </row>
    <row r="13" spans="2:8" ht="15.75">
      <c r="B13" s="772"/>
      <c r="C13" s="772"/>
      <c r="D13" s="772"/>
      <c r="E13" s="772"/>
      <c r="F13" s="772"/>
      <c r="G13" s="772"/>
      <c r="H13" s="772"/>
    </row>
    <row r="14" spans="2:8" ht="15.75">
      <c r="B14" s="772"/>
      <c r="C14" s="772"/>
      <c r="D14" s="772"/>
      <c r="E14" s="772"/>
      <c r="F14" s="772"/>
      <c r="G14" s="772"/>
      <c r="H14" s="772"/>
    </row>
    <row r="15" spans="2:8" ht="15.75">
      <c r="B15" s="35"/>
      <c r="C15" s="35"/>
      <c r="D15" s="35"/>
      <c r="E15" s="35"/>
      <c r="F15" s="35"/>
      <c r="G15" s="35"/>
      <c r="H15" s="35"/>
    </row>
    <row r="16" spans="2:8" ht="15.75">
      <c r="B16" s="766" t="s">
        <v>151</v>
      </c>
      <c r="C16" s="773"/>
      <c r="D16" s="773"/>
      <c r="E16" s="773"/>
      <c r="F16" s="773"/>
      <c r="G16" s="773"/>
      <c r="H16" s="773"/>
    </row>
    <row r="17" spans="2:8" ht="15.75">
      <c r="B17" s="773"/>
      <c r="C17" s="773"/>
      <c r="D17" s="773"/>
      <c r="E17" s="773"/>
      <c r="F17" s="773"/>
      <c r="G17" s="773"/>
      <c r="H17" s="773"/>
    </row>
    <row r="18" spans="2:8" ht="15.75">
      <c r="B18" s="48"/>
      <c r="C18"/>
      <c r="D18"/>
      <c r="E18"/>
      <c r="F18"/>
      <c r="G18"/>
      <c r="H18"/>
    </row>
    <row r="19" spans="2:8" ht="15.75">
      <c r="B19" s="48" t="str">
        <f>CONCATENATE("Whereas, ",(inputPrYr!D3)," provides essential services to district residents; and")</f>
        <v>Whereas, Grand Center Cemetery provides essential services to district residents; and</v>
      </c>
      <c r="C19"/>
      <c r="D19"/>
      <c r="E19"/>
      <c r="F19"/>
      <c r="G19"/>
      <c r="H19"/>
    </row>
    <row r="20" spans="2:8" ht="15.75">
      <c r="B20" s="48"/>
      <c r="C20"/>
      <c r="D20"/>
      <c r="E20"/>
      <c r="F20"/>
      <c r="G20"/>
      <c r="H20"/>
    </row>
    <row r="21" spans="2:8" ht="15.75">
      <c r="B21" s="48" t="s">
        <v>152</v>
      </c>
      <c r="C21"/>
      <c r="D21"/>
      <c r="E21"/>
      <c r="F21"/>
      <c r="G21"/>
      <c r="H21"/>
    </row>
    <row r="22" spans="2:8" ht="15.75">
      <c r="B22" s="48"/>
      <c r="C22"/>
      <c r="D22"/>
      <c r="E22"/>
      <c r="F22"/>
      <c r="G22"/>
      <c r="H22"/>
    </row>
    <row r="23" spans="2:8" ht="15.75">
      <c r="B23" s="77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Grand Center Cemetery that is our desire to notify the public of the possibility of increased property taxes to finance the 2014 Grand Center Cemetery  budget as defined above.</v>
      </c>
      <c r="C23" s="774"/>
      <c r="D23" s="774"/>
      <c r="E23" s="774"/>
      <c r="F23" s="774"/>
      <c r="G23" s="774"/>
      <c r="H23" s="774"/>
    </row>
    <row r="24" spans="2:8" ht="15.75">
      <c r="B24" s="774"/>
      <c r="C24" s="774"/>
      <c r="D24" s="774"/>
      <c r="E24" s="774"/>
      <c r="F24" s="774"/>
      <c r="G24" s="774"/>
      <c r="H24" s="774"/>
    </row>
    <row r="25" spans="2:8" ht="15.75">
      <c r="B25" s="774"/>
      <c r="C25" s="774"/>
      <c r="D25" s="774"/>
      <c r="E25" s="774"/>
      <c r="F25" s="774"/>
      <c r="G25" s="774"/>
      <c r="H25" s="774"/>
    </row>
    <row r="26" spans="2:8" ht="15.75">
      <c r="B26" s="48"/>
      <c r="C26"/>
      <c r="D26"/>
      <c r="E26"/>
      <c r="F26"/>
      <c r="G26"/>
      <c r="H26"/>
    </row>
    <row r="27" spans="2:8" ht="15.75">
      <c r="B27" s="766" t="str">
        <f>CONCATENATE("Adopted this _________ day of ___________, ",inputPrYr!D11-1," by the ",(inputPrYr!D3)," District Board, ",(inputPrYr!D4),", State of Kansas.")</f>
        <v>Adopted this _________ day of ___________, 2013 by the Grand Center Cemetery District Board, Osborne County, State of Kansas.</v>
      </c>
      <c r="C27" s="767"/>
      <c r="D27" s="767"/>
      <c r="E27" s="767"/>
      <c r="F27" s="767"/>
      <c r="G27" s="767"/>
      <c r="H27" s="767"/>
    </row>
    <row r="28" spans="2:8" ht="15.75">
      <c r="B28" s="767"/>
      <c r="C28" s="767"/>
      <c r="D28" s="767"/>
      <c r="E28" s="767"/>
      <c r="F28" s="767"/>
      <c r="G28" s="767"/>
      <c r="H28" s="767"/>
    </row>
    <row r="29" spans="2:8" ht="15.75">
      <c r="B29" s="44"/>
      <c r="C29"/>
      <c r="D29"/>
      <c r="E29"/>
      <c r="F29"/>
      <c r="G29"/>
      <c r="H29"/>
    </row>
    <row r="30" spans="2:8" ht="15.75">
      <c r="B30" s="44"/>
      <c r="C30"/>
      <c r="D30"/>
      <c r="E30"/>
      <c r="F30"/>
      <c r="G30"/>
      <c r="H30"/>
    </row>
    <row r="31" spans="2:8" ht="15.75">
      <c r="B31" s="45" t="str">
        <f>CONCATENATE(" ",(inputPrYr!D3)," District Board")</f>
        <v> Grand Center Cemetery District Board</v>
      </c>
      <c r="C31"/>
      <c r="D31"/>
      <c r="E31"/>
      <c r="F31"/>
      <c r="G31"/>
      <c r="H31"/>
    </row>
    <row r="32" spans="2:8" ht="15.75">
      <c r="B32" s="44"/>
      <c r="C32"/>
      <c r="D32"/>
      <c r="E32"/>
      <c r="F32"/>
      <c r="G32"/>
      <c r="H32"/>
    </row>
    <row r="33" spans="2:8" ht="15.75">
      <c r="B33"/>
      <c r="C33"/>
      <c r="D33"/>
      <c r="E33" s="765" t="s">
        <v>131</v>
      </c>
      <c r="F33" s="765"/>
      <c r="G33" s="765"/>
      <c r="H33" s="765"/>
    </row>
    <row r="34" spans="2:8" ht="15.75">
      <c r="B34"/>
      <c r="C34"/>
      <c r="D34"/>
      <c r="E34" s="765" t="s">
        <v>134</v>
      </c>
      <c r="F34" s="765"/>
      <c r="G34" s="765"/>
      <c r="H34" s="765"/>
    </row>
    <row r="35" spans="2:8" ht="15.75">
      <c r="B35" s="44"/>
      <c r="C35"/>
      <c r="D35"/>
      <c r="E35" s="765"/>
      <c r="F35" s="765"/>
      <c r="G35" s="765"/>
      <c r="H35" s="765"/>
    </row>
    <row r="36" spans="2:8" ht="15.75">
      <c r="B36"/>
      <c r="C36"/>
      <c r="D36"/>
      <c r="E36" s="765" t="s">
        <v>131</v>
      </c>
      <c r="F36" s="765"/>
      <c r="G36" s="765"/>
      <c r="H36" s="765"/>
    </row>
    <row r="37" spans="2:8" ht="15.75">
      <c r="B37"/>
      <c r="C37"/>
      <c r="D37"/>
      <c r="E37" s="765" t="s">
        <v>135</v>
      </c>
      <c r="F37" s="765"/>
      <c r="G37" s="765"/>
      <c r="H37" s="765"/>
    </row>
    <row r="38" spans="2:8" ht="15.75">
      <c r="B38" s="44"/>
      <c r="C38"/>
      <c r="D38"/>
      <c r="E38" s="765"/>
      <c r="F38" s="765"/>
      <c r="G38" s="765"/>
      <c r="H38" s="765"/>
    </row>
    <row r="39" spans="2:8" ht="15.75">
      <c r="B39"/>
      <c r="C39"/>
      <c r="D39"/>
      <c r="E39" s="765" t="s">
        <v>131</v>
      </c>
      <c r="F39" s="765"/>
      <c r="G39" s="765"/>
      <c r="H39" s="765"/>
    </row>
    <row r="40" spans="2:8" ht="15.75">
      <c r="B40"/>
      <c r="C40"/>
      <c r="D40"/>
      <c r="E40" s="765" t="s">
        <v>136</v>
      </c>
      <c r="F40" s="765"/>
      <c r="G40" s="765"/>
      <c r="H40" s="765"/>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37</v>
      </c>
      <c r="E45" s="66"/>
      <c r="F45" s="52"/>
      <c r="G45" s="52"/>
      <c r="H45" s="52"/>
    </row>
    <row r="46" spans="2:8" ht="15.75">
      <c r="B46" s="46" t="s">
        <v>132</v>
      </c>
      <c r="E46" s="764"/>
      <c r="F46" s="764"/>
      <c r="G46" s="764"/>
      <c r="H46" s="764"/>
    </row>
    <row r="47" spans="2:8" ht="15.75">
      <c r="B47" s="39"/>
      <c r="E47" s="764"/>
      <c r="F47" s="764"/>
      <c r="G47" s="764"/>
      <c r="H47" s="764"/>
    </row>
    <row r="48" spans="5:8" ht="15.75">
      <c r="E48" s="764"/>
      <c r="F48" s="764"/>
      <c r="G48" s="764"/>
      <c r="H48" s="764"/>
    </row>
    <row r="49" spans="5:8" ht="15.75">
      <c r="E49" s="764"/>
      <c r="F49" s="764"/>
      <c r="G49" s="764"/>
      <c r="H49" s="764"/>
    </row>
    <row r="50" spans="2:8" ht="15.75">
      <c r="B50" s="39"/>
      <c r="E50" s="764"/>
      <c r="F50" s="764"/>
      <c r="G50" s="764"/>
      <c r="H50" s="764"/>
    </row>
    <row r="51" ht="15.75">
      <c r="B51" s="41"/>
    </row>
    <row r="52" ht="15.75">
      <c r="B52" s="41"/>
    </row>
    <row r="53" ht="15.75">
      <c r="B53" s="41"/>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40">
      <selection activeCell="E52" sqref="E52"/>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89" t="s">
        <v>2</v>
      </c>
      <c r="B1" s="688"/>
      <c r="C1" s="688"/>
      <c r="D1" s="688"/>
      <c r="E1" s="688"/>
    </row>
    <row r="2" spans="1:5" ht="15.75">
      <c r="A2" s="97"/>
      <c r="B2" s="98"/>
      <c r="C2" s="98"/>
      <c r="D2" s="98"/>
      <c r="E2" s="98"/>
    </row>
    <row r="3" spans="1:5" ht="15.75">
      <c r="A3" s="99" t="s">
        <v>124</v>
      </c>
      <c r="B3" s="98"/>
      <c r="C3" s="98"/>
      <c r="D3" s="100" t="s">
        <v>808</v>
      </c>
      <c r="E3" s="101"/>
    </row>
    <row r="4" spans="1:5" ht="15.75">
      <c r="A4" s="99" t="s">
        <v>233</v>
      </c>
      <c r="B4" s="98"/>
      <c r="C4" s="98"/>
      <c r="D4" s="102" t="s">
        <v>809</v>
      </c>
      <c r="E4" s="101"/>
    </row>
    <row r="5" spans="1:5" ht="15.75">
      <c r="A5" s="99" t="s">
        <v>155</v>
      </c>
      <c r="B5" s="98"/>
      <c r="C5" s="98"/>
      <c r="D5" s="103"/>
      <c r="E5" s="101"/>
    </row>
    <row r="6" spans="1:5" ht="15.75">
      <c r="A6" s="104" t="s">
        <v>234</v>
      </c>
      <c r="B6" s="105"/>
      <c r="C6" s="105"/>
      <c r="D6" s="100" t="s">
        <v>810</v>
      </c>
      <c r="E6" s="101"/>
    </row>
    <row r="7" spans="1:5" ht="15.75">
      <c r="A7" s="99" t="s">
        <v>235</v>
      </c>
      <c r="B7" s="98"/>
      <c r="C7" s="98"/>
      <c r="D7" s="102"/>
      <c r="E7" s="101"/>
    </row>
    <row r="8" spans="1:5" ht="15.75">
      <c r="A8" s="99" t="s">
        <v>236</v>
      </c>
      <c r="B8" s="98"/>
      <c r="C8" s="98"/>
      <c r="D8" s="102"/>
      <c r="E8" s="101"/>
    </row>
    <row r="9" spans="1:5" ht="15.75">
      <c r="A9" s="99" t="s">
        <v>237</v>
      </c>
      <c r="B9" s="98"/>
      <c r="C9" s="98"/>
      <c r="D9" s="102"/>
      <c r="E9" s="101"/>
    </row>
    <row r="10" spans="1:5" ht="15.75">
      <c r="A10" s="98"/>
      <c r="B10" s="98"/>
      <c r="C10" s="98"/>
      <c r="D10" s="98"/>
      <c r="E10" s="98"/>
    </row>
    <row r="11" spans="1:5" ht="15.75">
      <c r="A11" s="99" t="s">
        <v>209</v>
      </c>
      <c r="B11" s="98"/>
      <c r="C11" s="98"/>
      <c r="D11" s="106">
        <v>2014</v>
      </c>
      <c r="E11" s="98"/>
    </row>
    <row r="12" spans="1:5" ht="15.75">
      <c r="A12" s="98"/>
      <c r="B12" s="98"/>
      <c r="C12" s="98"/>
      <c r="D12" s="98"/>
      <c r="E12" s="98"/>
    </row>
    <row r="13" spans="1:5" ht="15.75">
      <c r="A13" s="107" t="s">
        <v>70</v>
      </c>
      <c r="B13" s="108"/>
      <c r="C13" s="108"/>
      <c r="D13" s="108"/>
      <c r="E13" s="108"/>
    </row>
    <row r="14" spans="1:5" ht="15.75">
      <c r="A14" s="107" t="s">
        <v>71</v>
      </c>
      <c r="B14" s="108"/>
      <c r="C14" s="108"/>
      <c r="D14" s="108"/>
      <c r="E14" s="108"/>
    </row>
    <row r="15" spans="1:8" ht="15.75">
      <c r="A15" s="109" t="s">
        <v>210</v>
      </c>
      <c r="B15" s="98"/>
      <c r="C15" s="98"/>
      <c r="D15" s="98"/>
      <c r="E15" s="98"/>
      <c r="F15" s="98"/>
      <c r="G15" s="692" t="s">
        <v>751</v>
      </c>
      <c r="H15" s="693"/>
    </row>
    <row r="16" spans="1:8" ht="15.75">
      <c r="A16" s="109"/>
      <c r="B16" s="98"/>
      <c r="C16" s="98"/>
      <c r="D16" s="98"/>
      <c r="E16" s="98"/>
      <c r="F16" s="98"/>
      <c r="G16" s="694"/>
      <c r="H16" s="693"/>
    </row>
    <row r="17" spans="1:8" ht="15.75">
      <c r="A17" s="687" t="s">
        <v>156</v>
      </c>
      <c r="B17" s="688"/>
      <c r="C17" s="688"/>
      <c r="D17" s="688"/>
      <c r="E17" s="688"/>
      <c r="F17" s="98"/>
      <c r="G17" s="694"/>
      <c r="H17" s="693"/>
    </row>
    <row r="18" spans="1:8" ht="15.75">
      <c r="A18" s="110"/>
      <c r="B18" s="110"/>
      <c r="C18" s="110"/>
      <c r="D18" s="110"/>
      <c r="E18" s="110"/>
      <c r="F18" s="98"/>
      <c r="G18" s="694"/>
      <c r="H18" s="693"/>
    </row>
    <row r="19" spans="1:8" ht="15.75">
      <c r="A19" s="111" t="s">
        <v>154</v>
      </c>
      <c r="B19" s="112"/>
      <c r="C19" s="98"/>
      <c r="D19" s="98"/>
      <c r="E19" s="98"/>
      <c r="F19" s="98"/>
      <c r="G19" s="694"/>
      <c r="H19" s="693"/>
    </row>
    <row r="20" spans="1:8" ht="15.75">
      <c r="A20" s="113" t="str">
        <f>CONCATENATE("the ",D11-1," Budget, Certificate Page:")</f>
        <v>the 2013 Budget, Certificate Page:</v>
      </c>
      <c r="B20" s="114"/>
      <c r="C20" s="98"/>
      <c r="D20" s="98"/>
      <c r="E20" s="98"/>
      <c r="F20" s="98"/>
      <c r="G20" s="694"/>
      <c r="H20" s="693"/>
    </row>
    <row r="21" spans="1:8" ht="15.75">
      <c r="A21" s="113" t="s">
        <v>293</v>
      </c>
      <c r="B21" s="114"/>
      <c r="C21" s="98"/>
      <c r="D21" s="98"/>
      <c r="E21" s="98"/>
      <c r="F21" s="98"/>
      <c r="G21" s="105"/>
      <c r="H21" s="591"/>
    </row>
    <row r="22" spans="1:8" ht="15.75" customHeight="1">
      <c r="A22" s="98"/>
      <c r="B22" s="98"/>
      <c r="C22" s="115"/>
      <c r="D22" s="116">
        <f>D11-1</f>
        <v>2013</v>
      </c>
      <c r="E22" s="690" t="str">
        <f>CONCATENATE("Amount of ",D11-2,"     Ad Valorem Tax")</f>
        <v>Amount of 2012     Ad Valorem Tax</v>
      </c>
      <c r="G22" s="208" t="s">
        <v>752</v>
      </c>
      <c r="H22" s="212" t="s">
        <v>36</v>
      </c>
    </row>
    <row r="23" spans="1:8" ht="15.75">
      <c r="A23" s="97" t="s">
        <v>3</v>
      </c>
      <c r="B23" s="98"/>
      <c r="C23" s="115" t="s">
        <v>4</v>
      </c>
      <c r="D23" s="117" t="s">
        <v>294</v>
      </c>
      <c r="E23" s="691"/>
      <c r="G23" s="157" t="str">
        <f>CONCATENATE("",D11-2," Ad Valorem Tax")</f>
        <v>2012 Ad Valorem Tax</v>
      </c>
      <c r="H23" s="592">
        <v>0</v>
      </c>
    </row>
    <row r="24" spans="1:7" ht="15.75">
      <c r="A24" s="98"/>
      <c r="B24" s="118" t="s">
        <v>5</v>
      </c>
      <c r="C24" s="119"/>
      <c r="D24" s="120">
        <v>9940</v>
      </c>
      <c r="E24" s="120">
        <v>4171</v>
      </c>
      <c r="G24" s="160">
        <f>IF(H23&gt;0,ROUND(E24-(E24*H23),0),0)</f>
        <v>0</v>
      </c>
    </row>
    <row r="25" spans="1:7" ht="15.75">
      <c r="A25" s="98"/>
      <c r="B25" s="118" t="s">
        <v>284</v>
      </c>
      <c r="C25" s="121" t="s">
        <v>153</v>
      </c>
      <c r="D25" s="120"/>
      <c r="E25" s="120"/>
      <c r="G25" s="160">
        <f>IF(H23&gt;0,ROUND(E25-(E25*H23),0),0)</f>
        <v>0</v>
      </c>
    </row>
    <row r="26" spans="1:5" ht="15.75">
      <c r="A26" s="97" t="s">
        <v>6</v>
      </c>
      <c r="B26" s="98"/>
      <c r="C26" s="98"/>
      <c r="D26" s="122"/>
      <c r="E26" s="98"/>
    </row>
    <row r="27" spans="1:7" ht="15.75">
      <c r="A27" s="98"/>
      <c r="B27" s="123"/>
      <c r="C27" s="435"/>
      <c r="D27" s="120"/>
      <c r="E27" s="120"/>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4171</v>
      </c>
    </row>
    <row r="30" spans="1:5" ht="16.5" thickTop="1">
      <c r="A30" s="128" t="s">
        <v>7</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9940</v>
      </c>
      <c r="E33" s="122"/>
    </row>
    <row r="34" spans="1:5" ht="16.5" thickTop="1">
      <c r="A34" s="98" t="s">
        <v>278</v>
      </c>
      <c r="B34" s="98"/>
      <c r="C34" s="98"/>
      <c r="D34" s="98"/>
      <c r="E34" s="122"/>
    </row>
    <row r="35" spans="1:5" ht="15.75">
      <c r="A35" s="98">
        <v>1</v>
      </c>
      <c r="B35" s="131"/>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154</v>
      </c>
      <c r="B41" s="112"/>
      <c r="C41" s="98"/>
      <c r="D41" s="685" t="str">
        <f>CONCATENATE("",D11-3," Tax Rate         (",D11-2," Column)")</f>
        <v>2011 Tax Rate         (2012 Column)</v>
      </c>
      <c r="E41" s="122"/>
    </row>
    <row r="42" spans="1:5" ht="15.75">
      <c r="A42" s="113" t="str">
        <f>CONCATENATE("the ",D11-1," Budget, Budget Summary Page")</f>
        <v>the 2013 Budget, Budget Summary Page</v>
      </c>
      <c r="B42" s="114"/>
      <c r="C42" s="98"/>
      <c r="D42" s="686"/>
      <c r="E42" s="122"/>
    </row>
    <row r="43" spans="1:5" ht="15.75">
      <c r="A43" s="98"/>
      <c r="B43" s="132" t="str">
        <f>B24</f>
        <v>General</v>
      </c>
      <c r="C43" s="98"/>
      <c r="D43" s="133">
        <v>4.335</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8</v>
      </c>
      <c r="B47" s="125"/>
      <c r="C47" s="129"/>
      <c r="D47" s="134">
        <f>SUM(D43:D46)</f>
        <v>4.335</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v>4014</v>
      </c>
    </row>
    <row r="51" spans="1:5" ht="15.75">
      <c r="A51" s="136" t="str">
        <f>CONCATENATE("Assessed Valuation (",D11-2," budget column):")</f>
        <v>Assessed Valuation (2012 budget column):</v>
      </c>
      <c r="B51" s="112"/>
      <c r="C51" s="98"/>
      <c r="D51" s="98"/>
      <c r="E51" s="137">
        <v>926025</v>
      </c>
    </row>
    <row r="52" spans="1:5" ht="15.75">
      <c r="A52" s="98"/>
      <c r="B52" s="98"/>
      <c r="C52" s="98"/>
      <c r="D52" s="98"/>
      <c r="E52" s="122"/>
    </row>
    <row r="53" spans="1:5" ht="15.75">
      <c r="A53" s="112" t="s">
        <v>211</v>
      </c>
      <c r="B53" s="112"/>
      <c r="C53" s="138"/>
      <c r="D53" s="139">
        <f>D11-3</f>
        <v>2011</v>
      </c>
      <c r="E53" s="139">
        <f>D11-2</f>
        <v>2012</v>
      </c>
    </row>
    <row r="54" spans="1:5" ht="15.75">
      <c r="A54" s="140" t="s">
        <v>198</v>
      </c>
      <c r="B54" s="140"/>
      <c r="C54" s="141"/>
      <c r="D54" s="142"/>
      <c r="E54" s="142"/>
    </row>
    <row r="55" spans="1:5" ht="15.75">
      <c r="A55" s="143" t="s">
        <v>199</v>
      </c>
      <c r="B55" s="143"/>
      <c r="C55" s="144"/>
      <c r="D55" s="142"/>
      <c r="E55" s="142"/>
    </row>
    <row r="56" spans="1:5" ht="15.75">
      <c r="A56" s="143" t="s">
        <v>207</v>
      </c>
      <c r="B56" s="143"/>
      <c r="C56" s="144"/>
      <c r="D56" s="142"/>
      <c r="E56" s="142"/>
    </row>
    <row r="57" spans="1:5" ht="15.75">
      <c r="A57" s="143" t="s">
        <v>200</v>
      </c>
      <c r="B57" s="143"/>
      <c r="C57" s="144"/>
      <c r="D57" s="142"/>
      <c r="E57" s="142"/>
    </row>
    <row r="58" spans="1:5" ht="15.7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2012 'total expenditures' exceed your 2012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2014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2012 budget was amended, did you</v>
      </c>
    </row>
    <row r="26" ht="15">
      <c r="A26" s="398" t="s">
        <v>358</v>
      </c>
    </row>
    <row r="27" ht="15">
      <c r="A27" s="398"/>
    </row>
    <row r="28" ht="15">
      <c r="A28" s="398" t="str">
        <f>CONCATENATE("Next, look to see if any of your ",inputPrYr!D11-2," expenditures can be")</f>
        <v>Next, look to see if any of your 2012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2012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2012 financial records have been closed?</v>
      </c>
    </row>
    <row r="63" ht="15">
      <c r="A63" s="398" t="s">
        <v>384</v>
      </c>
    </row>
    <row r="64" ht="15">
      <c r="A64" s="398" t="str">
        <f>CONCATENATE("(i.e. an audit for ",inputPrYr!D11-2," has been completed, or the ",inputPrYr!D11)</f>
        <v>(i.e. an audit for 2012 has been completed, or the 2014</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2013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2014 'total expenditures' exceed your 2014</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84" t="s">
        <v>589</v>
      </c>
      <c r="C6" s="792"/>
      <c r="D6" s="792"/>
      <c r="E6" s="792"/>
      <c r="F6" s="792"/>
      <c r="G6" s="792"/>
      <c r="H6" s="792"/>
      <c r="I6" s="792"/>
      <c r="J6" s="792"/>
      <c r="K6" s="792"/>
      <c r="L6" s="449"/>
    </row>
    <row r="7" spans="1:12" ht="40.5" customHeight="1">
      <c r="A7" s="446"/>
      <c r="B7" s="804" t="s">
        <v>590</v>
      </c>
      <c r="C7" s="805"/>
      <c r="D7" s="805"/>
      <c r="E7" s="805"/>
      <c r="F7" s="805"/>
      <c r="G7" s="805"/>
      <c r="H7" s="805"/>
      <c r="I7" s="805"/>
      <c r="J7" s="805"/>
      <c r="K7" s="805"/>
      <c r="L7" s="446"/>
    </row>
    <row r="8" spans="1:12" ht="14.25">
      <c r="A8" s="446"/>
      <c r="B8" s="801" t="s">
        <v>591</v>
      </c>
      <c r="C8" s="801"/>
      <c r="D8" s="801"/>
      <c r="E8" s="801"/>
      <c r="F8" s="801"/>
      <c r="G8" s="801"/>
      <c r="H8" s="801"/>
      <c r="I8" s="801"/>
      <c r="J8" s="801"/>
      <c r="K8" s="801"/>
      <c r="L8" s="446"/>
    </row>
    <row r="9" spans="1:12" ht="14.25">
      <c r="A9" s="446"/>
      <c r="L9" s="446"/>
    </row>
    <row r="10" spans="1:12" ht="14.25">
      <c r="A10" s="446"/>
      <c r="B10" s="801" t="s">
        <v>592</v>
      </c>
      <c r="C10" s="801"/>
      <c r="D10" s="801"/>
      <c r="E10" s="801"/>
      <c r="F10" s="801"/>
      <c r="G10" s="801"/>
      <c r="H10" s="801"/>
      <c r="I10" s="801"/>
      <c r="J10" s="801"/>
      <c r="K10" s="801"/>
      <c r="L10" s="446"/>
    </row>
    <row r="11" spans="1:12" ht="14.25">
      <c r="A11" s="446"/>
      <c r="B11" s="588"/>
      <c r="C11" s="588"/>
      <c r="D11" s="588"/>
      <c r="E11" s="588"/>
      <c r="F11" s="588"/>
      <c r="G11" s="588"/>
      <c r="H11" s="588"/>
      <c r="I11" s="588"/>
      <c r="J11" s="588"/>
      <c r="K11" s="588"/>
      <c r="L11" s="446"/>
    </row>
    <row r="12" spans="1:12" ht="32.25" customHeight="1">
      <c r="A12" s="446"/>
      <c r="B12" s="785" t="s">
        <v>593</v>
      </c>
      <c r="C12" s="785"/>
      <c r="D12" s="785"/>
      <c r="E12" s="785"/>
      <c r="F12" s="785"/>
      <c r="G12" s="785"/>
      <c r="H12" s="785"/>
      <c r="I12" s="785"/>
      <c r="J12" s="785"/>
      <c r="K12" s="785"/>
      <c r="L12" s="446"/>
    </row>
    <row r="13" spans="1:12" ht="14.25">
      <c r="A13" s="446"/>
      <c r="L13" s="446"/>
    </row>
    <row r="14" spans="1:12" ht="14.25">
      <c r="A14" s="446"/>
      <c r="B14" s="450" t="s">
        <v>594</v>
      </c>
      <c r="L14" s="446"/>
    </row>
    <row r="15" spans="1:12" ht="14.25">
      <c r="A15" s="446"/>
      <c r="L15" s="446"/>
    </row>
    <row r="16" spans="1:12" ht="14.25">
      <c r="A16" s="446"/>
      <c r="B16" s="448" t="s">
        <v>595</v>
      </c>
      <c r="L16" s="446"/>
    </row>
    <row r="17" spans="1:12" ht="14.25">
      <c r="A17" s="446"/>
      <c r="B17" s="448" t="s">
        <v>596</v>
      </c>
      <c r="L17" s="446"/>
    </row>
    <row r="18" spans="1:12" ht="14.25">
      <c r="A18" s="446"/>
      <c r="L18" s="446"/>
    </row>
    <row r="19" spans="1:12" ht="14.25">
      <c r="A19" s="446"/>
      <c r="B19" s="450" t="s">
        <v>722</v>
      </c>
      <c r="L19" s="446"/>
    </row>
    <row r="20" spans="1:12" ht="14.25">
      <c r="A20" s="446"/>
      <c r="B20" s="450"/>
      <c r="L20" s="446"/>
    </row>
    <row r="21" spans="1:12" ht="14.25">
      <c r="A21" s="446"/>
      <c r="B21" s="448" t="s">
        <v>723</v>
      </c>
      <c r="L21" s="446"/>
    </row>
    <row r="22" spans="1:12" ht="14.25">
      <c r="A22" s="446"/>
      <c r="L22" s="446"/>
    </row>
    <row r="23" spans="1:12" ht="14.25">
      <c r="A23" s="446"/>
      <c r="B23" s="448" t="s">
        <v>597</v>
      </c>
      <c r="E23" s="448" t="s">
        <v>598</v>
      </c>
      <c r="F23" s="787">
        <v>312000000</v>
      </c>
      <c r="G23" s="787"/>
      <c r="L23" s="446"/>
    </row>
    <row r="24" spans="1:12" ht="14.25">
      <c r="A24" s="446"/>
      <c r="L24" s="446"/>
    </row>
    <row r="25" spans="1:12" ht="14.25">
      <c r="A25" s="446"/>
      <c r="C25" s="802">
        <f>F23</f>
        <v>312000000</v>
      </c>
      <c r="D25" s="802"/>
      <c r="E25" s="448" t="s">
        <v>599</v>
      </c>
      <c r="F25" s="451">
        <v>1000</v>
      </c>
      <c r="G25" s="451" t="s">
        <v>598</v>
      </c>
      <c r="H25" s="589">
        <f>F23/F25</f>
        <v>312000</v>
      </c>
      <c r="L25" s="446"/>
    </row>
    <row r="26" spans="1:12" ht="15" thickBot="1">
      <c r="A26" s="446"/>
      <c r="L26" s="446"/>
    </row>
    <row r="27" spans="1:12" ht="14.25">
      <c r="A27" s="446"/>
      <c r="B27" s="452" t="s">
        <v>594</v>
      </c>
      <c r="C27" s="453"/>
      <c r="D27" s="453"/>
      <c r="E27" s="453"/>
      <c r="F27" s="453"/>
      <c r="G27" s="453"/>
      <c r="H27" s="453"/>
      <c r="I27" s="453"/>
      <c r="J27" s="453"/>
      <c r="K27" s="454"/>
      <c r="L27" s="446"/>
    </row>
    <row r="28" spans="1:12" ht="14.25">
      <c r="A28" s="446"/>
      <c r="B28" s="455">
        <f>F23</f>
        <v>312000000</v>
      </c>
      <c r="C28" s="456" t="s">
        <v>600</v>
      </c>
      <c r="D28" s="456"/>
      <c r="E28" s="456" t="s">
        <v>599</v>
      </c>
      <c r="F28" s="584">
        <v>1000</v>
      </c>
      <c r="G28" s="584" t="s">
        <v>598</v>
      </c>
      <c r="H28" s="457">
        <f>B28/F28</f>
        <v>312000</v>
      </c>
      <c r="I28" s="456" t="s">
        <v>601</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9" t="s">
        <v>590</v>
      </c>
      <c r="C30" s="789"/>
      <c r="D30" s="789"/>
      <c r="E30" s="789"/>
      <c r="F30" s="789"/>
      <c r="G30" s="789"/>
      <c r="H30" s="789"/>
      <c r="I30" s="789"/>
      <c r="J30" s="789"/>
      <c r="K30" s="789"/>
      <c r="L30" s="446"/>
    </row>
    <row r="31" spans="1:12" ht="14.25">
      <c r="A31" s="446"/>
      <c r="B31" s="801" t="s">
        <v>602</v>
      </c>
      <c r="C31" s="801"/>
      <c r="D31" s="801"/>
      <c r="E31" s="801"/>
      <c r="F31" s="801"/>
      <c r="G31" s="801"/>
      <c r="H31" s="801"/>
      <c r="I31" s="801"/>
      <c r="J31" s="801"/>
      <c r="K31" s="801"/>
      <c r="L31" s="446"/>
    </row>
    <row r="32" spans="1:12" ht="14.25">
      <c r="A32" s="446"/>
      <c r="L32" s="446"/>
    </row>
    <row r="33" spans="1:12" ht="14.25">
      <c r="A33" s="446"/>
      <c r="B33" s="801" t="s">
        <v>603</v>
      </c>
      <c r="C33" s="801"/>
      <c r="D33" s="801"/>
      <c r="E33" s="801"/>
      <c r="F33" s="801"/>
      <c r="G33" s="801"/>
      <c r="H33" s="801"/>
      <c r="I33" s="801"/>
      <c r="J33" s="801"/>
      <c r="K33" s="801"/>
      <c r="L33" s="446"/>
    </row>
    <row r="34" spans="1:12" ht="14.25">
      <c r="A34" s="446"/>
      <c r="L34" s="446"/>
    </row>
    <row r="35" spans="1:12" ht="89.25" customHeight="1">
      <c r="A35" s="446"/>
      <c r="B35" s="785" t="s">
        <v>604</v>
      </c>
      <c r="C35" s="795"/>
      <c r="D35" s="795"/>
      <c r="E35" s="795"/>
      <c r="F35" s="795"/>
      <c r="G35" s="795"/>
      <c r="H35" s="795"/>
      <c r="I35" s="795"/>
      <c r="J35" s="795"/>
      <c r="K35" s="795"/>
      <c r="L35" s="446"/>
    </row>
    <row r="36" spans="1:12" ht="14.25">
      <c r="A36" s="446"/>
      <c r="L36" s="446"/>
    </row>
    <row r="37" spans="1:12" ht="14.25">
      <c r="A37" s="446"/>
      <c r="B37" s="450" t="s">
        <v>605</v>
      </c>
      <c r="L37" s="446"/>
    </row>
    <row r="38" spans="1:12" ht="14.25">
      <c r="A38" s="446"/>
      <c r="L38" s="446"/>
    </row>
    <row r="39" spans="1:12" ht="14.25">
      <c r="A39" s="446"/>
      <c r="B39" s="448" t="s">
        <v>606</v>
      </c>
      <c r="L39" s="446"/>
    </row>
    <row r="40" spans="1:12" ht="14.25">
      <c r="A40" s="446"/>
      <c r="L40" s="446"/>
    </row>
    <row r="41" spans="1:12" ht="14.25">
      <c r="A41" s="446"/>
      <c r="C41" s="803">
        <v>312000000</v>
      </c>
      <c r="D41" s="803"/>
      <c r="E41" s="448" t="s">
        <v>599</v>
      </c>
      <c r="F41" s="451">
        <v>1000</v>
      </c>
      <c r="G41" s="451" t="s">
        <v>598</v>
      </c>
      <c r="H41" s="462">
        <f>C41/F41</f>
        <v>312000</v>
      </c>
      <c r="L41" s="446"/>
    </row>
    <row r="42" spans="1:12" ht="14.25">
      <c r="A42" s="446"/>
      <c r="L42" s="446"/>
    </row>
    <row r="43" spans="1:12" ht="14.25">
      <c r="A43" s="446"/>
      <c r="B43" s="448" t="s">
        <v>607</v>
      </c>
      <c r="L43" s="446"/>
    </row>
    <row r="44" spans="1:12" ht="14.25">
      <c r="A44" s="446"/>
      <c r="L44" s="446"/>
    </row>
    <row r="45" spans="1:12" ht="14.25">
      <c r="A45" s="446"/>
      <c r="B45" s="448" t="s">
        <v>608</v>
      </c>
      <c r="L45" s="446"/>
    </row>
    <row r="46" spans="1:12" ht="15" thickBot="1">
      <c r="A46" s="446"/>
      <c r="L46" s="446"/>
    </row>
    <row r="47" spans="1:12" ht="14.25">
      <c r="A47" s="446"/>
      <c r="B47" s="463" t="s">
        <v>594</v>
      </c>
      <c r="C47" s="453"/>
      <c r="D47" s="453"/>
      <c r="E47" s="453"/>
      <c r="F47" s="453"/>
      <c r="G47" s="453"/>
      <c r="H47" s="453"/>
      <c r="I47" s="453"/>
      <c r="J47" s="453"/>
      <c r="K47" s="454"/>
      <c r="L47" s="446"/>
    </row>
    <row r="48" spans="1:12" ht="14.25">
      <c r="A48" s="446"/>
      <c r="B48" s="796">
        <v>312000000</v>
      </c>
      <c r="C48" s="787"/>
      <c r="D48" s="456" t="s">
        <v>609</v>
      </c>
      <c r="E48" s="456" t="s">
        <v>599</v>
      </c>
      <c r="F48" s="584">
        <v>1000</v>
      </c>
      <c r="G48" s="584" t="s">
        <v>598</v>
      </c>
      <c r="H48" s="457">
        <f>B48/F48</f>
        <v>312000</v>
      </c>
      <c r="I48" s="456" t="s">
        <v>610</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611</v>
      </c>
      <c r="D50" s="456"/>
      <c r="E50" s="456" t="s">
        <v>599</v>
      </c>
      <c r="F50" s="457">
        <f>H48</f>
        <v>312000</v>
      </c>
      <c r="G50" s="797" t="s">
        <v>612</v>
      </c>
      <c r="H50" s="798"/>
      <c r="I50" s="584" t="s">
        <v>598</v>
      </c>
      <c r="J50" s="466">
        <f>B50/F50</f>
        <v>0.16025641025641027</v>
      </c>
      <c r="K50" s="458"/>
      <c r="L50" s="446"/>
    </row>
    <row r="51" spans="1:15" ht="15" thickBot="1">
      <c r="A51" s="446"/>
      <c r="B51" s="459"/>
      <c r="C51" s="460"/>
      <c r="D51" s="460"/>
      <c r="E51" s="460"/>
      <c r="F51" s="460"/>
      <c r="G51" s="460"/>
      <c r="H51" s="460"/>
      <c r="I51" s="799" t="s">
        <v>613</v>
      </c>
      <c r="J51" s="799"/>
      <c r="K51" s="800"/>
      <c r="L51" s="446"/>
      <c r="O51" s="467"/>
    </row>
    <row r="52" spans="1:12" ht="40.5" customHeight="1">
      <c r="A52" s="446"/>
      <c r="B52" s="789" t="s">
        <v>590</v>
      </c>
      <c r="C52" s="789"/>
      <c r="D52" s="789"/>
      <c r="E52" s="789"/>
      <c r="F52" s="789"/>
      <c r="G52" s="789"/>
      <c r="H52" s="789"/>
      <c r="I52" s="789"/>
      <c r="J52" s="789"/>
      <c r="K52" s="789"/>
      <c r="L52" s="446"/>
    </row>
    <row r="53" spans="1:12" ht="14.25">
      <c r="A53" s="446"/>
      <c r="B53" s="801" t="s">
        <v>614</v>
      </c>
      <c r="C53" s="801"/>
      <c r="D53" s="801"/>
      <c r="E53" s="801"/>
      <c r="F53" s="801"/>
      <c r="G53" s="801"/>
      <c r="H53" s="801"/>
      <c r="I53" s="801"/>
      <c r="J53" s="801"/>
      <c r="K53" s="801"/>
      <c r="L53" s="446"/>
    </row>
    <row r="54" spans="1:12" ht="14.25">
      <c r="A54" s="446"/>
      <c r="B54" s="588"/>
      <c r="C54" s="588"/>
      <c r="D54" s="588"/>
      <c r="E54" s="588"/>
      <c r="F54" s="588"/>
      <c r="G54" s="588"/>
      <c r="H54" s="588"/>
      <c r="I54" s="588"/>
      <c r="J54" s="588"/>
      <c r="K54" s="588"/>
      <c r="L54" s="446"/>
    </row>
    <row r="55" spans="1:12" ht="14.25">
      <c r="A55" s="446"/>
      <c r="B55" s="784" t="s">
        <v>615</v>
      </c>
      <c r="C55" s="784"/>
      <c r="D55" s="784"/>
      <c r="E55" s="784"/>
      <c r="F55" s="784"/>
      <c r="G55" s="784"/>
      <c r="H55" s="784"/>
      <c r="I55" s="784"/>
      <c r="J55" s="784"/>
      <c r="K55" s="784"/>
      <c r="L55" s="446"/>
    </row>
    <row r="56" spans="1:12" ht="15" customHeight="1">
      <c r="A56" s="446"/>
      <c r="L56" s="446"/>
    </row>
    <row r="57" spans="1:24" ht="74.25" customHeight="1">
      <c r="A57" s="446"/>
      <c r="B57" s="785" t="s">
        <v>616</v>
      </c>
      <c r="C57" s="795"/>
      <c r="D57" s="795"/>
      <c r="E57" s="795"/>
      <c r="F57" s="795"/>
      <c r="G57" s="795"/>
      <c r="H57" s="795"/>
      <c r="I57" s="795"/>
      <c r="J57" s="795"/>
      <c r="K57" s="795"/>
      <c r="L57" s="446"/>
      <c r="M57" s="468"/>
      <c r="N57" s="469"/>
      <c r="O57" s="469"/>
      <c r="P57" s="469"/>
      <c r="Q57" s="469"/>
      <c r="R57" s="469"/>
      <c r="S57" s="469"/>
      <c r="T57" s="469"/>
      <c r="U57" s="469"/>
      <c r="V57" s="469"/>
      <c r="W57" s="469"/>
      <c r="X57" s="469"/>
    </row>
    <row r="58" spans="1:24" ht="15" customHeight="1">
      <c r="A58" s="446"/>
      <c r="B58" s="785"/>
      <c r="C58" s="795"/>
      <c r="D58" s="795"/>
      <c r="E58" s="795"/>
      <c r="F58" s="795"/>
      <c r="G58" s="795"/>
      <c r="H58" s="795"/>
      <c r="I58" s="795"/>
      <c r="J58" s="795"/>
      <c r="K58" s="795"/>
      <c r="L58" s="446"/>
      <c r="M58" s="468"/>
      <c r="N58" s="469"/>
      <c r="O58" s="469"/>
      <c r="P58" s="469"/>
      <c r="Q58" s="469"/>
      <c r="R58" s="469"/>
      <c r="S58" s="469"/>
      <c r="T58" s="469"/>
      <c r="U58" s="469"/>
      <c r="V58" s="469"/>
      <c r="W58" s="469"/>
      <c r="X58" s="469"/>
    </row>
    <row r="59" spans="1:24" ht="14.25">
      <c r="A59" s="446"/>
      <c r="B59" s="450" t="s">
        <v>605</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617</v>
      </c>
      <c r="L61" s="446"/>
      <c r="M61" s="469"/>
      <c r="N61" s="469"/>
      <c r="O61" s="469"/>
      <c r="P61" s="469"/>
      <c r="Q61" s="469"/>
      <c r="R61" s="469"/>
      <c r="S61" s="469"/>
      <c r="T61" s="469"/>
      <c r="U61" s="469"/>
      <c r="V61" s="469"/>
      <c r="W61" s="469"/>
      <c r="X61" s="469"/>
    </row>
    <row r="62" spans="1:24" ht="14.25">
      <c r="A62" s="446"/>
      <c r="B62" s="448" t="s">
        <v>724</v>
      </c>
      <c r="L62" s="446"/>
      <c r="M62" s="469"/>
      <c r="N62" s="469"/>
      <c r="O62" s="469"/>
      <c r="P62" s="469"/>
      <c r="Q62" s="469"/>
      <c r="R62" s="469"/>
      <c r="S62" s="469"/>
      <c r="T62" s="469"/>
      <c r="U62" s="469"/>
      <c r="V62" s="469"/>
      <c r="W62" s="469"/>
      <c r="X62" s="469"/>
    </row>
    <row r="63" spans="1:24" ht="14.25">
      <c r="A63" s="446"/>
      <c r="B63" s="448" t="s">
        <v>725</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618</v>
      </c>
      <c r="L65" s="446"/>
      <c r="M65" s="469"/>
      <c r="N65" s="469"/>
      <c r="O65" s="469"/>
      <c r="P65" s="469"/>
      <c r="Q65" s="469"/>
      <c r="R65" s="469"/>
      <c r="S65" s="469"/>
      <c r="T65" s="469"/>
      <c r="U65" s="469"/>
      <c r="V65" s="469"/>
      <c r="W65" s="469"/>
      <c r="X65" s="469"/>
    </row>
    <row r="66" spans="1:24" ht="14.25">
      <c r="A66" s="446"/>
      <c r="B66" s="448" t="s">
        <v>619</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620</v>
      </c>
      <c r="L68" s="446"/>
      <c r="M68" s="470"/>
      <c r="N68" s="471"/>
      <c r="O68" s="471"/>
      <c r="P68" s="471"/>
      <c r="Q68" s="471"/>
      <c r="R68" s="471"/>
      <c r="S68" s="471"/>
      <c r="T68" s="471"/>
      <c r="U68" s="471"/>
      <c r="V68" s="471"/>
      <c r="W68" s="471"/>
      <c r="X68" s="469"/>
    </row>
    <row r="69" spans="1:24" ht="14.25">
      <c r="A69" s="446"/>
      <c r="B69" s="448" t="s">
        <v>726</v>
      </c>
      <c r="L69" s="446"/>
      <c r="M69" s="469"/>
      <c r="N69" s="469"/>
      <c r="O69" s="469"/>
      <c r="P69" s="469"/>
      <c r="Q69" s="469"/>
      <c r="R69" s="469"/>
      <c r="S69" s="469"/>
      <c r="T69" s="469"/>
      <c r="U69" s="469"/>
      <c r="V69" s="469"/>
      <c r="W69" s="469"/>
      <c r="X69" s="469"/>
    </row>
    <row r="70" spans="1:24" ht="14.25">
      <c r="A70" s="446"/>
      <c r="B70" s="448" t="s">
        <v>727</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594</v>
      </c>
      <c r="C72" s="453"/>
      <c r="D72" s="453"/>
      <c r="E72" s="453"/>
      <c r="F72" s="453"/>
      <c r="G72" s="453"/>
      <c r="H72" s="453"/>
      <c r="I72" s="453"/>
      <c r="J72" s="453"/>
      <c r="K72" s="454"/>
      <c r="L72" s="472"/>
    </row>
    <row r="73" spans="1:12" ht="14.25">
      <c r="A73" s="446"/>
      <c r="B73" s="464"/>
      <c r="C73" s="456" t="s">
        <v>600</v>
      </c>
      <c r="D73" s="456"/>
      <c r="E73" s="456"/>
      <c r="F73" s="456"/>
      <c r="G73" s="456"/>
      <c r="H73" s="456"/>
      <c r="I73" s="456"/>
      <c r="J73" s="456"/>
      <c r="K73" s="458"/>
      <c r="L73" s="472"/>
    </row>
    <row r="74" spans="1:12" ht="14.25">
      <c r="A74" s="446"/>
      <c r="B74" s="464" t="s">
        <v>621</v>
      </c>
      <c r="C74" s="787">
        <v>312000000</v>
      </c>
      <c r="D74" s="787"/>
      <c r="E74" s="584" t="s">
        <v>599</v>
      </c>
      <c r="F74" s="584">
        <v>1000</v>
      </c>
      <c r="G74" s="584" t="s">
        <v>598</v>
      </c>
      <c r="H74" s="581">
        <f>C74/F74</f>
        <v>312000</v>
      </c>
      <c r="I74" s="456" t="s">
        <v>622</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623</v>
      </c>
      <c r="D76" s="456"/>
      <c r="E76" s="584"/>
      <c r="F76" s="456" t="s">
        <v>622</v>
      </c>
      <c r="G76" s="456"/>
      <c r="H76" s="456"/>
      <c r="I76" s="456"/>
      <c r="J76" s="456"/>
      <c r="K76" s="458"/>
      <c r="L76" s="472"/>
    </row>
    <row r="77" spans="1:12" ht="14.25">
      <c r="A77" s="446"/>
      <c r="B77" s="464" t="s">
        <v>624</v>
      </c>
      <c r="C77" s="787">
        <v>50000</v>
      </c>
      <c r="D77" s="787"/>
      <c r="E77" s="584" t="s">
        <v>599</v>
      </c>
      <c r="F77" s="581">
        <f>H74</f>
        <v>312000</v>
      </c>
      <c r="G77" s="584" t="s">
        <v>598</v>
      </c>
      <c r="H77" s="466">
        <f>C77/F77</f>
        <v>0.16025641025641027</v>
      </c>
      <c r="I77" s="456" t="s">
        <v>625</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626</v>
      </c>
      <c r="D79" s="474"/>
      <c r="E79" s="580"/>
      <c r="F79" s="474"/>
      <c r="G79" s="474"/>
      <c r="H79" s="474"/>
      <c r="I79" s="474"/>
      <c r="J79" s="474"/>
      <c r="K79" s="475"/>
      <c r="L79" s="472"/>
    </row>
    <row r="80" spans="1:12" ht="14.25">
      <c r="A80" s="446"/>
      <c r="B80" s="464" t="s">
        <v>627</v>
      </c>
      <c r="C80" s="787">
        <v>100000</v>
      </c>
      <c r="D80" s="787"/>
      <c r="E80" s="584" t="s">
        <v>21</v>
      </c>
      <c r="F80" s="584">
        <v>0.115</v>
      </c>
      <c r="G80" s="584" t="s">
        <v>598</v>
      </c>
      <c r="H80" s="581">
        <f>C80*F80</f>
        <v>11500</v>
      </c>
      <c r="I80" s="456" t="s">
        <v>628</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629</v>
      </c>
      <c r="D82" s="474"/>
      <c r="E82" s="580"/>
      <c r="F82" s="474" t="s">
        <v>625</v>
      </c>
      <c r="G82" s="474"/>
      <c r="H82" s="474"/>
      <c r="I82" s="474"/>
      <c r="J82" s="474" t="s">
        <v>630</v>
      </c>
      <c r="K82" s="475"/>
      <c r="L82" s="472"/>
    </row>
    <row r="83" spans="1:12" ht="14.25">
      <c r="A83" s="446"/>
      <c r="B83" s="464" t="s">
        <v>631</v>
      </c>
      <c r="C83" s="788">
        <f>H80</f>
        <v>11500</v>
      </c>
      <c r="D83" s="788"/>
      <c r="E83" s="584" t="s">
        <v>21</v>
      </c>
      <c r="F83" s="466">
        <f>H77</f>
        <v>0.16025641025641027</v>
      </c>
      <c r="G83" s="584" t="s">
        <v>599</v>
      </c>
      <c r="H83" s="584">
        <v>1000</v>
      </c>
      <c r="I83" s="584" t="s">
        <v>598</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9" t="s">
        <v>590</v>
      </c>
      <c r="C85" s="789"/>
      <c r="D85" s="789"/>
      <c r="E85" s="789"/>
      <c r="F85" s="789"/>
      <c r="G85" s="789"/>
      <c r="H85" s="789"/>
      <c r="I85" s="789"/>
      <c r="J85" s="789"/>
      <c r="K85" s="789"/>
      <c r="L85" s="446"/>
    </row>
    <row r="86" spans="1:12" ht="14.25">
      <c r="A86" s="446"/>
      <c r="B86" s="784" t="s">
        <v>632</v>
      </c>
      <c r="C86" s="784"/>
      <c r="D86" s="784"/>
      <c r="E86" s="784"/>
      <c r="F86" s="784"/>
      <c r="G86" s="784"/>
      <c r="H86" s="784"/>
      <c r="I86" s="784"/>
      <c r="J86" s="784"/>
      <c r="K86" s="784"/>
      <c r="L86" s="446"/>
    </row>
    <row r="87" spans="1:12" ht="14.25">
      <c r="A87" s="446"/>
      <c r="B87" s="480"/>
      <c r="C87" s="480"/>
      <c r="D87" s="480"/>
      <c r="E87" s="480"/>
      <c r="F87" s="480"/>
      <c r="G87" s="480"/>
      <c r="H87" s="480"/>
      <c r="I87" s="480"/>
      <c r="J87" s="480"/>
      <c r="K87" s="480"/>
      <c r="L87" s="446"/>
    </row>
    <row r="88" spans="1:12" ht="14.25">
      <c r="A88" s="446"/>
      <c r="B88" s="784" t="s">
        <v>633</v>
      </c>
      <c r="C88" s="784"/>
      <c r="D88" s="784"/>
      <c r="E88" s="784"/>
      <c r="F88" s="784"/>
      <c r="G88" s="784"/>
      <c r="H88" s="784"/>
      <c r="I88" s="784"/>
      <c r="J88" s="784"/>
      <c r="K88" s="784"/>
      <c r="L88" s="446"/>
    </row>
    <row r="89" spans="1:12" ht="14.25">
      <c r="A89" s="446"/>
      <c r="B89" s="583"/>
      <c r="C89" s="583"/>
      <c r="D89" s="583"/>
      <c r="E89" s="583"/>
      <c r="F89" s="583"/>
      <c r="G89" s="583"/>
      <c r="H89" s="583"/>
      <c r="I89" s="583"/>
      <c r="J89" s="583"/>
      <c r="K89" s="583"/>
      <c r="L89" s="446"/>
    </row>
    <row r="90" spans="1:12" ht="45" customHeight="1">
      <c r="A90" s="446"/>
      <c r="B90" s="785" t="s">
        <v>634</v>
      </c>
      <c r="C90" s="785"/>
      <c r="D90" s="785"/>
      <c r="E90" s="785"/>
      <c r="F90" s="785"/>
      <c r="G90" s="785"/>
      <c r="H90" s="785"/>
      <c r="I90" s="785"/>
      <c r="J90" s="785"/>
      <c r="K90" s="785"/>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7">
        <v>312000000</v>
      </c>
      <c r="D94" s="787"/>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7">
        <v>50000</v>
      </c>
      <c r="D97" s="787"/>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7">
        <v>2500000</v>
      </c>
      <c r="D100" s="787"/>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88">
        <f>H100</f>
        <v>750000</v>
      </c>
      <c r="D103" s="788"/>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9" t="s">
        <v>590</v>
      </c>
      <c r="C105" s="790"/>
      <c r="D105" s="790"/>
      <c r="E105" s="790"/>
      <c r="F105" s="790"/>
      <c r="G105" s="790"/>
      <c r="H105" s="790"/>
      <c r="I105" s="790"/>
      <c r="J105" s="790"/>
      <c r="K105" s="790"/>
      <c r="L105" s="446"/>
    </row>
    <row r="106" spans="1:12" ht="15" customHeight="1">
      <c r="A106" s="446"/>
      <c r="B106" s="791" t="s">
        <v>636</v>
      </c>
      <c r="C106" s="792"/>
      <c r="D106" s="792"/>
      <c r="E106" s="792"/>
      <c r="F106" s="792"/>
      <c r="G106" s="792"/>
      <c r="H106" s="792"/>
      <c r="I106" s="792"/>
      <c r="J106" s="792"/>
      <c r="K106" s="792"/>
      <c r="L106" s="446"/>
    </row>
    <row r="107" spans="1:12" ht="15" customHeight="1">
      <c r="A107" s="446"/>
      <c r="B107" s="586"/>
      <c r="C107" s="491"/>
      <c r="D107" s="491"/>
      <c r="E107" s="584"/>
      <c r="F107" s="466"/>
      <c r="G107" s="584"/>
      <c r="H107" s="584"/>
      <c r="I107" s="584"/>
      <c r="J107" s="582"/>
      <c r="K107" s="586"/>
      <c r="L107" s="446"/>
    </row>
    <row r="108" spans="1:12" ht="15" customHeight="1">
      <c r="A108" s="446"/>
      <c r="B108" s="791" t="s">
        <v>637</v>
      </c>
      <c r="C108" s="793"/>
      <c r="D108" s="793"/>
      <c r="E108" s="793"/>
      <c r="F108" s="793"/>
      <c r="G108" s="793"/>
      <c r="H108" s="793"/>
      <c r="I108" s="793"/>
      <c r="J108" s="793"/>
      <c r="K108" s="793"/>
      <c r="L108" s="446"/>
    </row>
    <row r="109" spans="1:12" ht="15" customHeight="1">
      <c r="A109" s="446"/>
      <c r="B109" s="586"/>
      <c r="C109" s="491"/>
      <c r="D109" s="491"/>
      <c r="E109" s="584"/>
      <c r="F109" s="466"/>
      <c r="G109" s="584"/>
      <c r="H109" s="584"/>
      <c r="I109" s="584"/>
      <c r="J109" s="582"/>
      <c r="K109" s="586"/>
      <c r="L109" s="446"/>
    </row>
    <row r="110" spans="1:12" ht="59.25" customHeight="1">
      <c r="A110" s="446"/>
      <c r="B110" s="794" t="s">
        <v>638</v>
      </c>
      <c r="C110" s="795"/>
      <c r="D110" s="795"/>
      <c r="E110" s="795"/>
      <c r="F110" s="795"/>
      <c r="G110" s="795"/>
      <c r="H110" s="795"/>
      <c r="I110" s="795"/>
      <c r="J110" s="795"/>
      <c r="K110" s="795"/>
      <c r="L110" s="446"/>
    </row>
    <row r="111" spans="1:12" ht="15" thickBot="1">
      <c r="A111" s="446"/>
      <c r="B111" s="588"/>
      <c r="C111" s="588"/>
      <c r="D111" s="588"/>
      <c r="E111" s="588"/>
      <c r="F111" s="588"/>
      <c r="G111" s="588"/>
      <c r="H111" s="588"/>
      <c r="I111" s="588"/>
      <c r="J111" s="588"/>
      <c r="K111" s="588"/>
      <c r="L111" s="492"/>
    </row>
    <row r="112" spans="1:12" ht="14.25">
      <c r="A112" s="446"/>
      <c r="B112" s="452" t="s">
        <v>594</v>
      </c>
      <c r="C112" s="453"/>
      <c r="D112" s="453"/>
      <c r="E112" s="453"/>
      <c r="F112" s="453"/>
      <c r="G112" s="453"/>
      <c r="H112" s="453"/>
      <c r="I112" s="453"/>
      <c r="J112" s="453"/>
      <c r="K112" s="454"/>
      <c r="L112" s="446"/>
    </row>
    <row r="113" spans="1:12" ht="14.25">
      <c r="A113" s="446"/>
      <c r="B113" s="464"/>
      <c r="C113" s="456" t="s">
        <v>600</v>
      </c>
      <c r="D113" s="456"/>
      <c r="E113" s="456"/>
      <c r="F113" s="456"/>
      <c r="G113" s="456"/>
      <c r="H113" s="456"/>
      <c r="I113" s="456"/>
      <c r="J113" s="456"/>
      <c r="K113" s="458"/>
      <c r="L113" s="446"/>
    </row>
    <row r="114" spans="1:12" ht="14.25">
      <c r="A114" s="446"/>
      <c r="B114" s="464" t="s">
        <v>621</v>
      </c>
      <c r="C114" s="787">
        <v>312000000</v>
      </c>
      <c r="D114" s="787"/>
      <c r="E114" s="584" t="s">
        <v>599</v>
      </c>
      <c r="F114" s="584">
        <v>1000</v>
      </c>
      <c r="G114" s="584" t="s">
        <v>598</v>
      </c>
      <c r="H114" s="581">
        <f>C114/F114</f>
        <v>312000</v>
      </c>
      <c r="I114" s="456" t="s">
        <v>622</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623</v>
      </c>
      <c r="D116" s="456"/>
      <c r="E116" s="584"/>
      <c r="F116" s="456" t="s">
        <v>622</v>
      </c>
      <c r="G116" s="456"/>
      <c r="H116" s="456"/>
      <c r="I116" s="456"/>
      <c r="J116" s="456"/>
      <c r="K116" s="458"/>
      <c r="L116" s="446"/>
    </row>
    <row r="117" spans="1:12" ht="14.25">
      <c r="A117" s="446"/>
      <c r="B117" s="464" t="s">
        <v>624</v>
      </c>
      <c r="C117" s="787">
        <v>50000</v>
      </c>
      <c r="D117" s="787"/>
      <c r="E117" s="584" t="s">
        <v>599</v>
      </c>
      <c r="F117" s="581">
        <f>H114</f>
        <v>312000</v>
      </c>
      <c r="G117" s="584" t="s">
        <v>598</v>
      </c>
      <c r="H117" s="466">
        <f>C117/F117</f>
        <v>0.16025641025641027</v>
      </c>
      <c r="I117" s="456" t="s">
        <v>625</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635</v>
      </c>
      <c r="D119" s="474"/>
      <c r="E119" s="580"/>
      <c r="F119" s="474"/>
      <c r="G119" s="474"/>
      <c r="H119" s="474"/>
      <c r="I119" s="474"/>
      <c r="J119" s="474"/>
      <c r="K119" s="475"/>
      <c r="L119" s="446"/>
    </row>
    <row r="120" spans="1:12" ht="14.25">
      <c r="A120" s="446"/>
      <c r="B120" s="464" t="s">
        <v>627</v>
      </c>
      <c r="C120" s="787">
        <v>2500000</v>
      </c>
      <c r="D120" s="787"/>
      <c r="E120" s="584" t="s">
        <v>21</v>
      </c>
      <c r="F120" s="489">
        <v>0.25</v>
      </c>
      <c r="G120" s="584" t="s">
        <v>598</v>
      </c>
      <c r="H120" s="581">
        <f>C120*F120</f>
        <v>625000</v>
      </c>
      <c r="I120" s="456" t="s">
        <v>628</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629</v>
      </c>
      <c r="D122" s="474"/>
      <c r="E122" s="580"/>
      <c r="F122" s="474" t="s">
        <v>625</v>
      </c>
      <c r="G122" s="474"/>
      <c r="H122" s="474"/>
      <c r="I122" s="474"/>
      <c r="J122" s="474" t="s">
        <v>630</v>
      </c>
      <c r="K122" s="475"/>
      <c r="L122" s="446"/>
    </row>
    <row r="123" spans="1:12" ht="14.25">
      <c r="A123" s="446"/>
      <c r="B123" s="464" t="s">
        <v>631</v>
      </c>
      <c r="C123" s="788">
        <f>H120</f>
        <v>625000</v>
      </c>
      <c r="D123" s="788"/>
      <c r="E123" s="584" t="s">
        <v>21</v>
      </c>
      <c r="F123" s="466">
        <f>H117</f>
        <v>0.16025641025641027</v>
      </c>
      <c r="G123" s="584" t="s">
        <v>599</v>
      </c>
      <c r="H123" s="584">
        <v>1000</v>
      </c>
      <c r="I123" s="584" t="s">
        <v>598</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9" t="s">
        <v>590</v>
      </c>
      <c r="C125" s="789"/>
      <c r="D125" s="789"/>
      <c r="E125" s="789"/>
      <c r="F125" s="789"/>
      <c r="G125" s="789"/>
      <c r="H125" s="789"/>
      <c r="I125" s="789"/>
      <c r="J125" s="789"/>
      <c r="K125" s="789"/>
      <c r="L125" s="492"/>
    </row>
    <row r="126" spans="1:12" ht="14.25">
      <c r="A126" s="446"/>
      <c r="B126" s="784" t="s">
        <v>639</v>
      </c>
      <c r="C126" s="784"/>
      <c r="D126" s="784"/>
      <c r="E126" s="784"/>
      <c r="F126" s="784"/>
      <c r="G126" s="784"/>
      <c r="H126" s="784"/>
      <c r="I126" s="784"/>
      <c r="J126" s="784"/>
      <c r="K126" s="784"/>
      <c r="L126" s="492"/>
    </row>
    <row r="127" spans="1:12" ht="14.25">
      <c r="A127" s="446"/>
      <c r="B127" s="588"/>
      <c r="C127" s="588"/>
      <c r="D127" s="588"/>
      <c r="E127" s="588"/>
      <c r="F127" s="588"/>
      <c r="G127" s="588"/>
      <c r="H127" s="588"/>
      <c r="I127" s="588"/>
      <c r="J127" s="588"/>
      <c r="K127" s="588"/>
      <c r="L127" s="492"/>
    </row>
    <row r="128" spans="1:12" ht="14.25">
      <c r="A128" s="446"/>
      <c r="B128" s="784" t="s">
        <v>640</v>
      </c>
      <c r="C128" s="784"/>
      <c r="D128" s="784"/>
      <c r="E128" s="784"/>
      <c r="F128" s="784"/>
      <c r="G128" s="784"/>
      <c r="H128" s="784"/>
      <c r="I128" s="784"/>
      <c r="J128" s="784"/>
      <c r="K128" s="784"/>
      <c r="L128" s="492"/>
    </row>
    <row r="129" spans="1:12" ht="14.25">
      <c r="A129" s="446"/>
      <c r="B129" s="583"/>
      <c r="C129" s="583"/>
      <c r="D129" s="583"/>
      <c r="E129" s="583"/>
      <c r="F129" s="583"/>
      <c r="G129" s="583"/>
      <c r="H129" s="583"/>
      <c r="I129" s="583"/>
      <c r="J129" s="583"/>
      <c r="K129" s="583"/>
      <c r="L129" s="492"/>
    </row>
    <row r="130" spans="1:12" ht="74.25" customHeight="1">
      <c r="A130" s="446"/>
      <c r="B130" s="785" t="s">
        <v>641</v>
      </c>
      <c r="C130" s="785"/>
      <c r="D130" s="785"/>
      <c r="E130" s="785"/>
      <c r="F130" s="785"/>
      <c r="G130" s="785"/>
      <c r="H130" s="785"/>
      <c r="I130" s="785"/>
      <c r="J130" s="785"/>
      <c r="K130" s="785"/>
      <c r="L130" s="492"/>
    </row>
    <row r="131" spans="1:12" ht="15" thickBot="1">
      <c r="A131" s="446"/>
      <c r="L131" s="446"/>
    </row>
    <row r="132" spans="1:12" ht="14.25">
      <c r="A132" s="446"/>
      <c r="B132" s="452" t="s">
        <v>594</v>
      </c>
      <c r="C132" s="453"/>
      <c r="D132" s="453"/>
      <c r="E132" s="453"/>
      <c r="F132" s="453"/>
      <c r="G132" s="453"/>
      <c r="H132" s="453"/>
      <c r="I132" s="453"/>
      <c r="J132" s="453"/>
      <c r="K132" s="454"/>
      <c r="L132" s="446"/>
    </row>
    <row r="133" spans="1:12" ht="14.25">
      <c r="A133" s="446"/>
      <c r="B133" s="464"/>
      <c r="C133" s="786" t="s">
        <v>642</v>
      </c>
      <c r="D133" s="786"/>
      <c r="E133" s="456"/>
      <c r="F133" s="584" t="s">
        <v>643</v>
      </c>
      <c r="G133" s="456"/>
      <c r="H133" s="786" t="s">
        <v>628</v>
      </c>
      <c r="I133" s="786"/>
      <c r="J133" s="456"/>
      <c r="K133" s="458"/>
      <c r="L133" s="446"/>
    </row>
    <row r="134" spans="1:12" ht="14.25">
      <c r="A134" s="446"/>
      <c r="B134" s="464" t="s">
        <v>621</v>
      </c>
      <c r="C134" s="787">
        <v>100000</v>
      </c>
      <c r="D134" s="787"/>
      <c r="E134" s="584" t="s">
        <v>21</v>
      </c>
      <c r="F134" s="584">
        <v>0.115</v>
      </c>
      <c r="G134" s="584" t="s">
        <v>598</v>
      </c>
      <c r="H134" s="776">
        <f>C134*F134</f>
        <v>11500</v>
      </c>
      <c r="I134" s="776"/>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75" t="s">
        <v>628</v>
      </c>
      <c r="D136" s="775"/>
      <c r="E136" s="474"/>
      <c r="F136" s="580" t="s">
        <v>644</v>
      </c>
      <c r="G136" s="580"/>
      <c r="H136" s="474"/>
      <c r="I136" s="474"/>
      <c r="J136" s="474" t="s">
        <v>645</v>
      </c>
      <c r="K136" s="475"/>
      <c r="L136" s="446"/>
    </row>
    <row r="137" spans="1:12" ht="14.25">
      <c r="A137" s="446"/>
      <c r="B137" s="464" t="s">
        <v>624</v>
      </c>
      <c r="C137" s="776">
        <f>H134</f>
        <v>11500</v>
      </c>
      <c r="D137" s="776"/>
      <c r="E137" s="584" t="s">
        <v>21</v>
      </c>
      <c r="F137" s="493">
        <v>52.869</v>
      </c>
      <c r="G137" s="584" t="s">
        <v>599</v>
      </c>
      <c r="H137" s="584">
        <v>1000</v>
      </c>
      <c r="I137" s="584" t="s">
        <v>598</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4.25">
      <c r="A140" s="446"/>
      <c r="B140" s="504" t="s">
        <v>646</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647</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77" t="s">
        <v>648</v>
      </c>
      <c r="C144" s="778"/>
      <c r="D144" s="778"/>
      <c r="E144" s="778"/>
      <c r="F144" s="778"/>
      <c r="G144" s="778"/>
      <c r="H144" s="778"/>
      <c r="I144" s="778"/>
      <c r="J144" s="778"/>
      <c r="K144" s="779"/>
      <c r="L144" s="446"/>
    </row>
    <row r="145" spans="1:12" ht="15" thickBot="1">
      <c r="A145" s="446"/>
      <c r="B145" s="464"/>
      <c r="C145" s="581"/>
      <c r="D145" s="581"/>
      <c r="E145" s="584"/>
      <c r="F145" s="510"/>
      <c r="G145" s="584"/>
      <c r="H145" s="584"/>
      <c r="I145" s="584"/>
      <c r="J145" s="494"/>
      <c r="K145" s="458"/>
      <c r="L145" s="446"/>
    </row>
    <row r="146" spans="1:12" ht="14.25">
      <c r="A146" s="446"/>
      <c r="B146" s="452" t="s">
        <v>594</v>
      </c>
      <c r="C146" s="511"/>
      <c r="D146" s="511"/>
      <c r="E146" s="512"/>
      <c r="F146" s="513"/>
      <c r="G146" s="512"/>
      <c r="H146" s="512"/>
      <c r="I146" s="512"/>
      <c r="J146" s="514"/>
      <c r="K146" s="454"/>
      <c r="L146" s="446"/>
    </row>
    <row r="147" spans="1:12" ht="14.25">
      <c r="A147" s="446"/>
      <c r="B147" s="464"/>
      <c r="C147" s="776" t="s">
        <v>649</v>
      </c>
      <c r="D147" s="776"/>
      <c r="E147" s="584"/>
      <c r="F147" s="510" t="s">
        <v>650</v>
      </c>
      <c r="G147" s="584"/>
      <c r="H147" s="584"/>
      <c r="I147" s="584"/>
      <c r="J147" s="780" t="s">
        <v>651</v>
      </c>
      <c r="K147" s="781"/>
      <c r="L147" s="446"/>
    </row>
    <row r="148" spans="1:12" ht="14.25">
      <c r="A148" s="446"/>
      <c r="B148" s="464"/>
      <c r="C148" s="782">
        <v>52.869</v>
      </c>
      <c r="D148" s="782"/>
      <c r="E148" s="584" t="s">
        <v>21</v>
      </c>
      <c r="F148" s="585">
        <v>312000000</v>
      </c>
      <c r="G148" s="515" t="s">
        <v>599</v>
      </c>
      <c r="H148" s="584">
        <v>1000</v>
      </c>
      <c r="I148" s="584" t="s">
        <v>598</v>
      </c>
      <c r="J148" s="780">
        <f>C148*(F148/1000)</f>
        <v>16495128</v>
      </c>
      <c r="K148" s="783"/>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31.5">
      <c r="A3" s="518" t="s">
        <v>653</v>
      </c>
    </row>
    <row r="4" ht="15.75">
      <c r="A4" s="519" t="s">
        <v>654</v>
      </c>
    </row>
    <row r="7" ht="31.5">
      <c r="A7" s="518" t="s">
        <v>655</v>
      </c>
    </row>
    <row r="8" ht="15.75">
      <c r="A8" s="519" t="s">
        <v>656</v>
      </c>
    </row>
    <row r="11" ht="15.75">
      <c r="A11" s="520" t="s">
        <v>657</v>
      </c>
    </row>
    <row r="12" ht="15.75">
      <c r="A12" s="519" t="s">
        <v>658</v>
      </c>
    </row>
    <row r="15" ht="15.75">
      <c r="A15" s="520" t="s">
        <v>659</v>
      </c>
    </row>
    <row r="16" ht="15.75">
      <c r="A16" s="519" t="s">
        <v>660</v>
      </c>
    </row>
    <row r="19" ht="15.75">
      <c r="A19" s="520" t="s">
        <v>661</v>
      </c>
    </row>
    <row r="20" ht="15.75">
      <c r="A20" s="519" t="s">
        <v>662</v>
      </c>
    </row>
    <row r="23" ht="15.75">
      <c r="A23" s="520" t="s">
        <v>663</v>
      </c>
    </row>
    <row r="24" ht="15.75">
      <c r="A24" s="519" t="s">
        <v>664</v>
      </c>
    </row>
    <row r="27" ht="15.75">
      <c r="A27" s="520" t="s">
        <v>665</v>
      </c>
    </row>
    <row r="28" ht="15.75">
      <c r="A28" s="519" t="s">
        <v>666</v>
      </c>
    </row>
    <row r="31" ht="15.75">
      <c r="A31" s="520" t="s">
        <v>667</v>
      </c>
    </row>
    <row r="32" ht="15.75">
      <c r="A32" s="519" t="s">
        <v>668</v>
      </c>
    </row>
    <row r="35" ht="15.75">
      <c r="A35" s="520" t="s">
        <v>669</v>
      </c>
    </row>
    <row r="36" ht="15.75">
      <c r="A36" s="519" t="s">
        <v>670</v>
      </c>
    </row>
    <row r="39" ht="15.75">
      <c r="A39" s="520" t="s">
        <v>671</v>
      </c>
    </row>
    <row r="40" ht="15.7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8" t="s">
        <v>806</v>
      </c>
    </row>
    <row r="2" ht="15.75">
      <c r="A2" s="146" t="s">
        <v>807</v>
      </c>
    </row>
    <row r="4" ht="15.75">
      <c r="A4" s="408" t="s">
        <v>804</v>
      </c>
    </row>
    <row r="5" ht="15.75">
      <c r="A5" s="590" t="s">
        <v>803</v>
      </c>
    </row>
    <row r="7" ht="15.75">
      <c r="A7" s="408" t="s">
        <v>800</v>
      </c>
    </row>
    <row r="8" ht="15.75">
      <c r="A8" s="1" t="s">
        <v>802</v>
      </c>
    </row>
    <row r="10" ht="15.75">
      <c r="A10" s="408" t="s">
        <v>728</v>
      </c>
    </row>
    <row r="11" ht="15.75">
      <c r="A11" s="590" t="s">
        <v>729</v>
      </c>
    </row>
    <row r="12" ht="15.75">
      <c r="A12" s="590" t="s">
        <v>730</v>
      </c>
    </row>
    <row r="13" ht="15.75">
      <c r="A13" s="146" t="s">
        <v>731</v>
      </c>
    </row>
    <row r="14" ht="15.75">
      <c r="A14" s="146" t="s">
        <v>732</v>
      </c>
    </row>
    <row r="15" ht="15.75">
      <c r="A15" s="146" t="s">
        <v>733</v>
      </c>
    </row>
    <row r="16" ht="15.75">
      <c r="A16" s="146" t="s">
        <v>734</v>
      </c>
    </row>
    <row r="17" ht="15.75">
      <c r="A17" s="146" t="s">
        <v>735</v>
      </c>
    </row>
    <row r="18" ht="15.75">
      <c r="A18" s="146" t="s">
        <v>736</v>
      </c>
    </row>
    <row r="19" ht="15.75">
      <c r="A19" s="146" t="s">
        <v>737</v>
      </c>
    </row>
    <row r="20" ht="15.75">
      <c r="A20" s="146" t="s">
        <v>738</v>
      </c>
    </row>
    <row r="21" ht="47.25">
      <c r="A21" s="377" t="s">
        <v>739</v>
      </c>
    </row>
    <row r="22" ht="31.5">
      <c r="A22" s="377" t="s">
        <v>740</v>
      </c>
    </row>
    <row r="23" ht="15.75">
      <c r="A23" s="146" t="s">
        <v>741</v>
      </c>
    </row>
    <row r="24" ht="15.75">
      <c r="A24" s="146" t="s">
        <v>742</v>
      </c>
    </row>
    <row r="25" ht="15.75">
      <c r="A25" s="146" t="s">
        <v>743</v>
      </c>
    </row>
    <row r="26" ht="15.75">
      <c r="A26" s="146" t="s">
        <v>744</v>
      </c>
    </row>
    <row r="27" ht="15.75">
      <c r="A27" s="146" t="s">
        <v>745</v>
      </c>
    </row>
    <row r="28" ht="15.75">
      <c r="A28" s="146" t="s">
        <v>746</v>
      </c>
    </row>
    <row r="29" ht="15.75">
      <c r="A29" s="146" t="s">
        <v>747</v>
      </c>
    </row>
    <row r="30" ht="15.75">
      <c r="A30" s="146" t="s">
        <v>748</v>
      </c>
    </row>
    <row r="31" ht="15.75">
      <c r="A31" s="146" t="s">
        <v>749</v>
      </c>
    </row>
    <row r="32" ht="15.75">
      <c r="A32" s="146" t="s">
        <v>750</v>
      </c>
    </row>
    <row r="37" ht="15.75">
      <c r="A37" s="408" t="s">
        <v>720</v>
      </c>
    </row>
    <row r="38" ht="15.75">
      <c r="A38" s="1" t="s">
        <v>721</v>
      </c>
    </row>
    <row r="40" ht="15.75">
      <c r="A40" s="408" t="s">
        <v>717</v>
      </c>
    </row>
    <row r="41" ht="15.75">
      <c r="A41" s="570" t="s">
        <v>718</v>
      </c>
    </row>
    <row r="42" ht="15.75">
      <c r="A42" s="570" t="s">
        <v>719</v>
      </c>
    </row>
    <row r="44" ht="15.75">
      <c r="A44" s="408" t="s">
        <v>673</v>
      </c>
    </row>
    <row r="45" ht="15.75">
      <c r="A45" s="570" t="s">
        <v>685</v>
      </c>
    </row>
    <row r="46" ht="15.75">
      <c r="A46" s="570" t="s">
        <v>686</v>
      </c>
    </row>
    <row r="47" ht="31.5">
      <c r="A47" s="571" t="s">
        <v>687</v>
      </c>
    </row>
    <row r="48" ht="15.75">
      <c r="A48" s="570" t="s">
        <v>688</v>
      </c>
    </row>
    <row r="49" ht="15.75">
      <c r="A49" s="570" t="s">
        <v>689</v>
      </c>
    </row>
    <row r="50" ht="15.75">
      <c r="A50" s="570" t="s">
        <v>690</v>
      </c>
    </row>
    <row r="51" ht="15.75">
      <c r="A51" s="570" t="s">
        <v>691</v>
      </c>
    </row>
    <row r="52" ht="15.75">
      <c r="A52" s="570" t="s">
        <v>692</v>
      </c>
    </row>
    <row r="53" ht="15.75">
      <c r="A53" s="570" t="s">
        <v>693</v>
      </c>
    </row>
    <row r="54" ht="15.75">
      <c r="A54" s="570" t="s">
        <v>694</v>
      </c>
    </row>
    <row r="55" ht="15.75">
      <c r="A55" s="570" t="s">
        <v>695</v>
      </c>
    </row>
    <row r="56" ht="15.75">
      <c r="A56" s="570" t="s">
        <v>696</v>
      </c>
    </row>
    <row r="57" ht="15.75">
      <c r="A57" s="570" t="s">
        <v>697</v>
      </c>
    </row>
    <row r="58" ht="15.75">
      <c r="A58" s="570" t="s">
        <v>698</v>
      </c>
    </row>
    <row r="59" ht="15.75">
      <c r="A59" s="570" t="s">
        <v>699</v>
      </c>
    </row>
    <row r="60" ht="15.75">
      <c r="A60" s="570" t="s">
        <v>700</v>
      </c>
    </row>
    <row r="61" ht="15.75">
      <c r="A61" s="570" t="s">
        <v>701</v>
      </c>
    </row>
    <row r="62" ht="15.75">
      <c r="A62" s="570" t="s">
        <v>702</v>
      </c>
    </row>
    <row r="63" ht="15.75">
      <c r="A63" s="570" t="s">
        <v>703</v>
      </c>
    </row>
    <row r="64" ht="15.75">
      <c r="A64" s="570" t="s">
        <v>704</v>
      </c>
    </row>
    <row r="65" ht="15.75">
      <c r="A65" s="570" t="s">
        <v>705</v>
      </c>
    </row>
    <row r="66" ht="15.75">
      <c r="A66" s="570" t="s">
        <v>706</v>
      </c>
    </row>
    <row r="67" ht="15.75">
      <c r="A67" s="570" t="s">
        <v>707</v>
      </c>
    </row>
    <row r="68" ht="15.75">
      <c r="A68" s="570"/>
    </row>
    <row r="69" ht="15.75">
      <c r="A69" s="408" t="s">
        <v>574</v>
      </c>
    </row>
    <row r="70" ht="15.75">
      <c r="A70" s="146" t="s">
        <v>577</v>
      </c>
    </row>
    <row r="71" ht="15.75">
      <c r="A71" s="146" t="s">
        <v>575</v>
      </c>
    </row>
    <row r="72" ht="15.75">
      <c r="A72" s="146" t="s">
        <v>576</v>
      </c>
    </row>
    <row r="74" ht="15.75">
      <c r="A74" s="417" t="s">
        <v>566</v>
      </c>
    </row>
    <row r="75" ht="15.75">
      <c r="A75" s="146" t="s">
        <v>573</v>
      </c>
    </row>
    <row r="77" ht="15.75">
      <c r="A77" s="408" t="s">
        <v>559</v>
      </c>
    </row>
    <row r="78" ht="15.75">
      <c r="A78" s="409" t="s">
        <v>560</v>
      </c>
    </row>
    <row r="79" ht="15.75">
      <c r="A79" s="409" t="s">
        <v>561</v>
      </c>
    </row>
    <row r="80" ht="15.75">
      <c r="A80" s="409" t="s">
        <v>562</v>
      </c>
    </row>
    <row r="81" ht="15.75">
      <c r="A81" s="146" t="s">
        <v>563</v>
      </c>
    </row>
    <row r="83" ht="15.75">
      <c r="A83" s="375" t="s">
        <v>310</v>
      </c>
    </row>
    <row r="84" ht="15.75">
      <c r="A84" s="383" t="s">
        <v>324</v>
      </c>
    </row>
    <row r="85" ht="15.75">
      <c r="A85" s="383" t="s">
        <v>325</v>
      </c>
    </row>
    <row r="86" ht="15.75">
      <c r="A86" s="383" t="s">
        <v>326</v>
      </c>
    </row>
    <row r="87" ht="15.75">
      <c r="A87" s="383" t="s">
        <v>327</v>
      </c>
    </row>
    <row r="88" ht="15.75">
      <c r="A88" s="383" t="s">
        <v>328</v>
      </c>
    </row>
    <row r="89" ht="15.75">
      <c r="A89" s="383" t="s">
        <v>329</v>
      </c>
    </row>
    <row r="90" ht="15.75">
      <c r="A90" s="384" t="s">
        <v>331</v>
      </c>
    </row>
    <row r="92" ht="15.75">
      <c r="A92" s="375" t="s">
        <v>291</v>
      </c>
    </row>
    <row r="93" ht="15.75">
      <c r="A93" s="1" t="s">
        <v>292</v>
      </c>
    </row>
    <row r="94" ht="15.75">
      <c r="A94" s="1" t="s">
        <v>295</v>
      </c>
    </row>
    <row r="95" ht="15.75">
      <c r="A95" s="1" t="s">
        <v>297</v>
      </c>
    </row>
    <row r="96" ht="15.75">
      <c r="A96" s="1" t="s">
        <v>296</v>
      </c>
    </row>
    <row r="98" ht="15.75">
      <c r="A98" s="375" t="s">
        <v>289</v>
      </c>
    </row>
    <row r="99" ht="15.75">
      <c r="A99" s="1" t="s">
        <v>290</v>
      </c>
    </row>
    <row r="101" ht="15.75">
      <c r="A101" s="375" t="s">
        <v>285</v>
      </c>
    </row>
    <row r="102" ht="15.75">
      <c r="A102" s="1" t="s">
        <v>286</v>
      </c>
    </row>
    <row r="103" ht="15.75">
      <c r="A103" s="1" t="s">
        <v>287</v>
      </c>
    </row>
    <row r="104" ht="15.75">
      <c r="A104" s="1" t="s">
        <v>288</v>
      </c>
    </row>
    <row r="106" ht="15.75">
      <c r="A106" s="376" t="s">
        <v>281</v>
      </c>
    </row>
    <row r="107" ht="15.75">
      <c r="A107" s="1" t="s">
        <v>282</v>
      </c>
    </row>
    <row r="108" ht="15.75">
      <c r="A108" s="1" t="s">
        <v>283</v>
      </c>
    </row>
    <row r="110" ht="15.75">
      <c r="A110" s="376" t="s">
        <v>260</v>
      </c>
    </row>
    <row r="111" ht="15.75">
      <c r="A111" s="1" t="s">
        <v>244</v>
      </c>
    </row>
    <row r="112" ht="33" customHeight="1">
      <c r="A112" s="3" t="s">
        <v>245</v>
      </c>
    </row>
    <row r="113" ht="15.75">
      <c r="A113" s="1" t="s">
        <v>246</v>
      </c>
    </row>
    <row r="114" ht="15.75">
      <c r="A114" s="1" t="s">
        <v>247</v>
      </c>
    </row>
    <row r="115" ht="15.75">
      <c r="A115" s="1" t="s">
        <v>248</v>
      </c>
    </row>
    <row r="116" ht="15.7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75">
      <c r="A122" s="1" t="s">
        <v>255</v>
      </c>
    </row>
    <row r="123" ht="15.75">
      <c r="A123" s="1" t="s">
        <v>256</v>
      </c>
    </row>
    <row r="124" ht="15.75">
      <c r="A124" s="1" t="s">
        <v>257</v>
      </c>
    </row>
    <row r="125" ht="15.75">
      <c r="A125" s="1" t="s">
        <v>258</v>
      </c>
    </row>
    <row r="126" ht="15.75">
      <c r="A126" s="1" t="s">
        <v>259</v>
      </c>
    </row>
    <row r="129" ht="15.75">
      <c r="A129" s="1" t="s">
        <v>183</v>
      </c>
    </row>
    <row r="130" ht="15.75">
      <c r="A130" s="1" t="s">
        <v>184</v>
      </c>
    </row>
    <row r="131" ht="15.75">
      <c r="A131" s="1" t="s">
        <v>185</v>
      </c>
    </row>
    <row r="132" ht="15.75">
      <c r="A132" s="1" t="s">
        <v>186</v>
      </c>
    </row>
    <row r="133" ht="15.75">
      <c r="A133" s="1" t="s">
        <v>187</v>
      </c>
    </row>
    <row r="134" ht="15.75">
      <c r="A134" s="1" t="s">
        <v>188</v>
      </c>
    </row>
    <row r="135" ht="15.75">
      <c r="A135" s="1" t="s">
        <v>189</v>
      </c>
    </row>
    <row r="136" ht="15.75">
      <c r="A136" s="1" t="s">
        <v>190</v>
      </c>
    </row>
    <row r="137" ht="15.75">
      <c r="A137" s="1" t="s">
        <v>191</v>
      </c>
    </row>
    <row r="138" ht="15.75">
      <c r="A138" s="1" t="s">
        <v>192</v>
      </c>
    </row>
    <row r="139" ht="15.75">
      <c r="A139" s="1" t="s">
        <v>193</v>
      </c>
    </row>
    <row r="140" ht="15.75">
      <c r="A140" s="1" t="s">
        <v>194</v>
      </c>
    </row>
    <row r="141" ht="15.75">
      <c r="A141" s="1" t="s">
        <v>195</v>
      </c>
    </row>
    <row r="142" ht="15.75">
      <c r="A142" s="1" t="s">
        <v>196</v>
      </c>
    </row>
    <row r="143" ht="15.75">
      <c r="A143" s="1" t="s">
        <v>197</v>
      </c>
    </row>
    <row r="144" ht="15.75">
      <c r="A144" s="1" t="s">
        <v>206</v>
      </c>
    </row>
    <row r="145" ht="15.75">
      <c r="A145" s="1" t="s">
        <v>213</v>
      </c>
    </row>
    <row r="146" ht="15.75">
      <c r="A146" s="1" t="s">
        <v>214</v>
      </c>
    </row>
    <row r="147" ht="15.75">
      <c r="A147" s="1" t="s">
        <v>228</v>
      </c>
    </row>
    <row r="148" ht="15.75">
      <c r="A148" s="1" t="s">
        <v>229</v>
      </c>
    </row>
    <row r="149" ht="15.75">
      <c r="A149" s="1" t="s">
        <v>230</v>
      </c>
    </row>
    <row r="150" ht="15.75">
      <c r="A150" s="1" t="s">
        <v>223</v>
      </c>
    </row>
    <row r="151" ht="15.75">
      <c r="A151" s="1" t="s">
        <v>224</v>
      </c>
    </row>
    <row r="152" ht="15.75">
      <c r="A152" s="1" t="s">
        <v>231</v>
      </c>
    </row>
    <row r="153" ht="15.75">
      <c r="A153" s="1" t="s">
        <v>232</v>
      </c>
    </row>
    <row r="154" ht="15.75">
      <c r="A154" s="1" t="s">
        <v>241</v>
      </c>
    </row>
    <row r="155" ht="15.75">
      <c r="A155" s="1" t="s">
        <v>242</v>
      </c>
    </row>
    <row r="156" ht="15.7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37">
      <selection activeCell="B103" sqref="B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Grand Center Cemetery</v>
      </c>
      <c r="B1" s="36"/>
      <c r="C1" s="36"/>
      <c r="D1" s="36"/>
      <c r="E1" s="14">
        <f>inputPrYr!D11</f>
        <v>2014</v>
      </c>
    </row>
    <row r="2" spans="1:5" ht="15">
      <c r="A2" s="36"/>
      <c r="B2" s="36"/>
      <c r="C2" s="36"/>
      <c r="D2" s="36"/>
      <c r="E2" s="36"/>
    </row>
    <row r="3" spans="1:5" ht="15">
      <c r="A3" s="695" t="s">
        <v>156</v>
      </c>
      <c r="B3" s="696"/>
      <c r="C3" s="696"/>
      <c r="D3" s="696"/>
      <c r="E3" s="696"/>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Osborne County</v>
      </c>
      <c r="B7" s="20"/>
      <c r="C7" s="20"/>
      <c r="D7" s="11">
        <v>517126</v>
      </c>
      <c r="E7" s="24"/>
    </row>
    <row r="8" spans="1:5" ht="15.75">
      <c r="A8" s="27" t="str">
        <f>inputPrYr!$D$6</f>
        <v>Russell County</v>
      </c>
      <c r="B8" s="20"/>
      <c r="C8" s="20"/>
      <c r="D8" s="11">
        <v>552831</v>
      </c>
      <c r="E8" s="24"/>
    </row>
    <row r="9" spans="1:5" ht="15.75">
      <c r="A9" s="27">
        <f>inputPrYr!$D$7</f>
        <v>0</v>
      </c>
      <c r="B9" s="20"/>
      <c r="C9" s="20"/>
      <c r="D9" s="11"/>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2013</v>
      </c>
      <c r="B12" s="20"/>
      <c r="C12" s="20"/>
      <c r="D12" s="20"/>
      <c r="E12" s="70">
        <f>SUM(D7:D11)</f>
        <v>1069957</v>
      </c>
    </row>
    <row r="13" spans="1:5" ht="16.5" thickTop="1">
      <c r="A13" s="62" t="str">
        <f>CONCATENATE("New Improvements for ",inputPrYr!D11-1,":")</f>
        <v>New Improvements for 2013:</v>
      </c>
      <c r="B13" s="20"/>
      <c r="C13" s="20"/>
      <c r="D13" s="20"/>
      <c r="E13" s="59"/>
    </row>
    <row r="14" spans="1:5" ht="15.75">
      <c r="A14" s="27" t="str">
        <f>inputPrYr!$D$4</f>
        <v>Osborne County</v>
      </c>
      <c r="B14" s="20"/>
      <c r="C14" s="20"/>
      <c r="D14" s="50">
        <v>0</v>
      </c>
      <c r="E14" s="14"/>
    </row>
    <row r="15" spans="1:5" ht="15.75">
      <c r="A15" s="27" t="str">
        <f>inputPrYr!$D$6</f>
        <v>Russell County</v>
      </c>
      <c r="B15" s="20"/>
      <c r="C15" s="20"/>
      <c r="D15" s="13">
        <v>1574</v>
      </c>
      <c r="E15" s="14"/>
    </row>
    <row r="16" spans="1:5" ht="15.75">
      <c r="A16" s="27">
        <f>inputPrYr!$D$7</f>
        <v>0</v>
      </c>
      <c r="B16" s="20"/>
      <c r="C16" s="20"/>
      <c r="D16" s="13"/>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2013</v>
      </c>
      <c r="B19" s="20"/>
      <c r="C19" s="20"/>
      <c r="D19" s="20"/>
      <c r="E19" s="71">
        <f>SUM(D14:D18)</f>
        <v>1574</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Osborne County</v>
      </c>
      <c r="B21" s="20"/>
      <c r="C21" s="20"/>
      <c r="D21" s="50">
        <v>18404</v>
      </c>
      <c r="E21" s="14"/>
    </row>
    <row r="22" spans="1:5" ht="15.75">
      <c r="A22" s="27" t="str">
        <f>inputPrYr!$D$6</f>
        <v>Russell County</v>
      </c>
      <c r="B22" s="20"/>
      <c r="C22" s="20"/>
      <c r="D22" s="50">
        <v>11340</v>
      </c>
      <c r="E22" s="14"/>
    </row>
    <row r="23" spans="1:5" ht="15.75">
      <c r="A23" s="27">
        <f>inputPrYr!$D$7</f>
        <v>0</v>
      </c>
      <c r="B23" s="20"/>
      <c r="C23" s="20"/>
      <c r="D23" s="50"/>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- 2013</v>
      </c>
      <c r="B26" s="20"/>
      <c r="C26" s="20"/>
      <c r="D26" s="20"/>
      <c r="E26" s="71">
        <f>SUM(D21:D25)</f>
        <v>29744</v>
      </c>
    </row>
    <row r="27" spans="1:5" ht="16.5" thickTop="1">
      <c r="A27" s="62" t="str">
        <f>CONCATENATE("Property that has changed in use for ",inputPrYr!D11-1,":")</f>
        <v>Property that has changed in use for 2013:</v>
      </c>
      <c r="B27" s="20"/>
      <c r="C27" s="20"/>
      <c r="D27" s="20"/>
      <c r="E27" s="59"/>
    </row>
    <row r="28" spans="1:5" ht="15.75">
      <c r="A28" s="27" t="str">
        <f>inputPrYr!$D$4</f>
        <v>Osborne County</v>
      </c>
      <c r="B28" s="20"/>
      <c r="C28" s="20"/>
      <c r="D28" s="50">
        <v>930</v>
      </c>
      <c r="E28" s="14"/>
    </row>
    <row r="29" spans="1:5" ht="15.75">
      <c r="A29" s="27" t="str">
        <f>inputPrYr!$D$6</f>
        <v>Russell County</v>
      </c>
      <c r="B29" s="20"/>
      <c r="C29" s="20"/>
      <c r="D29" s="50">
        <v>815</v>
      </c>
      <c r="E29" s="14"/>
    </row>
    <row r="30" spans="1:5" ht="15.75">
      <c r="A30" s="27">
        <f>inputPrYr!$D$7</f>
        <v>0</v>
      </c>
      <c r="B30" s="20"/>
      <c r="C30" s="20"/>
      <c r="D30" s="50"/>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2013</v>
      </c>
      <c r="B33" s="20"/>
      <c r="C33" s="20"/>
      <c r="D33" s="20"/>
      <c r="E33" s="71">
        <f>SUM(D28:D32)</f>
        <v>1745</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Osborne County</v>
      </c>
      <c r="B35" s="20"/>
      <c r="C35" s="20"/>
      <c r="D35" s="80">
        <v>18180</v>
      </c>
      <c r="E35" s="59"/>
    </row>
    <row r="36" spans="1:5" ht="15.75">
      <c r="A36" s="27" t="str">
        <f>inputPrYr!$D$6</f>
        <v>Russell County</v>
      </c>
      <c r="B36" s="20"/>
      <c r="C36" s="20"/>
      <c r="D36" s="81">
        <v>10920</v>
      </c>
      <c r="E36" s="59"/>
    </row>
    <row r="37" spans="1:5" ht="15.75">
      <c r="A37" s="27">
        <f>inputPrYr!$D$7</f>
        <v>0</v>
      </c>
      <c r="B37" s="20"/>
      <c r="C37" s="20"/>
      <c r="D37" s="81"/>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- 2012</v>
      </c>
      <c r="B40" s="14"/>
      <c r="C40" s="14"/>
      <c r="D40" s="14"/>
      <c r="E40" s="70">
        <f>SUM(D35:D39)</f>
        <v>29100</v>
      </c>
    </row>
    <row r="41" spans="1:5" ht="16.5" thickTop="1">
      <c r="A41" s="26"/>
      <c r="B41" s="14"/>
      <c r="C41" s="14"/>
      <c r="D41" s="14"/>
      <c r="E41" s="53"/>
    </row>
    <row r="42" spans="1:5" ht="15.75">
      <c r="A42" s="79" t="str">
        <f>CONCATENATE("Neighborhood Revitalization - ",E1,":")</f>
        <v>Neighborhood Revitalization - 2014:</v>
      </c>
      <c r="B42" s="14"/>
      <c r="C42" s="14"/>
      <c r="D42" s="80">
        <v>0</v>
      </c>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697" t="s">
        <v>19</v>
      </c>
      <c r="B45" s="698"/>
      <c r="C45" s="36"/>
      <c r="D45" s="55" t="s">
        <v>56</v>
      </c>
      <c r="E45" s="49"/>
    </row>
    <row r="46" spans="1:5" ht="15.75">
      <c r="A46" s="56" t="s">
        <v>5</v>
      </c>
      <c r="B46" s="17"/>
      <c r="C46" s="20"/>
      <c r="D46" s="76">
        <v>4.171</v>
      </c>
      <c r="E46" s="49"/>
    </row>
    <row r="47" spans="1:5" ht="15.75">
      <c r="A47" s="57" t="s">
        <v>284</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208</v>
      </c>
      <c r="C52" s="68"/>
      <c r="D52" s="72">
        <f>SUM(D46:D51)</f>
        <v>4.171</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Osborne County</v>
      </c>
      <c r="B55" s="36"/>
      <c r="C55" s="36"/>
      <c r="D55" s="80">
        <v>463528</v>
      </c>
      <c r="E55" s="36"/>
    </row>
    <row r="56" spans="1:5" ht="15.75">
      <c r="A56" s="27" t="str">
        <f>inputPrYr!$D$6</f>
        <v>Russell County</v>
      </c>
      <c r="B56" s="36"/>
      <c r="C56" s="36"/>
      <c r="D56" s="81">
        <v>536607</v>
      </c>
      <c r="E56" s="36"/>
    </row>
    <row r="57" spans="1:5" ht="15.75">
      <c r="A57" s="27">
        <f>inputPrYr!$D$7</f>
        <v>0</v>
      </c>
      <c r="B57" s="36"/>
      <c r="C57" s="36"/>
      <c r="D57" s="81"/>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2012 Abstract</v>
      </c>
      <c r="B60" s="36"/>
      <c r="C60" s="36"/>
      <c r="D60" s="36"/>
      <c r="E60" s="70">
        <f>SUM(D55:D59)</f>
        <v>1000135</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146</v>
      </c>
      <c r="B63" s="14"/>
      <c r="C63" s="14"/>
      <c r="D63" s="14"/>
      <c r="E63" s="49"/>
    </row>
    <row r="64" spans="1:5" ht="15.75">
      <c r="A64" s="27" t="str">
        <f>inputPrYr!$D$4</f>
        <v>Osborne County</v>
      </c>
      <c r="B64" s="14"/>
      <c r="C64" s="14"/>
      <c r="D64" s="11">
        <v>173</v>
      </c>
      <c r="E64" s="24"/>
    </row>
    <row r="65" spans="1:5" ht="15.75">
      <c r="A65" s="27" t="str">
        <f>inputPrYr!$D$6</f>
        <v>Russell County</v>
      </c>
      <c r="B65" s="14"/>
      <c r="C65" s="14"/>
      <c r="D65" s="11">
        <v>145</v>
      </c>
      <c r="E65" s="24"/>
    </row>
    <row r="66" spans="1:5" ht="15.75">
      <c r="A66" s="27">
        <f>inputPrYr!$D$7</f>
        <v>0</v>
      </c>
      <c r="B66" s="14"/>
      <c r="C66" s="14"/>
      <c r="D66" s="11"/>
      <c r="E66" s="24"/>
    </row>
    <row r="67" spans="1:5" ht="15.75">
      <c r="A67" s="27">
        <f>inputPrYr!$D$8</f>
        <v>0</v>
      </c>
      <c r="B67" s="14"/>
      <c r="C67" s="14"/>
      <c r="D67" s="11"/>
      <c r="E67" s="24"/>
    </row>
    <row r="68" spans="1:5" ht="15.75">
      <c r="A68" s="27">
        <f>inputPrYr!$D$9</f>
        <v>0</v>
      </c>
      <c r="B68" s="14"/>
      <c r="C68" s="14"/>
      <c r="D68" s="11"/>
      <c r="E68" s="24"/>
    </row>
    <row r="69" spans="1:5" ht="16.5" thickBot="1">
      <c r="A69" s="16" t="s">
        <v>145</v>
      </c>
      <c r="B69" s="14"/>
      <c r="C69" s="14"/>
      <c r="D69" s="14"/>
      <c r="E69" s="67">
        <f>SUM(D64:D68)</f>
        <v>318</v>
      </c>
    </row>
    <row r="70" spans="1:5" ht="16.5" thickTop="1">
      <c r="A70" s="63" t="s">
        <v>147</v>
      </c>
      <c r="B70" s="14"/>
      <c r="C70" s="14"/>
      <c r="D70" s="14"/>
      <c r="E70" s="49"/>
    </row>
    <row r="71" spans="1:5" ht="15.75">
      <c r="A71" s="27" t="str">
        <f>inputPrYr!$D$4</f>
        <v>Osborne County</v>
      </c>
      <c r="B71" s="14"/>
      <c r="C71" s="14"/>
      <c r="D71" s="11">
        <v>2</v>
      </c>
      <c r="E71" s="24"/>
    </row>
    <row r="72" spans="1:5" ht="15.75">
      <c r="A72" s="27" t="str">
        <f>inputPrYr!$D$6</f>
        <v>Russell County</v>
      </c>
      <c r="B72" s="14"/>
      <c r="C72" s="14"/>
      <c r="D72" s="12">
        <v>0</v>
      </c>
      <c r="E72" s="24"/>
    </row>
    <row r="73" spans="1:5" ht="15.75">
      <c r="A73" s="27">
        <f>inputPrYr!$D$7</f>
        <v>0</v>
      </c>
      <c r="B73" s="14"/>
      <c r="C73" s="14"/>
      <c r="D73" s="12"/>
      <c r="E73" s="24"/>
    </row>
    <row r="74" spans="1:5" ht="15.75">
      <c r="A74" s="27">
        <f>inputPrYr!$D$8</f>
        <v>0</v>
      </c>
      <c r="B74" s="14"/>
      <c r="C74" s="14"/>
      <c r="D74" s="12"/>
      <c r="E74" s="24"/>
    </row>
    <row r="75" spans="1:5" ht="15.75">
      <c r="A75" s="27">
        <f>inputPrYr!$D$9</f>
        <v>0</v>
      </c>
      <c r="B75" s="14"/>
      <c r="C75" s="14"/>
      <c r="D75" s="12"/>
      <c r="E75" s="25"/>
    </row>
    <row r="76" spans="1:5" ht="16.5" thickBot="1">
      <c r="A76" s="16" t="s">
        <v>144</v>
      </c>
      <c r="B76" s="14"/>
      <c r="C76" s="14"/>
      <c r="D76" s="14"/>
      <c r="E76" s="67">
        <f>SUM(D71:D75)</f>
        <v>2</v>
      </c>
    </row>
    <row r="77" spans="1:5" ht="16.5" thickTop="1">
      <c r="A77" s="63" t="s">
        <v>143</v>
      </c>
      <c r="B77" s="14"/>
      <c r="C77" s="14"/>
      <c r="D77" s="14"/>
      <c r="E77" s="49"/>
    </row>
    <row r="78" spans="1:5" ht="15.75">
      <c r="A78" s="27" t="str">
        <f>inputPrYr!$D$4</f>
        <v>Osborne County</v>
      </c>
      <c r="B78" s="14"/>
      <c r="C78" s="14"/>
      <c r="D78" s="11">
        <v>17</v>
      </c>
      <c r="E78" s="24"/>
    </row>
    <row r="79" spans="1:5" ht="15.75">
      <c r="A79" s="27" t="str">
        <f>inputPrYr!$D$6</f>
        <v>Russell County</v>
      </c>
      <c r="B79" s="14"/>
      <c r="C79" s="14"/>
      <c r="D79" s="12">
        <v>1</v>
      </c>
      <c r="E79" s="24"/>
    </row>
    <row r="80" spans="1:5" ht="15.75">
      <c r="A80" s="27">
        <f>inputPrYr!$D$7</f>
        <v>0</v>
      </c>
      <c r="B80" s="14"/>
      <c r="C80" s="14"/>
      <c r="D80" s="12"/>
      <c r="E80" s="24"/>
    </row>
    <row r="81" spans="1:5" ht="15.75">
      <c r="A81" s="27">
        <f>inputPrYr!$D$8</f>
        <v>0</v>
      </c>
      <c r="B81" s="14"/>
      <c r="C81" s="14"/>
      <c r="D81" s="12"/>
      <c r="E81" s="24"/>
    </row>
    <row r="82" spans="1:5" ht="15.75">
      <c r="A82" s="27">
        <f>inputPrYr!$D$9</f>
        <v>0</v>
      </c>
      <c r="B82" s="14"/>
      <c r="C82" s="14"/>
      <c r="D82" s="12"/>
      <c r="E82" s="25"/>
    </row>
    <row r="83" spans="1:5" ht="16.5" thickBot="1">
      <c r="A83" s="16" t="s">
        <v>142</v>
      </c>
      <c r="B83" s="14"/>
      <c r="C83" s="14"/>
      <c r="D83" s="14"/>
      <c r="E83" s="67">
        <f>SUM(D78:D82)</f>
        <v>18</v>
      </c>
    </row>
    <row r="84" spans="1:5" ht="16.5" thickTop="1">
      <c r="A84" s="63" t="s">
        <v>171</v>
      </c>
      <c r="B84" s="14"/>
      <c r="C84" s="14"/>
      <c r="D84" s="61"/>
      <c r="E84" s="49"/>
    </row>
    <row r="85" spans="1:5" ht="15.75">
      <c r="A85" s="14"/>
      <c r="B85" s="14"/>
      <c r="C85" s="14"/>
      <c r="D85" s="14"/>
      <c r="E85" s="14"/>
    </row>
    <row r="86" spans="1:5" ht="15.75">
      <c r="A86" s="32" t="s">
        <v>216</v>
      </c>
      <c r="B86" s="34"/>
      <c r="C86" s="15"/>
      <c r="D86" s="14"/>
      <c r="E86" s="14"/>
    </row>
    <row r="87" spans="1:5" ht="15.75">
      <c r="A87" s="82" t="str">
        <f>CONCATENATE("Delinquency Rate for ",E1-3," Uncollected Taxes")</f>
        <v>Delinquency Rate for 2011 Uncollected Taxes</v>
      </c>
      <c r="B87" s="19"/>
      <c r="C87" s="18" t="s">
        <v>25</v>
      </c>
      <c r="D87" s="18" t="s">
        <v>25</v>
      </c>
      <c r="E87" s="51"/>
    </row>
    <row r="88" spans="1:5" ht="15.75">
      <c r="A88" s="83" t="str">
        <f>CONCATENATE("and ",E1-2," Ad Valorem Levied:")</f>
        <v>and 2012 Ad Valorem Levied:</v>
      </c>
      <c r="B88" s="22"/>
      <c r="C88" s="28" t="s">
        <v>217</v>
      </c>
      <c r="D88" s="28" t="s">
        <v>218</v>
      </c>
      <c r="E88" s="51"/>
    </row>
    <row r="89" spans="1:5" ht="15.75">
      <c r="A89" s="27" t="str">
        <f>inputPrYr!$D$4</f>
        <v>Osborne County</v>
      </c>
      <c r="B89" s="21"/>
      <c r="C89" s="91"/>
      <c r="D89" s="61"/>
      <c r="E89" s="51"/>
    </row>
    <row r="90" spans="1:5" ht="15.75">
      <c r="A90" s="27" t="str">
        <f>inputPrYr!$D$6</f>
        <v>Russell County</v>
      </c>
      <c r="B90" s="21"/>
      <c r="C90" s="92"/>
      <c r="D90" s="93"/>
      <c r="E90" s="24"/>
    </row>
    <row r="91" spans="1:5" ht="15.75">
      <c r="A91" s="27">
        <f>inputPrYr!$D$7</f>
        <v>0</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8</v>
      </c>
      <c r="B94" s="21"/>
      <c r="C94" s="94">
        <f>SUM(C89:C93)</f>
        <v>0</v>
      </c>
      <c r="D94" s="94">
        <f>SUM(D89:D93)</f>
        <v>0</v>
      </c>
      <c r="E94" s="24"/>
    </row>
    <row r="95" spans="1:5" ht="17.25" thickBot="1" thickTop="1">
      <c r="A95" s="29" t="s">
        <v>148</v>
      </c>
      <c r="B95" s="17"/>
      <c r="C95" s="17"/>
      <c r="D95" s="22"/>
      <c r="E95" s="653">
        <f>IF(C94=0,0,C94/D94)</f>
        <v>0</v>
      </c>
    </row>
    <row r="96" spans="1:5" ht="16.5" thickTop="1">
      <c r="A96" s="593" t="s">
        <v>753</v>
      </c>
      <c r="B96" s="29"/>
      <c r="C96" s="20"/>
      <c r="D96" s="20"/>
      <c r="E96" s="652">
        <v>0</v>
      </c>
    </row>
    <row r="97" spans="1:5" ht="15.75">
      <c r="A97" s="64" t="s">
        <v>201</v>
      </c>
      <c r="B97" s="65"/>
      <c r="C97" s="65"/>
      <c r="D97" s="65"/>
      <c r="E97" s="65"/>
    </row>
    <row r="98" spans="1:5" ht="15">
      <c r="A98" s="85"/>
      <c r="B98" s="85"/>
      <c r="C98" s="85"/>
      <c r="D98" s="85"/>
      <c r="E98" s="85"/>
    </row>
    <row r="99" spans="1:5" ht="15.75">
      <c r="A99" s="699" t="str">
        <f>CONCATENATE("From the ",E1-2," Budget Certificate Page")</f>
        <v>From the 2012 Budget Certificate Page</v>
      </c>
      <c r="B99" s="700"/>
      <c r="C99" s="85"/>
      <c r="D99" s="85"/>
      <c r="E99" s="85"/>
    </row>
    <row r="100" spans="1:5" ht="15.75">
      <c r="A100" s="86"/>
      <c r="B100" s="86" t="str">
        <f>CONCATENATE("",E1-2," Expenditure Amounts")</f>
        <v>2012 Expenditure Amounts</v>
      </c>
      <c r="C100" s="701" t="str">
        <f>CONCATENATE("Note: If the ",E1-2," budget was amended, then the")</f>
        <v>Note: If the 2012 budget was amended, then the</v>
      </c>
      <c r="D100" s="702"/>
      <c r="E100" s="702"/>
    </row>
    <row r="101" spans="1:5" ht="15.75">
      <c r="A101" s="87" t="s">
        <v>219</v>
      </c>
      <c r="B101" s="87" t="s">
        <v>220</v>
      </c>
      <c r="C101" s="84" t="s">
        <v>221</v>
      </c>
      <c r="D101" s="88"/>
      <c r="E101" s="88"/>
    </row>
    <row r="102" spans="1:5" ht="15.75">
      <c r="A102" s="89" t="str">
        <f>inputPrYr!B24</f>
        <v>General</v>
      </c>
      <c r="B102" s="61">
        <v>4161</v>
      </c>
      <c r="C102" s="84" t="s">
        <v>222</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654" t="s">
        <v>765</v>
      </c>
    </row>
    <row r="2" spans="1:10" ht="54" customHeight="1">
      <c r="A2" s="703" t="s">
        <v>334</v>
      </c>
      <c r="B2" s="704"/>
      <c r="C2" s="704"/>
      <c r="D2" s="704"/>
      <c r="E2" s="704"/>
      <c r="F2" s="704"/>
      <c r="J2" s="654" t="s">
        <v>766</v>
      </c>
    </row>
    <row r="3" spans="1:10" ht="15" customHeight="1">
      <c r="A3" s="641" t="s">
        <v>763</v>
      </c>
      <c r="B3" s="388" t="s">
        <v>817</v>
      </c>
      <c r="C3" s="642"/>
      <c r="D3" s="642"/>
      <c r="E3" s="642"/>
      <c r="F3" s="642"/>
      <c r="J3" s="654" t="s">
        <v>767</v>
      </c>
    </row>
    <row r="4" spans="1:10" ht="15" customHeight="1">
      <c r="A4" s="641"/>
      <c r="B4" s="642"/>
      <c r="C4" s="642"/>
      <c r="D4" s="642"/>
      <c r="E4" s="642"/>
      <c r="F4" s="642"/>
      <c r="J4" s="654" t="s">
        <v>768</v>
      </c>
    </row>
    <row r="5" spans="1:10" ht="15" customHeight="1">
      <c r="A5" s="1" t="s">
        <v>764</v>
      </c>
      <c r="B5" s="388" t="s">
        <v>808</v>
      </c>
      <c r="J5" s="654" t="s">
        <v>769</v>
      </c>
    </row>
    <row r="6" spans="1:10" ht="15.75">
      <c r="A6" s="385"/>
      <c r="B6" s="385"/>
      <c r="C6" s="385"/>
      <c r="D6" s="386"/>
      <c r="E6" s="385"/>
      <c r="F6" s="385"/>
      <c r="J6" s="654" t="s">
        <v>770</v>
      </c>
    </row>
    <row r="7" spans="1:10" ht="15.75">
      <c r="A7" s="387" t="s">
        <v>335</v>
      </c>
      <c r="B7" s="388" t="s">
        <v>814</v>
      </c>
      <c r="C7" s="389"/>
      <c r="D7" s="387" t="s">
        <v>762</v>
      </c>
      <c r="E7" s="385"/>
      <c r="F7" s="385"/>
      <c r="J7" s="654" t="s">
        <v>771</v>
      </c>
    </row>
    <row r="8" spans="1:10" ht="15.75">
      <c r="A8" s="387"/>
      <c r="B8" s="390"/>
      <c r="C8" s="391"/>
      <c r="D8" s="655" t="str">
        <f>IF(B7="","",CONCATENATE("Latest date for notice to be published in your newspaper: ",I18," ",I22,", ",I23))</f>
        <v>Latest date for notice to be published in your newspaper: August 2, 2013</v>
      </c>
      <c r="E8" s="385"/>
      <c r="F8" s="385"/>
      <c r="J8" s="654" t="s">
        <v>772</v>
      </c>
    </row>
    <row r="9" spans="1:10" ht="15.75">
      <c r="A9" s="387" t="s">
        <v>336</v>
      </c>
      <c r="B9" s="388" t="s">
        <v>815</v>
      </c>
      <c r="C9" s="392"/>
      <c r="D9" s="387"/>
      <c r="E9" s="385"/>
      <c r="F9" s="385"/>
      <c r="J9" s="654" t="s">
        <v>773</v>
      </c>
    </row>
    <row r="10" spans="1:10" ht="15.75">
      <c r="A10" s="387"/>
      <c r="B10" s="387"/>
      <c r="C10" s="387"/>
      <c r="D10" s="387"/>
      <c r="E10" s="385"/>
      <c r="F10" s="385"/>
      <c r="J10" s="654" t="s">
        <v>774</v>
      </c>
    </row>
    <row r="11" spans="1:10" ht="15.75">
      <c r="A11" s="387" t="s">
        <v>337</v>
      </c>
      <c r="B11" s="393" t="s">
        <v>816</v>
      </c>
      <c r="C11" s="393"/>
      <c r="D11" s="393"/>
      <c r="E11" s="394"/>
      <c r="F11" s="385"/>
      <c r="J11" s="654" t="s">
        <v>775</v>
      </c>
    </row>
    <row r="12" spans="1:10" ht="15.75">
      <c r="A12" s="387"/>
      <c r="B12" s="387"/>
      <c r="C12" s="387"/>
      <c r="D12" s="387"/>
      <c r="E12" s="385"/>
      <c r="F12" s="385"/>
      <c r="J12" s="654" t="s">
        <v>776</v>
      </c>
    </row>
    <row r="13" spans="1:6" ht="15.75">
      <c r="A13" s="387"/>
      <c r="B13" s="387"/>
      <c r="C13" s="387"/>
      <c r="D13" s="387"/>
      <c r="E13" s="385"/>
      <c r="F13" s="385"/>
    </row>
    <row r="14" spans="1:6" ht="15.75">
      <c r="A14" s="387" t="s">
        <v>338</v>
      </c>
      <c r="B14" s="393" t="s">
        <v>818</v>
      </c>
      <c r="C14" s="393"/>
      <c r="D14" s="393"/>
      <c r="E14" s="394"/>
      <c r="F14" s="385"/>
    </row>
    <row r="17" spans="1:6" ht="15.75">
      <c r="A17" s="705" t="s">
        <v>339</v>
      </c>
      <c r="B17" s="705"/>
      <c r="C17" s="387"/>
      <c r="D17" s="387"/>
      <c r="E17" s="387"/>
      <c r="F17" s="385"/>
    </row>
    <row r="18" spans="1:9" ht="15.75">
      <c r="A18" s="387"/>
      <c r="B18" s="387"/>
      <c r="C18" s="387"/>
      <c r="D18" s="387"/>
      <c r="E18" s="387"/>
      <c r="F18" s="385"/>
      <c r="I18" s="654" t="str">
        <f ca="1">IF(B7="","",INDIRECT(I19))</f>
        <v>August</v>
      </c>
    </row>
    <row r="19" spans="1:9" ht="15.75">
      <c r="A19" s="387" t="s">
        <v>335</v>
      </c>
      <c r="B19" s="390" t="s">
        <v>340</v>
      </c>
      <c r="C19" s="387"/>
      <c r="D19" s="387"/>
      <c r="E19" s="387"/>
      <c r="I19" s="656" t="str">
        <f>IF(B7="","",CONCATENATE("J",I21))</f>
        <v>J8</v>
      </c>
    </row>
    <row r="20" spans="1:9" ht="15.75">
      <c r="A20" s="387"/>
      <c r="B20" s="387"/>
      <c r="C20" s="387"/>
      <c r="D20" s="387"/>
      <c r="E20" s="387"/>
      <c r="I20" s="657">
        <f>B7-10</f>
        <v>41488</v>
      </c>
    </row>
    <row r="21" spans="1:9" ht="15.75">
      <c r="A21" s="387" t="s">
        <v>336</v>
      </c>
      <c r="B21" s="387" t="s">
        <v>341</v>
      </c>
      <c r="C21" s="387"/>
      <c r="D21" s="387"/>
      <c r="E21" s="387"/>
      <c r="I21" s="658">
        <f>IF(B7="","",MONTH(I20))</f>
        <v>8</v>
      </c>
    </row>
    <row r="22" spans="1:9" ht="15.75">
      <c r="A22" s="387"/>
      <c r="B22" s="387"/>
      <c r="C22" s="387"/>
      <c r="D22" s="387"/>
      <c r="E22" s="387"/>
      <c r="I22" s="659">
        <f>IF(B7="","",DAY(I20))</f>
        <v>2</v>
      </c>
    </row>
    <row r="23" spans="1:9" ht="15.75">
      <c r="A23" s="387" t="s">
        <v>337</v>
      </c>
      <c r="B23" s="387" t="s">
        <v>342</v>
      </c>
      <c r="C23" s="387"/>
      <c r="D23" s="387"/>
      <c r="E23" s="387"/>
      <c r="I23" s="660">
        <f>IF(D7="","",YEAR(I20))</f>
        <v>2013</v>
      </c>
    </row>
    <row r="24" spans="1:5" ht="15.75">
      <c r="A24" s="387"/>
      <c r="B24" s="387"/>
      <c r="C24" s="387"/>
      <c r="D24" s="387"/>
      <c r="E24" s="387"/>
    </row>
    <row r="25" spans="1:5" ht="15.7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G23" sqref="G23"/>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14" t="s">
        <v>72</v>
      </c>
      <c r="B2" s="714"/>
      <c r="C2" s="714"/>
      <c r="D2" s="714"/>
      <c r="E2" s="714"/>
      <c r="F2" s="714"/>
      <c r="G2" s="714"/>
    </row>
    <row r="3" spans="1:7" ht="15.75">
      <c r="A3" s="98"/>
      <c r="B3" s="98"/>
      <c r="C3" s="98"/>
      <c r="D3" s="98"/>
      <c r="E3" s="98"/>
      <c r="F3" s="98"/>
      <c r="G3" s="108">
        <f>inputPrYr!D11</f>
        <v>2014</v>
      </c>
    </row>
    <row r="4" spans="1:7" ht="15.75">
      <c r="A4" s="717" t="str">
        <f>CONCATENATE("To the Clerk of ",inputPrYr!D4,", State of Kansas")</f>
        <v>To the Clerk of Osborne County, State of Kansas</v>
      </c>
      <c r="B4" s="717"/>
      <c r="C4" s="717"/>
      <c r="D4" s="717"/>
      <c r="E4" s="717"/>
      <c r="F4" s="717"/>
      <c r="G4" s="717"/>
    </row>
    <row r="5" spans="1:7" ht="15.75">
      <c r="A5" s="148" t="s">
        <v>172</v>
      </c>
      <c r="B5" s="108"/>
      <c r="C5" s="108"/>
      <c r="D5" s="108"/>
      <c r="E5" s="108"/>
      <c r="F5" s="108"/>
      <c r="G5" s="108"/>
    </row>
    <row r="6" spans="1:7" ht="15.75">
      <c r="A6" s="689" t="str">
        <f>inputPrYr!D3</f>
        <v>Grand Center Cemetery</v>
      </c>
      <c r="B6" s="689"/>
      <c r="C6" s="689"/>
      <c r="D6" s="689"/>
      <c r="E6" s="689"/>
      <c r="F6" s="689"/>
      <c r="G6" s="689"/>
    </row>
    <row r="7" spans="1:7" ht="15.75">
      <c r="A7" s="148" t="s">
        <v>9</v>
      </c>
      <c r="B7" s="108"/>
      <c r="C7" s="108"/>
      <c r="D7" s="108"/>
      <c r="E7" s="108"/>
      <c r="F7" s="108"/>
      <c r="G7" s="108"/>
    </row>
    <row r="8" spans="1:7" ht="15.75">
      <c r="A8" s="148" t="s">
        <v>10</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718" t="str">
        <f>CONCATENATE("",G3," Adopted Budget")</f>
        <v>2014 Adopted Budget</v>
      </c>
      <c r="F12" s="719"/>
      <c r="G12" s="720"/>
    </row>
    <row r="13" spans="1:8" ht="15.75">
      <c r="A13" s="97"/>
      <c r="B13" s="98"/>
      <c r="C13" s="98"/>
      <c r="D13" s="125"/>
      <c r="E13" s="205" t="s">
        <v>11</v>
      </c>
      <c r="F13" s="715" t="str">
        <f>CONCATENATE("Amount of  ",G3-1," Ad Valorem Tax")</f>
        <v>Amount of  2013 Ad Valorem Tax</v>
      </c>
      <c r="G13" s="206" t="s">
        <v>12</v>
      </c>
      <c r="H13" s="207"/>
    </row>
    <row r="14" spans="1:7" ht="15.75">
      <c r="A14" s="98"/>
      <c r="B14" s="98"/>
      <c r="C14" s="98"/>
      <c r="D14" s="208" t="s">
        <v>13</v>
      </c>
      <c r="E14" s="154" t="s">
        <v>220</v>
      </c>
      <c r="F14" s="716"/>
      <c r="G14" s="206" t="s">
        <v>14</v>
      </c>
    </row>
    <row r="15" spans="1:7" ht="15.75">
      <c r="A15" s="99" t="s">
        <v>15</v>
      </c>
      <c r="B15" s="98"/>
      <c r="C15" s="98"/>
      <c r="D15" s="154" t="s">
        <v>16</v>
      </c>
      <c r="E15" s="154" t="s">
        <v>578</v>
      </c>
      <c r="F15" s="716"/>
      <c r="G15" s="206" t="s">
        <v>18</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141</v>
      </c>
      <c r="B18" s="180"/>
      <c r="C18" s="180"/>
      <c r="D18" s="157">
        <v>3</v>
      </c>
      <c r="E18" s="213"/>
      <c r="F18" s="213"/>
      <c r="G18" s="216"/>
    </row>
    <row r="19" spans="1:7" ht="15.75">
      <c r="A19" s="215" t="s">
        <v>138</v>
      </c>
      <c r="B19" s="180"/>
      <c r="C19" s="180"/>
      <c r="D19" s="157">
        <v>4</v>
      </c>
      <c r="E19" s="213"/>
      <c r="F19" s="213"/>
      <c r="G19" s="216"/>
    </row>
    <row r="20" spans="1:7" ht="15.75">
      <c r="A20" s="211" t="s">
        <v>137</v>
      </c>
      <c r="B20" s="180"/>
      <c r="C20" s="180"/>
      <c r="D20" s="157">
        <v>5</v>
      </c>
      <c r="E20" s="213"/>
      <c r="F20" s="213"/>
      <c r="G20" s="216"/>
    </row>
    <row r="21" spans="1:7" ht="15.75">
      <c r="A21" s="575" t="s">
        <v>19</v>
      </c>
      <c r="B21" s="217"/>
      <c r="C21" s="576" t="s">
        <v>20</v>
      </c>
      <c r="D21" s="212"/>
      <c r="E21" s="218"/>
      <c r="F21" s="125"/>
      <c r="G21" s="129"/>
    </row>
    <row r="22" spans="1:7" ht="15.75">
      <c r="A22" s="219" t="s">
        <v>5</v>
      </c>
      <c r="B22" s="217"/>
      <c r="C22" s="220">
        <f>inputPrYr!C24</f>
        <v>0</v>
      </c>
      <c r="D22" s="193">
        <v>6</v>
      </c>
      <c r="E22" s="221">
        <f>IF(gen!$E$61&lt;&gt;0,gen!$E$61,"  ")</f>
        <v>7400</v>
      </c>
      <c r="F22" s="221">
        <f>IF(gen!$E$68&lt;&gt;0,gen!$E$68,"  ")</f>
        <v>4187</v>
      </c>
      <c r="G22" s="662">
        <v>3.907</v>
      </c>
    </row>
    <row r="23" spans="1:7" ht="15.7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63"/>
    </row>
    <row r="27" spans="1:7" ht="15.75">
      <c r="A27" s="161" t="str">
        <f>IF(inputPrYr!$B$32&gt;"  ",inputPrYr!$B$32,"  ")</f>
        <v>  </v>
      </c>
      <c r="B27" s="226"/>
      <c r="C27" s="224"/>
      <c r="D27" s="225" t="str">
        <f>IF(nolevypage9!C71&gt;0,nolevypage9!C71," ")</f>
        <v> </v>
      </c>
      <c r="E27" s="160" t="str">
        <f>IF(nolevypage9!$E$65&lt;&gt;0,nolevypage9!$E$65,"  ")</f>
        <v>  </v>
      </c>
      <c r="F27" s="159"/>
      <c r="G27" s="663"/>
    </row>
    <row r="28" spans="1:7" ht="15.75">
      <c r="A28" s="161">
        <f>IF((inputPrYr!$B$35&gt;" "),(NonBud!$A$3),"")</f>
      </c>
      <c r="B28" s="226"/>
      <c r="C28" s="206"/>
      <c r="D28" s="193">
        <f>IF(NonBud!F33&gt;0,NonBud!F33,"")</f>
      </c>
      <c r="E28" s="227"/>
      <c r="F28" s="228"/>
      <c r="G28" s="664"/>
    </row>
    <row r="29" spans="1:7" ht="16.5" thickBot="1">
      <c r="A29" s="229" t="s">
        <v>127</v>
      </c>
      <c r="B29" s="223"/>
      <c r="C29" s="217"/>
      <c r="D29" s="230" t="s">
        <v>21</v>
      </c>
      <c r="E29" s="231">
        <f>SUM(E22:E27)</f>
        <v>7400</v>
      </c>
      <c r="F29" s="169">
        <f>SUM(F22:F27)</f>
        <v>4187</v>
      </c>
      <c r="G29" s="665">
        <f>IF(SUM(G22:G27)=0,"",SUM(G22:G27))</f>
        <v>3.907</v>
      </c>
    </row>
    <row r="30" spans="1:7" ht="16.5" thickTop="1">
      <c r="A30" s="219" t="s">
        <v>202</v>
      </c>
      <c r="B30" s="223"/>
      <c r="C30" s="217"/>
      <c r="D30" s="232">
        <f>summ!E42</f>
        <v>0</v>
      </c>
      <c r="E30" s="233" t="s">
        <v>204</v>
      </c>
      <c r="F30" s="234" t="str">
        <f>IF(F29&gt;computation!J34,"Yes","No")</f>
        <v>No</v>
      </c>
      <c r="G30" s="98"/>
    </row>
    <row r="31" spans="1:7" ht="15.75">
      <c r="A31" s="219" t="s">
        <v>225</v>
      </c>
      <c r="B31" s="223"/>
      <c r="C31" s="217"/>
      <c r="D31" s="232">
        <f>IF(Nhood!C35&gt;0,Nhood!C35,"")</f>
      </c>
      <c r="E31" s="98"/>
      <c r="F31" s="98"/>
      <c r="G31" s="97" t="s">
        <v>22</v>
      </c>
    </row>
    <row r="32" spans="1:7" ht="15.75">
      <c r="A32" s="219" t="s">
        <v>203</v>
      </c>
      <c r="B32" s="223"/>
      <c r="C32" s="217"/>
      <c r="D32" s="232">
        <f>IF(Resolution!E45&gt;0,Resolution!E45,"")</f>
      </c>
      <c r="E32" s="577"/>
      <c r="F32" s="235"/>
      <c r="G32" s="97"/>
    </row>
    <row r="33" spans="1:7" ht="15.75">
      <c r="A33" s="97" t="s">
        <v>22</v>
      </c>
      <c r="B33" s="97" t="s">
        <v>22</v>
      </c>
      <c r="C33" s="97" t="s">
        <v>22</v>
      </c>
      <c r="D33" s="236" t="s">
        <v>149</v>
      </c>
      <c r="E33" s="125"/>
      <c r="F33" s="710" t="s">
        <v>129</v>
      </c>
      <c r="G33" s="720"/>
    </row>
    <row r="34" spans="1:7" ht="15.75">
      <c r="A34" s="98" t="s">
        <v>332</v>
      </c>
      <c r="B34" s="98"/>
      <c r="C34" s="97" t="s">
        <v>22</v>
      </c>
      <c r="D34" s="219" t="str">
        <f>inputPrYr!D4</f>
        <v>Osborne County</v>
      </c>
      <c r="E34" s="223"/>
      <c r="F34" s="706">
        <v>517794</v>
      </c>
      <c r="G34" s="707"/>
    </row>
    <row r="35" spans="1:7" ht="15.75">
      <c r="A35" s="237" t="s">
        <v>819</v>
      </c>
      <c r="B35" s="237"/>
      <c r="C35" s="97" t="s">
        <v>22</v>
      </c>
      <c r="D35" s="219" t="str">
        <f>inputPrYr!D6</f>
        <v>Russell County</v>
      </c>
      <c r="E35" s="223"/>
      <c r="F35" s="706">
        <v>554048</v>
      </c>
      <c r="G35" s="707"/>
    </row>
    <row r="36" spans="1:7" ht="15.75">
      <c r="A36" s="238" t="s">
        <v>820</v>
      </c>
      <c r="B36" s="238"/>
      <c r="C36" s="97" t="s">
        <v>22</v>
      </c>
      <c r="D36" s="219">
        <f>inputPrYr!D7</f>
        <v>0</v>
      </c>
      <c r="E36" s="223"/>
      <c r="F36" s="706"/>
      <c r="G36" s="707"/>
    </row>
    <row r="37" spans="1:7" ht="15.75">
      <c r="A37" s="101" t="s">
        <v>333</v>
      </c>
      <c r="B37" s="213"/>
      <c r="C37" s="97" t="s">
        <v>22</v>
      </c>
      <c r="D37" s="219">
        <f>inputPrYr!D8</f>
        <v>0</v>
      </c>
      <c r="E37" s="223"/>
      <c r="F37" s="706"/>
      <c r="G37" s="707"/>
    </row>
    <row r="38" spans="1:7" ht="15.75">
      <c r="A38" s="237" t="s">
        <v>821</v>
      </c>
      <c r="B38" s="237"/>
      <c r="C38" s="97" t="s">
        <v>22</v>
      </c>
      <c r="D38" s="219">
        <f>inputPrYr!D9</f>
        <v>0</v>
      </c>
      <c r="E38" s="223"/>
      <c r="F38" s="706"/>
      <c r="G38" s="707"/>
    </row>
    <row r="39" spans="1:7" ht="15.75">
      <c r="A39" s="238" t="s">
        <v>822</v>
      </c>
      <c r="B39" s="238"/>
      <c r="C39" s="97" t="s">
        <v>22</v>
      </c>
      <c r="D39" s="219" t="s">
        <v>150</v>
      </c>
      <c r="E39" s="223"/>
      <c r="F39" s="708">
        <f>SUM(F34:F38)</f>
        <v>1071842</v>
      </c>
      <c r="G39" s="709"/>
    </row>
    <row r="40" spans="1:7" ht="15.75">
      <c r="A40" s="238"/>
      <c r="B40" s="238"/>
      <c r="C40" s="97" t="s">
        <v>22</v>
      </c>
      <c r="D40" s="97" t="s">
        <v>22</v>
      </c>
      <c r="E40" s="105"/>
      <c r="F40" s="710" t="str">
        <f>CONCATENATE("November 1, ",G3-1," Valuation")</f>
        <v>November 1, 2013 Valuation</v>
      </c>
      <c r="G40" s="707"/>
    </row>
    <row r="41" spans="1:7" ht="15.75">
      <c r="A41" s="97" t="s">
        <v>777</v>
      </c>
      <c r="B41" s="97" t="s">
        <v>22</v>
      </c>
      <c r="C41" s="97"/>
      <c r="D41" s="97"/>
      <c r="E41" s="98"/>
      <c r="F41" s="98"/>
      <c r="G41" s="98"/>
    </row>
    <row r="42" spans="1:7" ht="15.75">
      <c r="A42" s="661"/>
      <c r="B42" s="237"/>
      <c r="C42" s="105"/>
      <c r="D42" s="105" t="s">
        <v>778</v>
      </c>
      <c r="E42" s="670"/>
      <c r="F42" s="578"/>
      <c r="G42" s="578"/>
    </row>
    <row r="43" spans="1:7" ht="15.75">
      <c r="A43" s="97" t="s">
        <v>22</v>
      </c>
      <c r="B43" s="97" t="s">
        <v>22</v>
      </c>
      <c r="C43" s="97"/>
      <c r="D43" s="98"/>
      <c r="E43" s="98"/>
      <c r="F43" s="138"/>
      <c r="G43" s="138"/>
    </row>
    <row r="44" spans="1:7" ht="15.75">
      <c r="A44" s="97" t="s">
        <v>22</v>
      </c>
      <c r="B44" s="97" t="s">
        <v>22</v>
      </c>
      <c r="C44" s="105"/>
      <c r="D44" s="105" t="s">
        <v>778</v>
      </c>
      <c r="E44" s="105"/>
      <c r="F44" s="578"/>
      <c r="G44" s="578"/>
    </row>
    <row r="45" spans="1:7" ht="15.75">
      <c r="A45" s="97" t="s">
        <v>22</v>
      </c>
      <c r="B45" s="579" t="s">
        <v>22</v>
      </c>
      <c r="C45" s="105"/>
      <c r="D45" s="105"/>
      <c r="E45" s="105"/>
      <c r="F45" s="578"/>
      <c r="G45" s="578"/>
    </row>
    <row r="46" spans="1:7" ht="15.75">
      <c r="A46" s="97" t="s">
        <v>22</v>
      </c>
      <c r="B46" s="97" t="s">
        <v>22</v>
      </c>
      <c r="C46" s="105"/>
      <c r="D46" s="105" t="s">
        <v>778</v>
      </c>
      <c r="E46" s="105"/>
      <c r="F46" s="578"/>
      <c r="G46" s="578"/>
    </row>
    <row r="47" spans="1:7" ht="15.75">
      <c r="A47" s="97" t="s">
        <v>22</v>
      </c>
      <c r="B47" s="97" t="s">
        <v>22</v>
      </c>
      <c r="C47" s="105"/>
      <c r="D47" s="105"/>
      <c r="E47" s="105"/>
      <c r="F47" s="670"/>
      <c r="G47" s="670"/>
    </row>
    <row r="48" spans="1:7" ht="15.75">
      <c r="A48" s="97" t="s">
        <v>173</v>
      </c>
      <c r="B48" s="105"/>
      <c r="C48" s="97">
        <f>G3-1</f>
        <v>2013</v>
      </c>
      <c r="D48" s="105" t="s">
        <v>778</v>
      </c>
      <c r="E48" s="105"/>
      <c r="F48" s="578"/>
      <c r="G48" s="578"/>
    </row>
    <row r="49" spans="1:7" ht="15.75">
      <c r="A49" s="97" t="s">
        <v>22</v>
      </c>
      <c r="B49" s="97" t="s">
        <v>22</v>
      </c>
      <c r="C49" s="97" t="s">
        <v>22</v>
      </c>
      <c r="D49" s="98"/>
      <c r="E49" s="98"/>
      <c r="F49" s="108"/>
      <c r="G49" s="108"/>
    </row>
    <row r="50" spans="1:7" ht="15.75">
      <c r="A50" s="711"/>
      <c r="B50" s="712"/>
      <c r="C50" s="98"/>
      <c r="D50" s="105" t="s">
        <v>778</v>
      </c>
      <c r="E50" s="105"/>
      <c r="F50" s="105"/>
      <c r="G50" s="105"/>
    </row>
    <row r="51" spans="1:7" ht="15.75">
      <c r="A51" s="108" t="s">
        <v>24</v>
      </c>
      <c r="B51" s="108"/>
      <c r="C51" s="98"/>
      <c r="D51" s="721" t="s">
        <v>23</v>
      </c>
      <c r="E51" s="722"/>
      <c r="F51" s="722"/>
      <c r="G51" s="722"/>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13"/>
    </row>
    <row r="55" spans="1:7" ht="15.75">
      <c r="A55" s="96"/>
      <c r="B55" s="96"/>
      <c r="C55" s="96"/>
      <c r="D55" s="96"/>
      <c r="E55" s="96"/>
      <c r="F55" s="96"/>
      <c r="G55" s="713"/>
    </row>
    <row r="56" spans="1:7" ht="15.75">
      <c r="A56" s="96"/>
      <c r="B56" s="96"/>
      <c r="C56" s="96"/>
      <c r="D56" s="96"/>
      <c r="E56" s="96"/>
      <c r="F56" s="96"/>
      <c r="G56" s="713"/>
    </row>
    <row r="57" spans="1:7" ht="15.75">
      <c r="A57" s="96"/>
      <c r="B57" s="96"/>
      <c r="C57" s="96"/>
      <c r="D57" s="96"/>
      <c r="E57" s="96"/>
      <c r="F57" s="96"/>
      <c r="G57" s="713"/>
    </row>
    <row r="58" spans="1:7" ht="15.75">
      <c r="A58" s="96"/>
      <c r="B58" s="96"/>
      <c r="C58" s="96"/>
      <c r="D58" s="239"/>
      <c r="E58" s="96"/>
      <c r="F58" s="96"/>
      <c r="G58" s="713"/>
    </row>
    <row r="59" ht="15.75">
      <c r="G59" s="713"/>
    </row>
    <row r="60" ht="15.75">
      <c r="G60" s="713"/>
    </row>
    <row r="61" ht="15.75">
      <c r="G61" s="713"/>
    </row>
    <row r="62" ht="15.75">
      <c r="G62" s="713"/>
    </row>
    <row r="63" ht="15.75">
      <c r="G63" s="713"/>
    </row>
    <row r="64" ht="15.75">
      <c r="G64" s="713"/>
    </row>
    <row r="65" ht="15.75">
      <c r="G65" s="713"/>
    </row>
    <row r="66" ht="15.75">
      <c r="G66" s="713"/>
    </row>
  </sheetData>
  <sheetProtection/>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600" verticalDpi="600" orientation="portrait" scale="66"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Grand Center Cemetery</v>
      </c>
      <c r="D1" s="98"/>
      <c r="E1" s="98"/>
      <c r="F1" s="98"/>
      <c r="G1" s="98"/>
      <c r="H1" s="98"/>
      <c r="I1" s="98"/>
      <c r="J1" s="98">
        <f>inputPrYr!D11</f>
        <v>2014</v>
      </c>
    </row>
    <row r="2" spans="1:10" ht="15.75" customHeight="1">
      <c r="A2" s="98"/>
      <c r="B2" s="98"/>
      <c r="C2" s="98" t="str">
        <f>inputPrYr!D4</f>
        <v>Osborne County</v>
      </c>
      <c r="D2" s="98"/>
      <c r="E2" s="98"/>
      <c r="F2" s="98"/>
      <c r="G2" s="98"/>
      <c r="H2" s="98"/>
      <c r="I2" s="98"/>
      <c r="J2" s="98"/>
    </row>
    <row r="3" spans="1:10" ht="15.75">
      <c r="A3" s="723" t="str">
        <f>CONCATENATE("Computation to Determine Limit for ",J1,"")</f>
        <v>Computation to Determine Limit for 2014</v>
      </c>
      <c r="B3" s="714"/>
      <c r="C3" s="714"/>
      <c r="D3" s="714"/>
      <c r="E3" s="714"/>
      <c r="F3" s="714"/>
      <c r="G3" s="714"/>
      <c r="H3" s="714"/>
      <c r="I3" s="714"/>
      <c r="J3" s="714"/>
    </row>
    <row r="4" spans="1:10" ht="15.75">
      <c r="A4" s="98"/>
      <c r="B4" s="98"/>
      <c r="C4" s="98"/>
      <c r="D4" s="98"/>
      <c r="E4" s="714"/>
      <c r="F4" s="714"/>
      <c r="G4" s="714"/>
      <c r="H4" s="185"/>
      <c r="I4" s="98"/>
      <c r="J4" s="241" t="s">
        <v>83</v>
      </c>
    </row>
    <row r="5" spans="1:10" ht="15.75">
      <c r="A5" s="242" t="s">
        <v>84</v>
      </c>
      <c r="B5" s="98" t="str">
        <f>CONCATENATE("Total Tax Levy Amount in ",J1-1," Budget")</f>
        <v>Total Tax Levy Amount in 2013 Budget</v>
      </c>
      <c r="C5" s="98"/>
      <c r="D5" s="98"/>
      <c r="E5" s="122"/>
      <c r="F5" s="122"/>
      <c r="G5" s="122"/>
      <c r="H5" s="243" t="s">
        <v>85</v>
      </c>
      <c r="I5" s="122" t="s">
        <v>86</v>
      </c>
      <c r="J5" s="413">
        <f>inputPrYr!E29</f>
        <v>4171</v>
      </c>
    </row>
    <row r="6" spans="1:10" ht="15.75">
      <c r="A6" s="242" t="s">
        <v>87</v>
      </c>
      <c r="B6" s="98" t="str">
        <f>CONCATENATE("Debt Service Levy in ",J1-1," Budget")</f>
        <v>Debt Service Levy in 2013 Budget</v>
      </c>
      <c r="C6" s="98"/>
      <c r="D6" s="98"/>
      <c r="E6" s="122"/>
      <c r="F6" s="122"/>
      <c r="G6" s="122"/>
      <c r="H6" s="243" t="s">
        <v>88</v>
      </c>
      <c r="I6" s="122" t="s">
        <v>86</v>
      </c>
      <c r="J6" s="414">
        <f>inputPrYr!E25</f>
        <v>0</v>
      </c>
    </row>
    <row r="7" spans="1:10" ht="15.75">
      <c r="A7" s="242" t="s">
        <v>112</v>
      </c>
      <c r="B7" s="109" t="s">
        <v>106</v>
      </c>
      <c r="C7" s="98"/>
      <c r="D7" s="98"/>
      <c r="E7" s="122"/>
      <c r="F7" s="122"/>
      <c r="G7" s="122"/>
      <c r="H7" s="122"/>
      <c r="I7" s="122" t="s">
        <v>86</v>
      </c>
      <c r="J7" s="245">
        <f>J5-J6</f>
        <v>4171</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89</v>
      </c>
      <c r="B11" s="109" t="str">
        <f>CONCATENATE("New Improvements for ",J1-1,":")</f>
        <v>New Improvements for 2013:</v>
      </c>
      <c r="C11" s="98"/>
      <c r="D11" s="98"/>
      <c r="E11" s="243"/>
      <c r="F11" s="243" t="s">
        <v>85</v>
      </c>
      <c r="G11" s="244">
        <f>inputOth!E19</f>
        <v>1574</v>
      </c>
      <c r="H11" s="246"/>
      <c r="I11" s="122"/>
      <c r="J11" s="122"/>
    </row>
    <row r="12" spans="1:10" ht="15.75">
      <c r="A12" s="242"/>
      <c r="B12" s="242"/>
      <c r="C12" s="98"/>
      <c r="D12" s="98"/>
      <c r="E12" s="243"/>
      <c r="F12" s="243"/>
      <c r="G12" s="246"/>
      <c r="H12" s="246"/>
      <c r="I12" s="122"/>
      <c r="J12" s="122"/>
    </row>
    <row r="13" spans="1:10" ht="15.75">
      <c r="A13" s="242" t="s">
        <v>90</v>
      </c>
      <c r="B13" s="109" t="str">
        <f>CONCATENATE("Increase in Personal Property for ",J1-1,":")</f>
        <v>Increase in Personal Property for 2013:</v>
      </c>
      <c r="C13" s="98"/>
      <c r="D13" s="98"/>
      <c r="E13" s="243"/>
      <c r="F13" s="243"/>
      <c r="G13" s="246"/>
      <c r="H13" s="246"/>
      <c r="I13" s="122"/>
      <c r="J13" s="122"/>
    </row>
    <row r="14" spans="1:10" ht="15.75">
      <c r="A14" s="98"/>
      <c r="B14" s="98" t="s">
        <v>91</v>
      </c>
      <c r="C14" s="98" t="str">
        <f>CONCATENATE("Personal Property ",J1-1,"")</f>
        <v>Personal Property 2013</v>
      </c>
      <c r="D14" s="242" t="s">
        <v>85</v>
      </c>
      <c r="E14" s="244">
        <f>inputOth!E26</f>
        <v>29744</v>
      </c>
      <c r="F14" s="243"/>
      <c r="G14" s="122"/>
      <c r="H14" s="122"/>
      <c r="I14" s="246"/>
      <c r="J14" s="122"/>
    </row>
    <row r="15" spans="1:10" ht="15.75">
      <c r="A15" s="242"/>
      <c r="B15" s="98" t="s">
        <v>92</v>
      </c>
      <c r="C15" s="98" t="str">
        <f>CONCATENATE("Personal Property ",J1-2,"")</f>
        <v>Personal Property 2012</v>
      </c>
      <c r="D15" s="242" t="s">
        <v>88</v>
      </c>
      <c r="E15" s="245">
        <f>inputOth!E40</f>
        <v>29100</v>
      </c>
      <c r="F15" s="243"/>
      <c r="G15" s="246"/>
      <c r="H15" s="246"/>
      <c r="I15" s="122"/>
      <c r="J15" s="122"/>
    </row>
    <row r="16" spans="1:10" ht="15.75">
      <c r="A16" s="242"/>
      <c r="B16" s="98" t="s">
        <v>93</v>
      </c>
      <c r="C16" s="98" t="s">
        <v>107</v>
      </c>
      <c r="D16" s="98"/>
      <c r="E16" s="122"/>
      <c r="F16" s="122" t="s">
        <v>85</v>
      </c>
      <c r="G16" s="244">
        <f>IF(E14&gt;E15,E14-E15,0)</f>
        <v>644</v>
      </c>
      <c r="H16" s="246"/>
      <c r="I16" s="122"/>
      <c r="J16" s="122"/>
    </row>
    <row r="17" spans="1:10" ht="15.75">
      <c r="A17" s="242"/>
      <c r="B17" s="242"/>
      <c r="C17" s="98"/>
      <c r="D17" s="98"/>
      <c r="E17" s="122"/>
      <c r="F17" s="122"/>
      <c r="G17" s="246" t="s">
        <v>101</v>
      </c>
      <c r="H17" s="246"/>
      <c r="I17" s="122"/>
      <c r="J17" s="122"/>
    </row>
    <row r="18" spans="1:10" ht="15.75">
      <c r="A18" s="242" t="s">
        <v>94</v>
      </c>
      <c r="B18" s="109" t="str">
        <f>CONCATENATE("Valuation of Property that has Changed in Use during ",J1-1,":")</f>
        <v>Valuation of Property that has Changed in Use during 2013:</v>
      </c>
      <c r="C18" s="98"/>
      <c r="D18" s="242"/>
      <c r="E18" s="122"/>
      <c r="F18" s="122"/>
      <c r="G18" s="122">
        <f>inputOth!E33</f>
        <v>1745</v>
      </c>
      <c r="H18" s="122"/>
      <c r="I18" s="122"/>
      <c r="J18" s="122"/>
    </row>
    <row r="19" spans="1:10" ht="15.75">
      <c r="A19" s="98" t="s">
        <v>11</v>
      </c>
      <c r="B19" s="98"/>
      <c r="C19" s="98"/>
      <c r="D19" s="98"/>
      <c r="E19" s="246"/>
      <c r="F19" s="122"/>
      <c r="G19" s="247"/>
      <c r="H19" s="246"/>
      <c r="I19" s="122"/>
      <c r="J19" s="122"/>
    </row>
    <row r="20" spans="1:10" ht="15.75">
      <c r="A20" s="242" t="s">
        <v>95</v>
      </c>
      <c r="B20" s="109" t="s">
        <v>108</v>
      </c>
      <c r="C20" s="98"/>
      <c r="D20" s="242"/>
      <c r="E20" s="122"/>
      <c r="F20" s="122"/>
      <c r="G20" s="244">
        <f>G11+G16+G18</f>
        <v>3963</v>
      </c>
      <c r="H20" s="246"/>
      <c r="I20" s="122"/>
      <c r="J20" s="122"/>
    </row>
    <row r="21" spans="1:10" ht="15.75">
      <c r="A21" s="242"/>
      <c r="B21" s="242"/>
      <c r="C21" s="109"/>
      <c r="D21" s="98"/>
      <c r="E21" s="122"/>
      <c r="F21" s="122"/>
      <c r="G21" s="246"/>
      <c r="H21" s="246"/>
      <c r="I21" s="122"/>
      <c r="J21" s="122"/>
    </row>
    <row r="22" spans="1:10" ht="15.75">
      <c r="A22" s="242" t="s">
        <v>96</v>
      </c>
      <c r="B22" s="98" t="str">
        <f>CONCATENATE("Total Estimated Valuation July, 1,",J1-1,"")</f>
        <v>Total Estimated Valuation July, 1,2013</v>
      </c>
      <c r="C22" s="98"/>
      <c r="D22" s="98"/>
      <c r="E22" s="244">
        <f>inputOth!E12</f>
        <v>1069957</v>
      </c>
      <c r="F22" s="122"/>
      <c r="G22" s="122"/>
      <c r="H22" s="122"/>
      <c r="I22" s="243"/>
      <c r="J22" s="122"/>
    </row>
    <row r="23" spans="1:10" ht="15.75">
      <c r="A23" s="242"/>
      <c r="B23" s="242"/>
      <c r="C23" s="98"/>
      <c r="D23" s="98"/>
      <c r="E23" s="246"/>
      <c r="F23" s="122"/>
      <c r="G23" s="122"/>
      <c r="H23" s="122"/>
      <c r="I23" s="243"/>
      <c r="J23" s="122"/>
    </row>
    <row r="24" spans="1:10" ht="15.75">
      <c r="A24" s="242" t="s">
        <v>97</v>
      </c>
      <c r="B24" s="109" t="s">
        <v>109</v>
      </c>
      <c r="C24" s="98"/>
      <c r="D24" s="98"/>
      <c r="E24" s="122"/>
      <c r="F24" s="122"/>
      <c r="G24" s="244">
        <f>E22-G20</f>
        <v>1065994</v>
      </c>
      <c r="H24" s="246"/>
      <c r="I24" s="243"/>
      <c r="J24" s="122"/>
    </row>
    <row r="25" spans="1:10" ht="15.75">
      <c r="A25" s="242"/>
      <c r="B25" s="242"/>
      <c r="C25" s="109"/>
      <c r="D25" s="98"/>
      <c r="E25" s="122"/>
      <c r="F25" s="122"/>
      <c r="G25" s="247"/>
      <c r="H25" s="246"/>
      <c r="I25" s="243"/>
      <c r="J25" s="122"/>
    </row>
    <row r="26" spans="1:10" ht="15.75">
      <c r="A26" s="242" t="s">
        <v>98</v>
      </c>
      <c r="B26" s="98" t="s">
        <v>110</v>
      </c>
      <c r="C26" s="98"/>
      <c r="D26" s="98"/>
      <c r="E26" s="98"/>
      <c r="F26" s="98"/>
      <c r="G26" s="248">
        <f>IF(G20&gt;0,G20/G24,0)</f>
        <v>0.003717656947412462</v>
      </c>
      <c r="H26" s="105"/>
      <c r="I26" s="98"/>
      <c r="J26" s="98"/>
    </row>
    <row r="27" spans="1:10" ht="15.75">
      <c r="A27" s="242"/>
      <c r="B27" s="242"/>
      <c r="C27" s="98"/>
      <c r="D27" s="98"/>
      <c r="E27" s="98"/>
      <c r="F27" s="98"/>
      <c r="G27" s="105"/>
      <c r="H27" s="105"/>
      <c r="I27" s="98"/>
      <c r="J27" s="98"/>
    </row>
    <row r="28" spans="1:10" ht="15.75">
      <c r="A28" s="242" t="s">
        <v>99</v>
      </c>
      <c r="B28" s="98" t="s">
        <v>111</v>
      </c>
      <c r="C28" s="98"/>
      <c r="D28" s="98"/>
      <c r="E28" s="98"/>
      <c r="F28" s="98"/>
      <c r="G28" s="105"/>
      <c r="H28" s="249" t="s">
        <v>85</v>
      </c>
      <c r="I28" s="98" t="s">
        <v>86</v>
      </c>
      <c r="J28" s="244">
        <f>ROUND(G26*J7,0)</f>
        <v>16</v>
      </c>
    </row>
    <row r="29" spans="1:10" ht="15.75">
      <c r="A29" s="242"/>
      <c r="B29" s="242"/>
      <c r="C29" s="98"/>
      <c r="D29" s="98"/>
      <c r="E29" s="98"/>
      <c r="F29" s="98"/>
      <c r="G29" s="105"/>
      <c r="H29" s="249"/>
      <c r="I29" s="98"/>
      <c r="J29" s="246"/>
    </row>
    <row r="30" spans="1:10" ht="16.5" thickBot="1">
      <c r="A30" s="242" t="s">
        <v>100</v>
      </c>
      <c r="B30" s="109" t="s">
        <v>116</v>
      </c>
      <c r="C30" s="98"/>
      <c r="D30" s="98"/>
      <c r="E30" s="98"/>
      <c r="F30" s="98"/>
      <c r="G30" s="98"/>
      <c r="H30" s="98"/>
      <c r="I30" s="98" t="s">
        <v>86</v>
      </c>
      <c r="J30" s="250">
        <f>J7+J28</f>
        <v>4187</v>
      </c>
    </row>
    <row r="31" spans="1:10" ht="16.5" thickTop="1">
      <c r="A31" s="242"/>
      <c r="B31" s="109"/>
      <c r="C31" s="98"/>
      <c r="D31" s="98"/>
      <c r="E31" s="98"/>
      <c r="F31" s="98"/>
      <c r="G31" s="98"/>
      <c r="H31" s="98"/>
      <c r="I31" s="98"/>
      <c r="J31" s="98"/>
    </row>
    <row r="32" spans="1:10" ht="15.75">
      <c r="A32" s="242" t="s">
        <v>114</v>
      </c>
      <c r="B32" s="109" t="str">
        <f>CONCATENATE("Debt Service Levy in this ",J1," Budget")</f>
        <v>Debt Service Levy in this 2014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115</v>
      </c>
      <c r="B34" s="109" t="s">
        <v>117</v>
      </c>
      <c r="C34" s="98"/>
      <c r="D34" s="98"/>
      <c r="E34" s="98"/>
      <c r="F34" s="98"/>
      <c r="G34" s="98"/>
      <c r="H34" s="98"/>
      <c r="I34" s="98"/>
      <c r="J34" s="250">
        <f>J30+J32</f>
        <v>4187</v>
      </c>
    </row>
    <row r="35" spans="1:10" ht="16.5" thickTop="1">
      <c r="A35" s="98"/>
      <c r="B35" s="98"/>
      <c r="C35" s="98"/>
      <c r="D35" s="98"/>
      <c r="E35" s="98"/>
      <c r="F35" s="98"/>
      <c r="G35" s="98"/>
      <c r="H35" s="98"/>
      <c r="I35" s="98"/>
      <c r="J35" s="98"/>
    </row>
    <row r="36" spans="1:10" ht="15.75">
      <c r="A36" s="721" t="str">
        <f>CONCATENATE("If the ",J1," budget includes tax levies exceeding the total on line 14, you must")</f>
        <v>If the 2014 budget includes tax levies exceeding the total on line 14, you must</v>
      </c>
      <c r="B36" s="721"/>
      <c r="C36" s="721"/>
      <c r="D36" s="721"/>
      <c r="E36" s="721"/>
      <c r="F36" s="721"/>
      <c r="G36" s="721"/>
      <c r="H36" s="721"/>
      <c r="I36" s="721"/>
      <c r="J36" s="721"/>
    </row>
    <row r="37" spans="1:10" ht="15.75">
      <c r="A37" s="721" t="s">
        <v>113</v>
      </c>
      <c r="B37" s="721"/>
      <c r="C37" s="721"/>
      <c r="D37" s="721"/>
      <c r="E37" s="721"/>
      <c r="F37" s="721"/>
      <c r="G37" s="721"/>
      <c r="H37" s="721"/>
      <c r="I37" s="721"/>
      <c r="J37" s="72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Grand Center Cemetery</v>
      </c>
      <c r="C1" s="98"/>
      <c r="D1" s="98"/>
      <c r="E1" s="98"/>
      <c r="F1" s="98"/>
      <c r="G1" s="98"/>
      <c r="H1" s="98"/>
      <c r="I1" s="251"/>
      <c r="J1" s="98"/>
    </row>
    <row r="2" spans="1:10" ht="15.75">
      <c r="A2" s="98"/>
      <c r="B2" s="98" t="str">
        <f>inputPrYr!D4</f>
        <v>Osborne County</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26" t="s">
        <v>754</v>
      </c>
      <c r="C6" s="726"/>
      <c r="D6" s="726"/>
      <c r="E6" s="726"/>
      <c r="F6" s="726"/>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24" t="str">
        <f>CONCATENATE("",J2-1,"                    Budgeted Funds")</f>
        <v>2013                    Budgeted Funds</v>
      </c>
      <c r="C9" s="715" t="str">
        <f>CONCATENATE("Tax Levy Amount in ",J2-2," Budget")</f>
        <v>Tax Levy Amount in 2012 Budget</v>
      </c>
      <c r="D9" s="718" t="str">
        <f>CONCATENATE("Allocation for Year ",J2,"")</f>
        <v>Allocation for Year 2014</v>
      </c>
      <c r="E9" s="727"/>
      <c r="F9" s="707"/>
      <c r="G9" s="98"/>
      <c r="H9" s="98"/>
      <c r="I9" s="98"/>
      <c r="J9" s="98"/>
    </row>
    <row r="10" spans="1:10" ht="15.75">
      <c r="A10" s="98"/>
      <c r="B10" s="725"/>
      <c r="C10" s="725"/>
      <c r="D10" s="157" t="s">
        <v>38</v>
      </c>
      <c r="E10" s="157" t="s">
        <v>39</v>
      </c>
      <c r="F10" s="212" t="s">
        <v>80</v>
      </c>
      <c r="G10" s="98"/>
      <c r="H10" s="98"/>
      <c r="I10" s="98"/>
      <c r="J10" s="98"/>
    </row>
    <row r="11" spans="1:10" ht="15.75">
      <c r="A11" s="98"/>
      <c r="B11" s="132" t="str">
        <f>inputPrYr!B24</f>
        <v>General</v>
      </c>
      <c r="C11" s="159">
        <f>inputPrYr!E24</f>
        <v>4171</v>
      </c>
      <c r="D11" s="159">
        <f>IF(E17=0,0,E17-D12-D13-D14)</f>
        <v>318</v>
      </c>
      <c r="E11" s="159">
        <f>IF(E19=0,0,E19-E12-E13-E14)</f>
        <v>2</v>
      </c>
      <c r="F11" s="159">
        <f>IF(E21=0,0,E21-F12-F13-F14)</f>
        <v>18</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8</v>
      </c>
      <c r="C15" s="167">
        <f>SUM(C11:C14)</f>
        <v>4171</v>
      </c>
      <c r="D15" s="167">
        <f>SUM(D11:D14)</f>
        <v>318</v>
      </c>
      <c r="E15" s="167">
        <f>SUM(E11:E14)</f>
        <v>2</v>
      </c>
      <c r="F15" s="167">
        <f>SUM(F11:F14)</f>
        <v>18</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53">
        <f>inputOth!E69</f>
        <v>318</v>
      </c>
      <c r="F17" s="98"/>
      <c r="G17" s="98"/>
      <c r="H17" s="98"/>
      <c r="I17" s="98"/>
      <c r="J17" s="98"/>
    </row>
    <row r="18" spans="1:10" ht="15.75">
      <c r="A18" s="98"/>
      <c r="B18" s="98"/>
      <c r="C18" s="98"/>
      <c r="D18" s="171"/>
      <c r="E18" s="171"/>
      <c r="F18" s="98"/>
      <c r="G18" s="98"/>
      <c r="H18" s="98"/>
      <c r="I18" s="98"/>
      <c r="J18" s="98"/>
    </row>
    <row r="19" spans="1:10" ht="15.75">
      <c r="A19" s="98"/>
      <c r="B19" s="97" t="s">
        <v>41</v>
      </c>
      <c r="C19" s="98"/>
      <c r="D19" s="171"/>
      <c r="E19" s="253">
        <f>inputOth!E76</f>
        <v>2</v>
      </c>
      <c r="F19" s="98"/>
      <c r="G19" s="98"/>
      <c r="H19" s="98"/>
      <c r="I19" s="98"/>
      <c r="J19" s="98"/>
    </row>
    <row r="20" spans="1:10" ht="15.75">
      <c r="A20" s="98"/>
      <c r="B20" s="98"/>
      <c r="C20" s="98"/>
      <c r="D20" s="98"/>
      <c r="E20" s="98"/>
      <c r="F20" s="98"/>
      <c r="G20" s="98"/>
      <c r="H20" s="98"/>
      <c r="I20" s="98"/>
      <c r="J20" s="98"/>
    </row>
    <row r="21" spans="1:10" ht="15.75">
      <c r="A21" s="98"/>
      <c r="B21" s="97" t="s">
        <v>81</v>
      </c>
      <c r="C21" s="98"/>
      <c r="D21" s="98"/>
      <c r="E21" s="253">
        <f>inputOth!E83</f>
        <v>18</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v>
      </c>
      <c r="C24" s="254">
        <f>IF(C15=0,0,E17/C15)</f>
        <v>0.07624070966195157</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43</v>
      </c>
      <c r="D26" s="256">
        <f>IF(C15=0,0,E19/C15)</f>
        <v>0.0004795013186286262</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82</v>
      </c>
      <c r="E28" s="256">
        <f>IF(C15=0,0,E21/C15)</f>
        <v>0.004315511867657636</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Grand Center Cemetery</v>
      </c>
      <c r="B2" s="259"/>
      <c r="C2" s="98"/>
      <c r="D2" s="98"/>
      <c r="E2" s="251"/>
      <c r="F2" s="98"/>
    </row>
    <row r="3" spans="1:6" ht="15.75">
      <c r="A3" s="259" t="str">
        <f>inputPrYr!D4</f>
        <v>Osborne County</v>
      </c>
      <c r="B3" s="259"/>
      <c r="C3" s="98"/>
      <c r="D3" s="98"/>
      <c r="E3" s="251"/>
      <c r="F3" s="98"/>
    </row>
    <row r="4" spans="1:6" ht="15.75">
      <c r="A4" s="171"/>
      <c r="B4" s="98"/>
      <c r="C4" s="98"/>
      <c r="D4" s="98"/>
      <c r="E4" s="251"/>
      <c r="F4" s="98"/>
    </row>
    <row r="5" spans="1:6" ht="15" customHeight="1">
      <c r="A5" s="714" t="s">
        <v>138</v>
      </c>
      <c r="B5" s="714"/>
      <c r="C5" s="714"/>
      <c r="D5" s="714"/>
      <c r="E5" s="714"/>
      <c r="F5" s="714"/>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127</v>
      </c>
      <c r="C24" s="271">
        <f>SUM(C10:C23)</f>
        <v>0</v>
      </c>
      <c r="D24" s="271">
        <f>SUM(D10:D23)</f>
        <v>0</v>
      </c>
      <c r="E24" s="271">
        <f>SUM(E10:E23)</f>
        <v>0</v>
      </c>
      <c r="F24" s="272"/>
      <c r="G24" s="184"/>
    </row>
    <row r="25" spans="1:7" ht="15.75">
      <c r="A25" s="115"/>
      <c r="B25" s="273" t="s">
        <v>568</v>
      </c>
      <c r="C25" s="274"/>
      <c r="D25" s="275"/>
      <c r="E25" s="275"/>
      <c r="F25" s="272"/>
      <c r="G25" s="184"/>
    </row>
    <row r="26" spans="1:7" ht="15.75">
      <c r="A26" s="115"/>
      <c r="B26" s="270" t="s">
        <v>170</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313</v>
      </c>
    </row>
    <row r="2" ht="15.75">
      <c r="A2" s="146"/>
    </row>
    <row r="3" ht="47.25">
      <c r="A3" s="371" t="s">
        <v>314</v>
      </c>
    </row>
    <row r="4" ht="15.75">
      <c r="A4" s="372"/>
    </row>
    <row r="5" ht="15.75">
      <c r="A5" s="146"/>
    </row>
    <row r="6" ht="63">
      <c r="A6" s="371" t="s">
        <v>315</v>
      </c>
    </row>
    <row r="7" ht="15.75">
      <c r="A7" s="372"/>
    </row>
    <row r="8" ht="15.75">
      <c r="A8" s="146"/>
    </row>
    <row r="9" ht="47.25">
      <c r="A9" s="371" t="s">
        <v>316</v>
      </c>
    </row>
    <row r="10" ht="15.75">
      <c r="A10" s="372"/>
    </row>
    <row r="11" ht="15.75">
      <c r="A11" s="372"/>
    </row>
    <row r="12" ht="31.5">
      <c r="A12" s="371" t="s">
        <v>317</v>
      </c>
    </row>
    <row r="13" ht="15.75">
      <c r="A13" s="146"/>
    </row>
    <row r="14" ht="15.75">
      <c r="A14" s="146"/>
    </row>
    <row r="15" ht="47.25">
      <c r="A15" s="371" t="s">
        <v>318</v>
      </c>
    </row>
    <row r="16" ht="15.75">
      <c r="A16" s="146"/>
    </row>
    <row r="17" ht="15.75">
      <c r="A17" s="146"/>
    </row>
    <row r="18" ht="63">
      <c r="A18" s="443" t="s">
        <v>581</v>
      </c>
    </row>
    <row r="19" ht="15.75">
      <c r="A19" s="146"/>
    </row>
    <row r="20" ht="15.75">
      <c r="A20" s="146"/>
    </row>
    <row r="21" ht="63">
      <c r="A21" s="444" t="s">
        <v>319</v>
      </c>
    </row>
    <row r="22" ht="15.75">
      <c r="A22" s="372"/>
    </row>
    <row r="23" ht="15.75">
      <c r="A23" s="146"/>
    </row>
    <row r="24" ht="63">
      <c r="A24" s="371" t="s">
        <v>320</v>
      </c>
    </row>
    <row r="25" ht="47.25">
      <c r="A25" s="373" t="s">
        <v>321</v>
      </c>
    </row>
    <row r="26" ht="15.75">
      <c r="A26" s="372"/>
    </row>
    <row r="27" ht="15.75">
      <c r="A27" s="146"/>
    </row>
    <row r="28" ht="63">
      <c r="A28" s="443" t="s">
        <v>582</v>
      </c>
    </row>
    <row r="29" ht="15.75">
      <c r="A29" s="146"/>
    </row>
    <row r="30" ht="15.75">
      <c r="A30" s="146"/>
    </row>
    <row r="31" ht="78.75">
      <c r="A31" s="443" t="s">
        <v>583</v>
      </c>
    </row>
    <row r="32" ht="15.75">
      <c r="A32" s="146"/>
    </row>
    <row r="33" ht="15.75">
      <c r="A33" s="146"/>
    </row>
    <row r="34" ht="47.25">
      <c r="A34" s="445" t="s">
        <v>584</v>
      </c>
    </row>
    <row r="35" ht="15.75">
      <c r="A35" s="146"/>
    </row>
    <row r="36" ht="15.75">
      <c r="A36" s="146"/>
    </row>
    <row r="37" ht="78.75">
      <c r="A37" s="371" t="s">
        <v>322</v>
      </c>
    </row>
    <row r="38" ht="15.75">
      <c r="A38" s="372"/>
    </row>
    <row r="39" ht="15.75">
      <c r="A39" s="372"/>
    </row>
    <row r="40" ht="47.25">
      <c r="A40" s="444" t="s">
        <v>323</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2013-07-18T16:03:44Z</cp:lastPrinted>
  <dcterms:created xsi:type="dcterms:W3CDTF">1999-08-06T13:59:57Z</dcterms:created>
  <dcterms:modified xsi:type="dcterms:W3CDTF">2013-11-19T19:36:37Z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