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73" firstSheet="5" activeTab="14"/>
  </bookViews>
  <sheets>
    <sheet name="inputPrYr" sheetId="1" r:id="rId1"/>
    <sheet name="inputOth" sheetId="2" r:id="rId2"/>
    <sheet name="inputBudSum" sheetId="3" r:id="rId3"/>
    <sheet name="cert" sheetId="4" r:id="rId4"/>
    <sheet name="comp-MCO" sheetId="5" r:id="rId5"/>
    <sheet name="comp-Tipton" sheetId="6" r:id="rId6"/>
    <sheet name="comp-Solomon Rapids" sheetId="7" r:id="rId7"/>
    <sheet name="transfers" sheetId="8" r:id="rId8"/>
    <sheet name="debt" sheetId="9" r:id="rId9"/>
    <sheet name="lpform" sheetId="10" r:id="rId10"/>
    <sheet name="MCO-Tipton" sheetId="11" r:id="rId11"/>
    <sheet name="SolomonRap" sheetId="12" r:id="rId12"/>
    <sheet name="MCOEq-TipEq" sheetId="13" r:id="rId13"/>
    <sheet name="SolomonRapEq" sheetId="14" r:id="rId14"/>
    <sheet name="summ" sheetId="15" r:id="rId15"/>
    <sheet name="Resolution" sheetId="16" r:id="rId16"/>
  </sheets>
  <definedNames>
    <definedName name="_xlnm.Print_Area" localSheetId="2">'inputBudSum'!$A$1:$I$23</definedName>
    <definedName name="_xlnm.Print_Area" localSheetId="0">'inputPrYr'!$A$1:$F$100</definedName>
    <definedName name="_xlnm.Print_Area" localSheetId="10">'MCO-Tipton'!$A$1:$E$71</definedName>
    <definedName name="_xlnm.Print_Area" localSheetId="11">'SolomonRap'!$A$1:$E$72</definedName>
    <definedName name="_xlnm.Print_Area" localSheetId="14">'summ'!$A$1:$H$57</definedName>
  </definedNames>
  <calcPr fullCalcOnLoad="1"/>
</workbook>
</file>

<file path=xl/sharedStrings.xml><?xml version="1.0" encoding="utf-8"?>
<sst xmlns="http://schemas.openxmlformats.org/spreadsheetml/2006/main" count="614" uniqueCount="306">
  <si>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</si>
  <si>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</si>
  <si>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</si>
  <si>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</si>
  <si>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</si>
  <si>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</si>
  <si>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</si>
  <si>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Non-Budgeted Funds-A</t>
  </si>
  <si>
    <t>Non-Budgeted Funds-B</t>
  </si>
  <si>
    <t>Non-Budgeted Funds-C</t>
  </si>
  <si>
    <t>Non-Budgeted Funds-D</t>
  </si>
  <si>
    <t>Other non-tax levy fund names:</t>
  </si>
  <si>
    <t>Budget Summary</t>
  </si>
  <si>
    <t>xxxxx</t>
  </si>
  <si>
    <t>Resolution</t>
  </si>
  <si>
    <t>Is a Resolution required?</t>
  </si>
  <si>
    <t>Note:  All amounts are to be entered in as whole numbers only.</t>
  </si>
  <si>
    <t>Funds</t>
  </si>
  <si>
    <t xml:space="preserve">expenditure amounts should reflect the amended </t>
  </si>
  <si>
    <t>expenditure amounts.</t>
  </si>
  <si>
    <t xml:space="preserve">Tax Levy Rate </t>
  </si>
  <si>
    <t>Miscellaneous</t>
  </si>
  <si>
    <t>Neighborhood Revitalization Rebate</t>
  </si>
  <si>
    <t>***If you are merely leasing/renting with no intent to purchase, do not list--such transactions are not lease-purchases.</t>
  </si>
  <si>
    <t xml:space="preserve">Ad Valorem Tax </t>
  </si>
  <si>
    <t>Budget Summary Page</t>
  </si>
  <si>
    <t>Statute</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</si>
  <si>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</si>
  <si>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</si>
  <si>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</si>
  <si>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</si>
  <si>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</si>
  <si>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</si>
  <si>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</si>
  <si>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</si>
  <si>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</si>
  <si>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</si>
  <si>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</si>
  <si>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</si>
  <si>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</si>
  <si>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</si>
  <si>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</si>
  <si>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</si>
  <si>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</si>
  <si>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</si>
  <si>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</si>
  <si>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</si>
  <si>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Totals</t>
  </si>
  <si>
    <t>Adopted Budget</t>
  </si>
  <si>
    <t>Ad Valorem Tax</t>
  </si>
  <si>
    <t>Delinquent Tax</t>
  </si>
  <si>
    <t>Motor Vehicle Tax</t>
  </si>
  <si>
    <t>Recreational Vehicle Tax</t>
  </si>
  <si>
    <t>Interest on Idle Funds</t>
  </si>
  <si>
    <t>Total Receipts</t>
  </si>
  <si>
    <t>Resources Available:</t>
  </si>
  <si>
    <t xml:space="preserve">Page No. </t>
  </si>
  <si>
    <t>Expenditures:</t>
  </si>
  <si>
    <t>Total Expenditures</t>
  </si>
  <si>
    <t>Tax Required</t>
  </si>
  <si>
    <t>%</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</si>
  <si>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</si>
  <si>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</si>
  <si>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</si>
  <si>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</si>
  <si>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</si>
  <si>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</si>
  <si>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</si>
  <si>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</si>
  <si>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</si>
  <si>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</si>
  <si>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</si>
  <si>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</si>
  <si>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</si>
  <si>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</si>
  <si>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</si>
  <si>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</si>
  <si>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</si>
  <si>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</si>
  <si>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</si>
  <si>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</si>
  <si>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</si>
  <si>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</si>
  <si>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</si>
  <si>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</si>
  <si>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</si>
  <si>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</si>
  <si>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</si>
  <si>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</si>
  <si>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</si>
  <si>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</si>
  <si>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</si>
  <si>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</si>
  <si>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</si>
  <si>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</si>
  <si>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</si>
  <si>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</si>
  <si>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</si>
  <si>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</si>
  <si>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</si>
  <si>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</si>
  <si>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</si>
  <si>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</si>
  <si>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</si>
  <si>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</si>
  <si>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</si>
  <si>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</si>
  <si>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</si>
  <si>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</si>
  <si>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</si>
  <si>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</si>
  <si>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</si>
  <si>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</si>
  <si>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</si>
  <si>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</si>
  <si>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</si>
  <si>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</si>
  <si>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</si>
  <si>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</si>
  <si>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</si>
  <si>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</si>
  <si>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</si>
  <si>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</si>
  <si>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</si>
  <si>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</si>
  <si>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</si>
  <si>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</si>
  <si>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</si>
  <si>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 xml:space="preserve">The governing body of </t>
  </si>
  <si>
    <t>7.</t>
  </si>
  <si>
    <t>8.</t>
  </si>
  <si>
    <t>Balance On</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</si>
  <si>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</si>
  <si>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</si>
  <si>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</si>
  <si>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</si>
  <si>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</si>
  <si>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</si>
  <si>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</si>
  <si>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</si>
  <si>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</si>
  <si>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</si>
  <si>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</si>
  <si>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</si>
  <si>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</si>
  <si>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</si>
  <si>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Schedule of Transfers</t>
  </si>
  <si>
    <t>Outstanding</t>
  </si>
  <si>
    <t>(Beginning Principal)</t>
  </si>
  <si>
    <t>Estimated Tax Rate is subject to change depending on the final assessed valuation.</t>
  </si>
  <si>
    <t>Lease Pur. Princ.</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</si>
  <si>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</si>
  <si>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</si>
  <si>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</si>
  <si>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</si>
  <si>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</si>
  <si>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</si>
  <si>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</si>
  <si>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</si>
  <si>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</si>
  <si>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</si>
  <si>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Current</t>
  </si>
  <si>
    <t>Proposed</t>
  </si>
  <si>
    <t>County Clerk's Use Only</t>
  </si>
  <si>
    <t>Address:</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</si>
  <si>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</si>
  <si>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</si>
  <si>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</si>
  <si>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</si>
  <si>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</si>
  <si>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</si>
  <si>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</si>
  <si>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</si>
  <si>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</si>
  <si>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</si>
  <si>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</si>
  <si>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</si>
  <si>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</si>
  <si>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</si>
  <si>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</si>
  <si>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</si>
  <si>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</si>
  <si>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</si>
  <si>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</si>
  <si>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</si>
  <si>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</si>
  <si>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</si>
  <si>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</si>
  <si>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</si>
  <si>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</si>
  <si>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</si>
  <si>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</si>
  <si>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</si>
  <si>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</si>
  <si>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</si>
  <si>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</si>
  <si>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</si>
  <si>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</si>
  <si>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</si>
  <si>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</si>
  <si>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</si>
  <si>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</si>
  <si>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</si>
  <si>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</si>
  <si>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</si>
  <si>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</si>
  <si>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</si>
  <si>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</si>
  <si>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</si>
  <si>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</si>
  <si>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Does miscellaneous exceed 10% of Total Exp</t>
  </si>
  <si>
    <t>Does miscellaneous exceed 10% of Total Rec</t>
  </si>
  <si>
    <t>Non-Appropriated Balance</t>
  </si>
  <si>
    <t>Total Expenditure/Non-Appr Balance</t>
  </si>
  <si>
    <t>Delinquent Comp Rate:</t>
  </si>
  <si>
    <t>Desired Carryover Amount:</t>
  </si>
  <si>
    <t>Estimated Mill Rate Impact:</t>
  </si>
  <si>
    <t>Change in Ad Valorem Tax Revenue:</t>
  </si>
  <si>
    <t>What Mill Rate Would Be Desired?</t>
  </si>
  <si>
    <t>Type</t>
  </si>
  <si>
    <t xml:space="preserve"> Debt</t>
  </si>
  <si>
    <t xml:space="preserve"> Purchased</t>
  </si>
  <si>
    <t>Items</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</si>
  <si>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</si>
  <si>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</si>
  <si>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</si>
  <si>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</si>
  <si>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</si>
  <si>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</si>
  <si>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</si>
  <si>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</si>
  <si>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</si>
  <si>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</si>
  <si>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</si>
  <si>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</si>
  <si>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</si>
  <si>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</si>
  <si>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</si>
  <si>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</si>
  <si>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</si>
  <si>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Expenditures Must Be Changed by:</t>
  </si>
  <si>
    <t>Mill Rate Comparison</t>
  </si>
  <si>
    <t xml:space="preserve">Prior Year </t>
  </si>
  <si>
    <t xml:space="preserve">Current Year </t>
  </si>
  <si>
    <t xml:space="preserve">Proposed Budget </t>
  </si>
  <si>
    <t>Email:</t>
  </si>
  <si>
    <t>____________________________________  __________________________________</t>
  </si>
  <si>
    <t>Is a resolution required?</t>
  </si>
  <si>
    <t>MITCHELL COUNTY</t>
  </si>
  <si>
    <t>MCO # 1</t>
  </si>
  <si>
    <t>Tipton # 2</t>
  </si>
  <si>
    <t>Solomon Rapids F.D. # 3</t>
  </si>
  <si>
    <t>19-3610</t>
  </si>
  <si>
    <t>MCO F.D.  # 1 Spec. Equip.</t>
  </si>
  <si>
    <t>Tipton F.D.  # 2 Spec. Equip.</t>
  </si>
  <si>
    <t>Solomon Rapids F.D.  # 3 Spec. Equip.</t>
  </si>
  <si>
    <t>Computation to Determine Limit- 2014 MCO # 1</t>
  </si>
  <si>
    <t>Computation to Determine Limit- 2014 Tipton # 2</t>
  </si>
  <si>
    <t>Computation to Determine Limit- 2014 F.D. # 3</t>
  </si>
  <si>
    <t>Lindburg Vogel Pierce Faris</t>
  </si>
  <si>
    <t>Chartered</t>
  </si>
  <si>
    <t>2301 N. Halstead</t>
  </si>
  <si>
    <t>Hutchinson, Kansas 67502</t>
  </si>
  <si>
    <t>budget1@lvpf-cpa.com</t>
  </si>
  <si>
    <t>Mitchell County Commissioner's Room</t>
  </si>
  <si>
    <t>Mitchell County Clerk's Office</t>
  </si>
  <si>
    <t>Reimbursements</t>
  </si>
  <si>
    <t>Contractual Services</t>
  </si>
  <si>
    <t>Capital Outlay</t>
  </si>
  <si>
    <t>Transfer to MCO # 1 C.O.</t>
  </si>
  <si>
    <t>Transfer to Solomon Rapids # 3 C.O.</t>
  </si>
  <si>
    <t>Lease Payment- Prin. &amp; Int.</t>
  </si>
  <si>
    <t>Special Projects</t>
  </si>
  <si>
    <t>Purchase of Equipment</t>
  </si>
  <si>
    <t>Transfer from MCO # 1</t>
  </si>
  <si>
    <t>Transfer from Solomon Rapids F.D. # 3</t>
  </si>
  <si>
    <t>Actual for 2012</t>
  </si>
  <si>
    <t>Estimate for 2013</t>
  </si>
  <si>
    <t>Year for 2014</t>
  </si>
  <si>
    <t>Reimbursements &amp; Grants</t>
  </si>
  <si>
    <t>Transfer to Tipton # 2 Spec. Equip.</t>
  </si>
  <si>
    <t>Transfer from Tipton F.D. # 2</t>
  </si>
  <si>
    <t>Commodities</t>
  </si>
  <si>
    <t xml:space="preserve">Budget </t>
  </si>
  <si>
    <t>Credits</t>
  </si>
  <si>
    <t>Authorized</t>
  </si>
  <si>
    <t>Expenses</t>
  </si>
  <si>
    <t>Valuations</t>
  </si>
  <si>
    <t>MCO</t>
  </si>
  <si>
    <t>Tipton</t>
  </si>
  <si>
    <t>Solomon Rapids #3</t>
  </si>
  <si>
    <t>Mitchell</t>
  </si>
  <si>
    <t>Cloud</t>
  </si>
  <si>
    <t>Ottawa</t>
  </si>
  <si>
    <t>Osborne</t>
  </si>
  <si>
    <t>Land Sale</t>
  </si>
  <si>
    <t>MCO  # 1</t>
  </si>
  <si>
    <t>Solomon Rapids # 3</t>
  </si>
  <si>
    <t>MCO # 1 C.O.</t>
  </si>
  <si>
    <t>Tipton # 2 C.O.</t>
  </si>
  <si>
    <t>Solomon Rapids # 3 C.O.</t>
  </si>
  <si>
    <t>K.S.A. 19-3612c</t>
  </si>
  <si>
    <t>Solomon Rapids # 3 Fire Station</t>
  </si>
  <si>
    <t>Chris Treaster</t>
  </si>
  <si>
    <t>August 19, 2013</t>
  </si>
  <si>
    <t>8:45 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</si>
</sst>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78">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u val="single"/>
      <sz val="10"/>
      <name val="Times New Roman"/>
      <family val="1"/>
    </font>
    <font>
      <sz val="12"/>
      <color indexed="10"/>
      <name val="Courier"/>
      <family val="3"/>
    </font>
    <font>
      <b/>
      <sz val="12"/>
      <color indexed="10"/>
      <name val="Times New Roman"/>
      <family val="1"/>
    </font>
    <font>
      <u val="single"/>
      <sz val="12"/>
      <color indexed="12"/>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2"/>
      <color indexed="9"/>
      <name val="Courier"/>
      <family val="3"/>
    </font>
    <font>
      <sz val="12"/>
      <color indexed="9"/>
      <name val="Courier New"/>
      <family val="3"/>
    </font>
    <font>
      <sz val="8"/>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double"/>
    </border>
    <border>
      <left style="thin"/>
      <right style="thin"/>
      <top style="thin"/>
      <bottom style="medium"/>
    </border>
    <border>
      <left>
        <color indexed="63"/>
      </left>
      <right>
        <color indexed="63"/>
      </right>
      <top style="thin"/>
      <bottom style="double"/>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78">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xf>
    <xf numFmtId="0" fontId="4" fillId="33" borderId="0" xfId="0" applyFont="1" applyFill="1" applyAlignment="1" applyProtection="1">
      <alignment/>
      <protection locked="0"/>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78" applyAlignment="1">
      <alignment vertical="top"/>
      <protection/>
    </xf>
    <xf numFmtId="0" fontId="12" fillId="0" borderId="0" xfId="478">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0" borderId="0" xfId="0" applyFont="1" applyAlignment="1">
      <alignment vertical="top"/>
    </xf>
    <xf numFmtId="0" fontId="4" fillId="0" borderId="0" xfId="478"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78" applyFont="1">
      <alignment/>
      <protection/>
    </xf>
    <xf numFmtId="0" fontId="4" fillId="0" borderId="0" xfId="0" applyFont="1" applyAlignment="1">
      <alignment horizontal="right"/>
    </xf>
    <xf numFmtId="0" fontId="4" fillId="0" borderId="0" xfId="0" applyFont="1" applyAlignment="1">
      <alignment vertical="center"/>
    </xf>
    <xf numFmtId="0" fontId="4" fillId="34" borderId="0" xfId="0" applyFont="1" applyFill="1" applyAlignment="1">
      <alignment vertical="center"/>
    </xf>
    <xf numFmtId="37" fontId="4" fillId="35" borderId="0" xfId="0" applyNumberFormat="1" applyFont="1" applyFill="1" applyAlignment="1" applyProtection="1">
      <alignment horizontal="left" vertical="center"/>
      <protection/>
    </xf>
    <xf numFmtId="0" fontId="4" fillId="35" borderId="0" xfId="0" applyFont="1" applyFill="1" applyAlignment="1" applyProtection="1">
      <alignment vertical="center"/>
      <protection/>
    </xf>
    <xf numFmtId="0" fontId="4" fillId="33" borderId="10" xfId="0" applyFont="1" applyFill="1" applyBorder="1" applyAlignment="1" applyProtection="1">
      <alignment vertical="center"/>
      <protection/>
    </xf>
    <xf numFmtId="37" fontId="4" fillId="33" borderId="10" xfId="0" applyNumberFormat="1" applyFont="1" applyFill="1" applyBorder="1" applyAlignment="1" applyProtection="1">
      <alignment horizontal="left" vertical="center"/>
      <protection locked="0"/>
    </xf>
    <xf numFmtId="0" fontId="4" fillId="35" borderId="0" xfId="0" applyFont="1" applyFill="1" applyBorder="1" applyAlignment="1" applyProtection="1">
      <alignment vertical="center"/>
      <protection/>
    </xf>
    <xf numFmtId="37" fontId="4" fillId="35"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37" fontId="5" fillId="35" borderId="0" xfId="0" applyNumberFormat="1" applyFont="1" applyFill="1" applyAlignment="1" applyProtection="1">
      <alignment horizontal="centerContinuous" vertical="center"/>
      <protection/>
    </xf>
    <xf numFmtId="0" fontId="4" fillId="35"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5"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37" fontId="4" fillId="36" borderId="12" xfId="0" applyNumberFormat="1" applyFont="1" applyFill="1" applyBorder="1" applyAlignment="1" applyProtection="1">
      <alignment horizontal="center" vertical="center"/>
      <protection/>
    </xf>
    <xf numFmtId="0" fontId="4" fillId="36" borderId="12" xfId="0" applyNumberFormat="1" applyFont="1" applyFill="1" applyBorder="1" applyAlignment="1" applyProtection="1">
      <alignment horizontal="center" vertical="center"/>
      <protection/>
    </xf>
    <xf numFmtId="37" fontId="4" fillId="35" borderId="0" xfId="0" applyNumberFormat="1" applyFont="1" applyFill="1" applyAlignment="1" applyProtection="1">
      <alignment horizontal="center" vertical="center"/>
      <protection/>
    </xf>
    <xf numFmtId="37" fontId="4" fillId="36" borderId="13" xfId="0" applyNumberFormat="1" applyFont="1" applyFill="1" applyBorder="1" applyAlignment="1" applyProtection="1">
      <alignment horizontal="center" vertical="center"/>
      <protection/>
    </xf>
    <xf numFmtId="37" fontId="4" fillId="35" borderId="11" xfId="0" applyNumberFormat="1" applyFont="1" applyFill="1" applyBorder="1" applyAlignment="1" applyProtection="1">
      <alignment horizontal="left" vertical="center"/>
      <protection/>
    </xf>
    <xf numFmtId="0" fontId="4" fillId="35"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164" fontId="4" fillId="33" borderId="11"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5" borderId="10" xfId="0" applyNumberFormat="1" applyFont="1" applyFill="1" applyBorder="1" applyAlignment="1" applyProtection="1">
      <alignment horizontal="left" vertical="center"/>
      <protection/>
    </xf>
    <xf numFmtId="0" fontId="4" fillId="35" borderId="10" xfId="0" applyFont="1" applyFill="1" applyBorder="1" applyAlignment="1" applyProtection="1">
      <alignment vertical="center"/>
      <protection/>
    </xf>
    <xf numFmtId="0" fontId="4" fillId="35" borderId="14" xfId="0" applyFont="1" applyFill="1" applyBorder="1" applyAlignment="1" applyProtection="1">
      <alignment vertical="center"/>
      <protection/>
    </xf>
    <xf numFmtId="3" fontId="4" fillId="37" borderId="14" xfId="0" applyNumberFormat="1" applyFont="1" applyFill="1" applyBorder="1" applyAlignment="1" applyProtection="1">
      <alignment vertical="center"/>
      <protection/>
    </xf>
    <xf numFmtId="164" fontId="4" fillId="37" borderId="11"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locked="0"/>
    </xf>
    <xf numFmtId="0" fontId="4" fillId="35" borderId="15" xfId="0" applyFont="1" applyFill="1" applyBorder="1" applyAlignment="1" applyProtection="1">
      <alignment vertical="center"/>
      <protection/>
    </xf>
    <xf numFmtId="3" fontId="4" fillId="37" borderId="11" xfId="0" applyNumberFormat="1" applyFont="1" applyFill="1" applyBorder="1" applyAlignment="1" applyProtection="1">
      <alignment vertical="center"/>
      <protection/>
    </xf>
    <xf numFmtId="37" fontId="4" fillId="35" borderId="0" xfId="0" applyNumberFormat="1" applyFont="1" applyFill="1" applyBorder="1" applyAlignment="1" applyProtection="1">
      <alignment horizontal="left" vertical="center"/>
      <protection/>
    </xf>
    <xf numFmtId="164" fontId="4" fillId="35" borderId="0" xfId="0" applyNumberFormat="1" applyFont="1" applyFill="1" applyBorder="1" applyAlignment="1" applyProtection="1">
      <alignment vertical="center"/>
      <protection locked="0"/>
    </xf>
    <xf numFmtId="3" fontId="4" fillId="35"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5" borderId="0" xfId="0" applyFont="1" applyFill="1" applyAlignment="1">
      <alignment vertical="center"/>
    </xf>
    <xf numFmtId="0" fontId="4" fillId="38" borderId="0" xfId="0" applyFont="1" applyFill="1" applyAlignment="1" applyProtection="1">
      <alignment vertical="center"/>
      <protection/>
    </xf>
    <xf numFmtId="37" fontId="4" fillId="35" borderId="11" xfId="0" applyNumberFormat="1" applyFont="1" applyFill="1" applyBorder="1" applyAlignment="1" applyProtection="1">
      <alignment vertical="center"/>
      <protection/>
    </xf>
    <xf numFmtId="37" fontId="4" fillId="36" borderId="10" xfId="0" applyNumberFormat="1"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0" fontId="4" fillId="35" borderId="16" xfId="0" applyFont="1" applyFill="1" applyBorder="1" applyAlignment="1" applyProtection="1">
      <alignment vertical="center"/>
      <protection/>
    </xf>
    <xf numFmtId="3" fontId="4" fillId="35"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5" borderId="0" xfId="0" applyFont="1" applyFill="1" applyAlignment="1" applyProtection="1">
      <alignment vertical="center"/>
      <protection locked="0"/>
    </xf>
    <xf numFmtId="0" fontId="4" fillId="35" borderId="10" xfId="0" applyFont="1" applyFill="1" applyBorder="1" applyAlignment="1" applyProtection="1">
      <alignment horizontal="center" vertical="center"/>
      <protection/>
    </xf>
    <xf numFmtId="0" fontId="4" fillId="35" borderId="10" xfId="0" applyFont="1" applyFill="1" applyBorder="1" applyAlignment="1" applyProtection="1">
      <alignment horizontal="center" vertical="center"/>
      <protection locked="0"/>
    </xf>
    <xf numFmtId="0" fontId="4" fillId="38" borderId="10" xfId="0" applyFont="1" applyFill="1" applyBorder="1" applyAlignment="1" applyProtection="1">
      <alignment vertical="center"/>
      <protection locked="0"/>
    </xf>
    <xf numFmtId="0" fontId="4" fillId="35" borderId="0" xfId="0" applyFont="1" applyFill="1" applyBorder="1" applyAlignment="1" applyProtection="1">
      <alignment vertical="center"/>
      <protection locked="0"/>
    </xf>
    <xf numFmtId="0" fontId="4" fillId="38" borderId="16"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5" borderId="0" xfId="0" applyNumberFormat="1" applyFont="1" applyFill="1" applyAlignment="1">
      <alignment vertical="center"/>
    </xf>
    <xf numFmtId="3" fontId="4" fillId="35" borderId="0" xfId="0" applyNumberFormat="1" applyFont="1" applyFill="1" applyAlignment="1" applyProtection="1">
      <alignment vertical="center"/>
      <protection/>
    </xf>
    <xf numFmtId="37" fontId="4" fillId="35" borderId="16"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5" borderId="17" xfId="0" applyNumberFormat="1" applyFont="1" applyFill="1" applyBorder="1" applyAlignment="1" applyProtection="1">
      <alignment horizontal="left" vertical="center"/>
      <protection/>
    </xf>
    <xf numFmtId="3" fontId="4" fillId="35" borderId="15" xfId="0" applyNumberFormat="1"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3" fontId="4" fillId="35" borderId="16" xfId="0" applyNumberFormat="1" applyFont="1" applyFill="1" applyBorder="1" applyAlignment="1" applyProtection="1">
      <alignment vertical="center"/>
      <protection/>
    </xf>
    <xf numFmtId="0" fontId="5" fillId="35" borderId="0" xfId="0" applyFont="1" applyFill="1" applyAlignment="1" applyProtection="1">
      <alignment vertical="center"/>
      <protection/>
    </xf>
    <xf numFmtId="0" fontId="0" fillId="35" borderId="0" xfId="0" applyFill="1" applyAlignment="1">
      <alignment vertical="center"/>
    </xf>
    <xf numFmtId="0" fontId="4" fillId="36" borderId="12" xfId="0" applyFont="1" applyFill="1" applyBorder="1" applyAlignment="1">
      <alignment horizontal="center" vertical="center"/>
    </xf>
    <xf numFmtId="0" fontId="4" fillId="36" borderId="18" xfId="0" applyFont="1" applyFill="1" applyBorder="1" applyAlignment="1">
      <alignment horizontal="center" vertical="center"/>
    </xf>
    <xf numFmtId="0" fontId="24" fillId="35" borderId="0" xfId="0" applyFont="1" applyFill="1" applyAlignment="1">
      <alignment vertical="center"/>
    </xf>
    <xf numFmtId="0" fontId="28" fillId="35" borderId="0" xfId="0" applyFont="1" applyFill="1" applyAlignment="1">
      <alignment vertical="center"/>
    </xf>
    <xf numFmtId="0" fontId="4" fillId="36" borderId="13" xfId="0" applyFont="1" applyFill="1" applyBorder="1" applyAlignment="1">
      <alignment horizontal="center" vertical="center"/>
    </xf>
    <xf numFmtId="37" fontId="4" fillId="35" borderId="13" xfId="0" applyNumberFormat="1" applyFont="1" applyFill="1" applyBorder="1" applyAlignment="1">
      <alignment vertical="center"/>
    </xf>
    <xf numFmtId="0" fontId="18" fillId="35" borderId="0" xfId="0" applyFont="1" applyFill="1" applyAlignment="1">
      <alignment vertical="center"/>
    </xf>
    <xf numFmtId="0" fontId="18" fillId="0" borderId="0" xfId="0" applyFont="1" applyAlignment="1">
      <alignment vertical="center"/>
    </xf>
    <xf numFmtId="0" fontId="18" fillId="35" borderId="0" xfId="0" applyFont="1" applyFill="1" applyAlignment="1" applyProtection="1">
      <alignment vertical="center"/>
      <protection/>
    </xf>
    <xf numFmtId="37" fontId="18" fillId="35" borderId="0" xfId="0" applyNumberFormat="1" applyFont="1" applyFill="1" applyAlignment="1" applyProtection="1">
      <alignment horizontal="centerContinuous" vertical="center"/>
      <protection/>
    </xf>
    <xf numFmtId="0" fontId="18" fillId="35" borderId="0" xfId="0" applyFont="1" applyFill="1" applyAlignment="1" applyProtection="1">
      <alignment horizontal="centerContinuous" vertical="center"/>
      <protection/>
    </xf>
    <xf numFmtId="37" fontId="18" fillId="35" borderId="0" xfId="0" applyNumberFormat="1" applyFont="1" applyFill="1" applyAlignment="1" applyProtection="1">
      <alignment horizontal="left" vertical="center"/>
      <protection/>
    </xf>
    <xf numFmtId="37" fontId="18" fillId="35" borderId="0" xfId="0" applyNumberFormat="1" applyFont="1" applyFill="1" applyAlignment="1" applyProtection="1">
      <alignment horizontal="fill" vertical="center"/>
      <protection/>
    </xf>
    <xf numFmtId="37" fontId="18" fillId="35" borderId="17" xfId="0" applyNumberFormat="1" applyFont="1" applyFill="1" applyBorder="1" applyAlignment="1" applyProtection="1">
      <alignment horizontal="centerContinuous" vertical="center"/>
      <protection/>
    </xf>
    <xf numFmtId="0" fontId="18" fillId="35" borderId="16" xfId="0" applyFont="1" applyFill="1" applyBorder="1" applyAlignment="1" applyProtection="1">
      <alignment horizontal="centerContinuous" vertical="center"/>
      <protection/>
    </xf>
    <xf numFmtId="0" fontId="18" fillId="35" borderId="14" xfId="0" applyFont="1" applyFill="1" applyBorder="1" applyAlignment="1" applyProtection="1">
      <alignment horizontal="centerContinuous" vertical="center"/>
      <protection/>
    </xf>
    <xf numFmtId="37" fontId="18" fillId="35" borderId="12" xfId="0" applyNumberFormat="1" applyFont="1" applyFill="1" applyBorder="1" applyAlignment="1" applyProtection="1">
      <alignment horizontal="center" vertical="center"/>
      <protection/>
    </xf>
    <xf numFmtId="37" fontId="19" fillId="35" borderId="10" xfId="0" applyNumberFormat="1" applyFont="1" applyFill="1" applyBorder="1" applyAlignment="1" applyProtection="1">
      <alignment horizontal="left" vertical="center"/>
      <protection/>
    </xf>
    <xf numFmtId="0" fontId="18" fillId="35" borderId="10" xfId="0" applyFont="1" applyFill="1" applyBorder="1" applyAlignment="1" applyProtection="1">
      <alignment vertical="center"/>
      <protection/>
    </xf>
    <xf numFmtId="37" fontId="18" fillId="35" borderId="13" xfId="0" applyNumberFormat="1" applyFont="1" applyFill="1" applyBorder="1" applyAlignment="1" applyProtection="1">
      <alignment horizontal="center" vertical="center"/>
      <protection/>
    </xf>
    <xf numFmtId="37" fontId="18" fillId="35" borderId="11" xfId="0" applyNumberFormat="1" applyFont="1" applyFill="1" applyBorder="1" applyAlignment="1" applyProtection="1">
      <alignment horizontal="left" vertical="center"/>
      <protection/>
    </xf>
    <xf numFmtId="37" fontId="18" fillId="35" borderId="18" xfId="0" applyNumberFormat="1" applyFont="1" applyFill="1" applyBorder="1" applyAlignment="1" applyProtection="1">
      <alignment horizontal="center" vertical="center"/>
      <protection/>
    </xf>
    <xf numFmtId="0" fontId="18" fillId="35" borderId="0" xfId="0" applyFont="1" applyFill="1" applyBorder="1" applyAlignment="1" applyProtection="1">
      <alignment vertical="center"/>
      <protection/>
    </xf>
    <xf numFmtId="37" fontId="18" fillId="35" borderId="17" xfId="0" applyNumberFormat="1" applyFont="1" applyFill="1" applyBorder="1" applyAlignment="1" applyProtection="1">
      <alignment horizontal="left" vertical="center"/>
      <protection/>
    </xf>
    <xf numFmtId="0" fontId="18" fillId="35" borderId="14" xfId="0" applyFont="1" applyFill="1" applyBorder="1" applyAlignment="1" applyProtection="1">
      <alignment vertical="center"/>
      <protection/>
    </xf>
    <xf numFmtId="37" fontId="18" fillId="35" borderId="15" xfId="0" applyNumberFormat="1" applyFont="1" applyFill="1" applyBorder="1" applyAlignment="1" applyProtection="1">
      <alignment horizontal="center" vertical="center"/>
      <protection/>
    </xf>
    <xf numFmtId="37" fontId="18" fillId="35" borderId="11" xfId="0" applyNumberFormat="1" applyFont="1" applyFill="1" applyBorder="1" applyAlignment="1" applyProtection="1">
      <alignment horizontal="center" vertical="center"/>
      <protection/>
    </xf>
    <xf numFmtId="0" fontId="18" fillId="35" borderId="18" xfId="0" applyFont="1" applyFill="1" applyBorder="1" applyAlignment="1" applyProtection="1">
      <alignment vertical="center"/>
      <protection/>
    </xf>
    <xf numFmtId="37" fontId="18" fillId="35" borderId="14" xfId="0" applyNumberFormat="1" applyFont="1" applyFill="1" applyBorder="1" applyAlignment="1" applyProtection="1">
      <alignment horizontal="center" vertical="center"/>
      <protection/>
    </xf>
    <xf numFmtId="37" fontId="27" fillId="35" borderId="13" xfId="0" applyNumberFormat="1" applyFont="1" applyFill="1" applyBorder="1" applyAlignment="1" applyProtection="1">
      <alignment horizontal="left" vertical="center"/>
      <protection/>
    </xf>
    <xf numFmtId="37" fontId="27" fillId="35" borderId="13" xfId="0" applyNumberFormat="1" applyFont="1" applyFill="1" applyBorder="1" applyAlignment="1" applyProtection="1">
      <alignment horizontal="center" vertical="center"/>
      <protection/>
    </xf>
    <xf numFmtId="0" fontId="18" fillId="35" borderId="11" xfId="0" applyFont="1" applyFill="1" applyBorder="1" applyAlignment="1" applyProtection="1">
      <alignment vertical="center"/>
      <protection/>
    </xf>
    <xf numFmtId="0" fontId="18" fillId="35" borderId="13" xfId="0" applyFont="1" applyFill="1" applyBorder="1" applyAlignment="1" applyProtection="1">
      <alignment vertical="center"/>
      <protection/>
    </xf>
    <xf numFmtId="37" fontId="18" fillId="35" borderId="17" xfId="0" applyNumberFormat="1" applyFont="1" applyFill="1" applyBorder="1" applyAlignment="1" applyProtection="1">
      <alignment horizontal="center" vertical="center"/>
      <protection/>
    </xf>
    <xf numFmtId="37" fontId="18" fillId="35" borderId="11" xfId="0" applyNumberFormat="1" applyFont="1" applyFill="1" applyBorder="1" applyAlignment="1" applyProtection="1">
      <alignment vertical="center"/>
      <protection/>
    </xf>
    <xf numFmtId="37" fontId="4" fillId="35" borderId="11" xfId="0" applyNumberFormat="1" applyFont="1" applyFill="1" applyBorder="1" applyAlignment="1" applyProtection="1">
      <alignment horizontal="center" vertical="center"/>
      <protection/>
    </xf>
    <xf numFmtId="0" fontId="18" fillId="35" borderId="11" xfId="0" applyFont="1" applyFill="1" applyBorder="1" applyAlignment="1" applyProtection="1">
      <alignment horizontal="center" vertical="center"/>
      <protection/>
    </xf>
    <xf numFmtId="0" fontId="18" fillId="35" borderId="12" xfId="0" applyFont="1" applyFill="1" applyBorder="1" applyAlignment="1" applyProtection="1">
      <alignment vertical="center"/>
      <protection/>
    </xf>
    <xf numFmtId="37" fontId="19" fillId="35" borderId="12" xfId="0" applyNumberFormat="1" applyFont="1" applyFill="1" applyBorder="1" applyAlignment="1" applyProtection="1">
      <alignment horizontal="left" vertical="center"/>
      <protection/>
    </xf>
    <xf numFmtId="37" fontId="18" fillId="35" borderId="19" xfId="0" applyNumberFormat="1" applyFont="1" applyFill="1" applyBorder="1" applyAlignment="1" applyProtection="1">
      <alignment horizontal="left" vertical="center"/>
      <protection/>
    </xf>
    <xf numFmtId="0" fontId="18" fillId="35" borderId="20" xfId="0" applyFont="1" applyFill="1" applyBorder="1" applyAlignment="1" applyProtection="1">
      <alignment vertical="center"/>
      <protection/>
    </xf>
    <xf numFmtId="37" fontId="18" fillId="35" borderId="0" xfId="0" applyNumberFormat="1" applyFont="1" applyFill="1" applyBorder="1" applyAlignment="1" applyProtection="1">
      <alignment vertical="center"/>
      <protection/>
    </xf>
    <xf numFmtId="0" fontId="18" fillId="35" borderId="0" xfId="0" applyFont="1" applyFill="1" applyAlignment="1" applyProtection="1">
      <alignment horizontal="center" vertical="center"/>
      <protection/>
    </xf>
    <xf numFmtId="0" fontId="4" fillId="39" borderId="11"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1" xfId="0" applyNumberFormat="1" applyFont="1" applyFill="1" applyBorder="1" applyAlignment="1" applyProtection="1">
      <alignment vertical="center"/>
      <protection locked="0"/>
    </xf>
    <xf numFmtId="37" fontId="18" fillId="35" borderId="14" xfId="0" applyNumberFormat="1" applyFont="1" applyFill="1" applyBorder="1" applyAlignment="1" applyProtection="1">
      <alignment horizontal="fill" vertical="center"/>
      <protection/>
    </xf>
    <xf numFmtId="37" fontId="18" fillId="35" borderId="0" xfId="0" applyNumberFormat="1" applyFont="1" applyFill="1" applyAlignment="1" applyProtection="1">
      <alignment horizontal="right" vertical="center"/>
      <protection/>
    </xf>
    <xf numFmtId="0" fontId="18" fillId="33" borderId="10" xfId="0" applyFont="1" applyFill="1" applyBorder="1" applyAlignment="1" applyProtection="1">
      <alignment vertical="center"/>
      <protection locked="0"/>
    </xf>
    <xf numFmtId="0" fontId="18" fillId="33" borderId="16" xfId="0" applyFont="1" applyFill="1" applyBorder="1" applyAlignment="1" applyProtection="1">
      <alignment vertical="center"/>
      <protection locked="0"/>
    </xf>
    <xf numFmtId="0" fontId="18" fillId="35" borderId="0" xfId="0" applyFont="1" applyFill="1" applyAlignment="1" applyProtection="1">
      <alignment horizontal="right" vertical="center"/>
      <protection/>
    </xf>
    <xf numFmtId="0" fontId="18" fillId="35"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5" borderId="0" xfId="0" applyNumberFormat="1" applyFont="1" applyFill="1" applyAlignment="1" applyProtection="1">
      <alignment horizontal="centerContinuous" vertical="center"/>
      <protection/>
    </xf>
    <xf numFmtId="37" fontId="4" fillId="35" borderId="17" xfId="0" applyNumberFormat="1" applyFont="1" applyFill="1" applyBorder="1" applyAlignment="1" applyProtection="1">
      <alignment horizontal="centerContinuous" vertical="center"/>
      <protection/>
    </xf>
    <xf numFmtId="0" fontId="4" fillId="35" borderId="16" xfId="0" applyFont="1" applyFill="1" applyBorder="1" applyAlignment="1" applyProtection="1">
      <alignment horizontal="centerContinuous" vertical="center"/>
      <protection/>
    </xf>
    <xf numFmtId="0" fontId="4" fillId="35" borderId="14" xfId="0" applyFont="1" applyFill="1" applyBorder="1" applyAlignment="1" applyProtection="1">
      <alignment horizontal="centerContinuous" vertical="center"/>
      <protection/>
    </xf>
    <xf numFmtId="37" fontId="4" fillId="35"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37" fontId="4" fillId="35" borderId="0" xfId="0" applyNumberFormat="1" applyFont="1" applyFill="1" applyAlignment="1" applyProtection="1">
      <alignment vertical="center"/>
      <protection/>
    </xf>
    <xf numFmtId="0" fontId="5" fillId="35" borderId="0" xfId="0" applyFont="1" applyFill="1" applyAlignment="1" applyProtection="1">
      <alignment horizontal="center" vertical="center"/>
      <protection/>
    </xf>
    <xf numFmtId="0" fontId="5" fillId="35" borderId="0" xfId="0" applyFont="1" applyFill="1" applyAlignment="1" applyProtection="1">
      <alignment horizontal="center" vertical="center" wrapText="1"/>
      <protection/>
    </xf>
    <xf numFmtId="0" fontId="4" fillId="35" borderId="0" xfId="0" applyFont="1" applyFill="1" applyAlignment="1" applyProtection="1" quotePrefix="1">
      <alignment vertical="center"/>
      <protection/>
    </xf>
    <xf numFmtId="3" fontId="4" fillId="35" borderId="0" xfId="0" applyNumberFormat="1" applyFont="1" applyFill="1" applyAlignment="1" applyProtection="1" quotePrefix="1">
      <alignment vertical="center"/>
      <protection/>
    </xf>
    <xf numFmtId="3" fontId="4" fillId="35" borderId="10" xfId="0" applyNumberFormat="1" applyFont="1" applyFill="1" applyBorder="1" applyAlignment="1" applyProtection="1">
      <alignment vertical="center"/>
      <protection/>
    </xf>
    <xf numFmtId="3" fontId="4" fillId="35" borderId="21" xfId="0" applyNumberFormat="1" applyFont="1" applyFill="1" applyBorder="1" applyAlignment="1" applyProtection="1">
      <alignment vertical="center"/>
      <protection/>
    </xf>
    <xf numFmtId="0" fontId="4" fillId="35" borderId="21" xfId="0" applyFont="1" applyFill="1" applyBorder="1" applyAlignment="1" applyProtection="1">
      <alignment vertical="center"/>
      <protection/>
    </xf>
    <xf numFmtId="171" fontId="4" fillId="35" borderId="10" xfId="0" applyNumberFormat="1" applyFont="1" applyFill="1" applyBorder="1" applyAlignment="1" applyProtection="1">
      <alignment vertical="center"/>
      <protection/>
    </xf>
    <xf numFmtId="0" fontId="4" fillId="35" borderId="0" xfId="0" applyFont="1" applyFill="1" applyBorder="1" applyAlignment="1" applyProtection="1" quotePrefix="1">
      <alignment vertical="center"/>
      <protection/>
    </xf>
    <xf numFmtId="3" fontId="4" fillId="35" borderId="22" xfId="0" applyNumberFormat="1" applyFont="1" applyFill="1" applyBorder="1" applyAlignment="1" applyProtection="1">
      <alignment vertical="center"/>
      <protection/>
    </xf>
    <xf numFmtId="0" fontId="7" fillId="0" borderId="0" xfId="0" applyFont="1" applyAlignment="1">
      <alignment vertical="center"/>
    </xf>
    <xf numFmtId="37" fontId="4" fillId="35" borderId="0" xfId="0" applyNumberFormat="1" applyFont="1" applyFill="1" applyAlignment="1" applyProtection="1">
      <alignment horizontal="right" vertical="center"/>
      <protection/>
    </xf>
    <xf numFmtId="0" fontId="5" fillId="35" borderId="10"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35" borderId="20" xfId="0" applyFont="1" applyFill="1" applyBorder="1" applyAlignment="1" applyProtection="1">
      <alignment horizontal="center" vertical="center"/>
      <protection/>
    </xf>
    <xf numFmtId="0" fontId="5" fillId="35" borderId="18" xfId="0" applyFont="1" applyFill="1" applyBorder="1" applyAlignment="1" applyProtection="1">
      <alignment horizontal="center" vertical="center"/>
      <protection/>
    </xf>
    <xf numFmtId="0" fontId="5" fillId="35" borderId="23" xfId="0" applyFont="1" applyFill="1" applyBorder="1" applyAlignment="1" applyProtection="1">
      <alignment horizontal="center" vertical="center"/>
      <protection/>
    </xf>
    <xf numFmtId="0" fontId="5" fillId="35" borderId="24"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4" fillId="35" borderId="25" xfId="0" applyFont="1" applyFill="1" applyBorder="1" applyAlignment="1" applyProtection="1">
      <alignment horizontal="center" vertical="center"/>
      <protection/>
    </xf>
    <xf numFmtId="0" fontId="4" fillId="33" borderId="13" xfId="0" applyFont="1" applyFill="1" applyBorder="1" applyAlignment="1" applyProtection="1">
      <alignment vertical="center"/>
      <protection locked="0"/>
    </xf>
    <xf numFmtId="175" fontId="4" fillId="33" borderId="13" xfId="42" applyNumberFormat="1" applyFont="1" applyFill="1" applyBorder="1" applyAlignment="1" applyProtection="1">
      <alignment vertical="center"/>
      <protection locked="0"/>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5"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locked="0"/>
    </xf>
    <xf numFmtId="1" fontId="4" fillId="35" borderId="0" xfId="0" applyNumberFormat="1" applyFont="1" applyFill="1" applyBorder="1" applyAlignment="1" applyProtection="1">
      <alignment horizontal="right" vertical="center"/>
      <protection/>
    </xf>
    <xf numFmtId="0" fontId="5" fillId="35" borderId="0" xfId="477" applyFont="1" applyFill="1" applyAlignment="1" applyProtection="1">
      <alignment horizontal="centerContinuous" vertical="center"/>
      <protection/>
    </xf>
    <xf numFmtId="0" fontId="4" fillId="35" borderId="10" xfId="0" applyFont="1" applyFill="1" applyBorder="1" applyAlignment="1" applyProtection="1">
      <alignment horizontal="fill" vertical="center"/>
      <protection/>
    </xf>
    <xf numFmtId="0" fontId="4" fillId="35" borderId="12" xfId="0" applyFont="1" applyFill="1" applyBorder="1" applyAlignment="1" applyProtection="1">
      <alignment horizontal="center" vertical="center"/>
      <protection/>
    </xf>
    <xf numFmtId="0" fontId="4" fillId="35" borderId="19" xfId="0" applyFont="1" applyFill="1" applyBorder="1" applyAlignment="1" applyProtection="1">
      <alignment horizontal="centerContinuous" vertical="center"/>
      <protection/>
    </xf>
    <xf numFmtId="0" fontId="4" fillId="35" borderId="20" xfId="0" applyFont="1" applyFill="1" applyBorder="1" applyAlignment="1" applyProtection="1">
      <alignment horizontal="centerContinuous" vertical="center"/>
      <protection/>
    </xf>
    <xf numFmtId="0" fontId="4" fillId="35" borderId="18" xfId="0" applyFont="1" applyFill="1" applyBorder="1" applyAlignment="1" applyProtection="1">
      <alignment horizontal="center" vertical="center"/>
      <protection/>
    </xf>
    <xf numFmtId="1" fontId="4" fillId="35" borderId="26" xfId="0" applyNumberFormat="1" applyFont="1" applyFill="1" applyBorder="1" applyAlignment="1" applyProtection="1">
      <alignment horizontal="center" vertical="center"/>
      <protection/>
    </xf>
    <xf numFmtId="0" fontId="4" fillId="35" borderId="11" xfId="0" applyFont="1" applyFill="1" applyBorder="1" applyAlignment="1" applyProtection="1">
      <alignment horizontal="left" vertical="center"/>
      <protection/>
    </xf>
    <xf numFmtId="0" fontId="4" fillId="35" borderId="13" xfId="0" applyFont="1" applyFill="1" applyBorder="1" applyAlignment="1" applyProtection="1">
      <alignment horizontal="center" vertical="center"/>
      <protection/>
    </xf>
    <xf numFmtId="2" fontId="4" fillId="35" borderId="11" xfId="0" applyNumberFormat="1"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xf>
    <xf numFmtId="172" fontId="5" fillId="35" borderId="11" xfId="0" applyNumberFormat="1" applyFont="1" applyFill="1" applyBorder="1" applyAlignment="1" applyProtection="1">
      <alignment horizontal="center" vertical="center"/>
      <protection/>
    </xf>
    <xf numFmtId="2" fontId="5" fillId="35"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37" fontId="5" fillId="37" borderId="11" xfId="0" applyNumberFormat="1" applyFont="1" applyFill="1" applyBorder="1" applyAlignment="1" applyProtection="1">
      <alignment horizontal="center" vertical="center"/>
      <protection/>
    </xf>
    <xf numFmtId="173" fontId="5" fillId="35" borderId="11" xfId="0" applyNumberFormat="1" applyFont="1" applyFill="1" applyBorder="1" applyAlignment="1" applyProtection="1">
      <alignment horizontal="center" vertical="center"/>
      <protection/>
    </xf>
    <xf numFmtId="172" fontId="4" fillId="35" borderId="11" xfId="0" applyNumberFormat="1" applyFont="1" applyFill="1" applyBorder="1" applyAlignment="1" applyProtection="1">
      <alignment horizontal="center" vertical="center"/>
      <protection/>
    </xf>
    <xf numFmtId="2" fontId="4" fillId="35" borderId="11" xfId="0" applyNumberFormat="1" applyFont="1" applyFill="1" applyBorder="1" applyAlignment="1" applyProtection="1">
      <alignment horizontal="center" vertical="center"/>
      <protection/>
    </xf>
    <xf numFmtId="3" fontId="4" fillId="35" borderId="11" xfId="0" applyNumberFormat="1" applyFont="1" applyFill="1" applyBorder="1" applyAlignment="1" applyProtection="1">
      <alignment horizontal="center" vertical="center"/>
      <protection/>
    </xf>
    <xf numFmtId="173" fontId="4" fillId="35" borderId="11" xfId="0" applyNumberFormat="1" applyFont="1" applyFill="1" applyBorder="1" applyAlignment="1" applyProtection="1">
      <alignment horizontal="center" vertical="center"/>
      <protection/>
    </xf>
    <xf numFmtId="1" fontId="5" fillId="35" borderId="11" xfId="0" applyNumberFormat="1" applyFont="1" applyFill="1" applyBorder="1" applyAlignment="1" applyProtection="1">
      <alignment horizontal="center" vertical="center"/>
      <protection/>
    </xf>
    <xf numFmtId="3" fontId="5" fillId="37" borderId="11" xfId="0" applyNumberFormat="1" applyFont="1" applyFill="1" applyBorder="1" applyAlignment="1" applyProtection="1">
      <alignment horizontal="center" vertical="center"/>
      <protection/>
    </xf>
    <xf numFmtId="1" fontId="4" fillId="35"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5" borderId="0" xfId="0" applyNumberFormat="1" applyFont="1" applyFill="1" applyAlignment="1" applyProtection="1">
      <alignment horizontal="right" vertical="center"/>
      <protection/>
    </xf>
    <xf numFmtId="0" fontId="4" fillId="35" borderId="0" xfId="0" applyFont="1" applyFill="1" applyAlignment="1" applyProtection="1">
      <alignment horizontal="right" vertical="center"/>
      <protection/>
    </xf>
    <xf numFmtId="0" fontId="4" fillId="35" borderId="27" xfId="0" applyFont="1" applyFill="1" applyBorder="1" applyAlignment="1" applyProtection="1">
      <alignment vertical="center"/>
      <protection/>
    </xf>
    <xf numFmtId="0" fontId="4" fillId="35" borderId="12" xfId="0" applyFont="1" applyFill="1" applyBorder="1" applyAlignment="1" applyProtection="1">
      <alignment vertical="center"/>
      <protection/>
    </xf>
    <xf numFmtId="0" fontId="4" fillId="35" borderId="26" xfId="0" applyFont="1" applyFill="1" applyBorder="1" applyAlignment="1" applyProtection="1">
      <alignment horizontal="left" vertical="center"/>
      <protection/>
    </xf>
    <xf numFmtId="0" fontId="8" fillId="35" borderId="13" xfId="0" applyFont="1" applyFill="1" applyBorder="1" applyAlignment="1" applyProtection="1">
      <alignment horizontal="center" vertical="center"/>
      <protection/>
    </xf>
    <xf numFmtId="14" fontId="4" fillId="35" borderId="13"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7" borderId="28" xfId="0" applyNumberFormat="1" applyFont="1" applyFill="1" applyBorder="1" applyAlignment="1" applyProtection="1">
      <alignment vertical="center"/>
      <protection/>
    </xf>
    <xf numFmtId="0" fontId="4" fillId="0" borderId="0" xfId="0" applyFont="1" applyBorder="1" applyAlignment="1">
      <alignment vertical="center"/>
    </xf>
    <xf numFmtId="0" fontId="4" fillId="34" borderId="0" xfId="476" applyFont="1" applyFill="1" applyAlignment="1" applyProtection="1">
      <alignment vertical="center"/>
      <protection/>
    </xf>
    <xf numFmtId="0" fontId="4" fillId="34" borderId="0" xfId="0" applyFont="1" applyFill="1" applyAlignment="1" applyProtection="1">
      <alignment vertical="center"/>
      <protection/>
    </xf>
    <xf numFmtId="1" fontId="4" fillId="35" borderId="13" xfId="0" applyNumberFormat="1" applyFont="1" applyFill="1" applyBorder="1" applyAlignment="1" applyProtection="1">
      <alignment horizontal="center" vertical="center"/>
      <protection/>
    </xf>
    <xf numFmtId="0" fontId="4" fillId="35" borderId="17"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5" borderId="17" xfId="0" applyNumberFormat="1" applyFont="1" applyFill="1" applyBorder="1" applyAlignment="1" applyProtection="1">
      <alignment vertical="center"/>
      <protection/>
    </xf>
    <xf numFmtId="0" fontId="4" fillId="33" borderId="17" xfId="0" applyFont="1" applyFill="1" applyBorder="1" applyAlignment="1" applyProtection="1">
      <alignment horizontal="left" vertical="center"/>
      <protection locked="0"/>
    </xf>
    <xf numFmtId="0" fontId="4" fillId="35" borderId="17"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5" borderId="17" xfId="0" applyNumberFormat="1" applyFont="1" applyFill="1" applyBorder="1" applyAlignment="1" applyProtection="1">
      <alignment horizontal="left" vertical="center"/>
      <protection/>
    </xf>
    <xf numFmtId="0" fontId="4" fillId="35" borderId="13" xfId="0" applyNumberFormat="1"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0" fontId="24" fillId="0" borderId="0" xfId="0" applyFont="1" applyAlignment="1">
      <alignment vertical="center"/>
    </xf>
    <xf numFmtId="0" fontId="25" fillId="35" borderId="0" xfId="0" applyFont="1" applyFill="1" applyAlignment="1" applyProtection="1">
      <alignment horizontal="center" vertical="center"/>
      <protection/>
    </xf>
    <xf numFmtId="1" fontId="4" fillId="35" borderId="12" xfId="0" applyNumberFormat="1" applyFont="1" applyFill="1" applyBorder="1" applyAlignment="1" applyProtection="1">
      <alignment horizontal="center" vertical="center"/>
      <protection/>
    </xf>
    <xf numFmtId="37" fontId="4" fillId="35" borderId="0" xfId="0" applyNumberFormat="1" applyFont="1" applyFill="1" applyAlignment="1" applyProtection="1">
      <alignment horizontal="fill" vertical="center"/>
      <protection/>
    </xf>
    <xf numFmtId="166" fontId="4" fillId="35" borderId="0" xfId="0" applyNumberFormat="1" applyFont="1" applyFill="1" applyAlignment="1" applyProtection="1">
      <alignment vertical="center"/>
      <protection/>
    </xf>
    <xf numFmtId="37" fontId="4" fillId="35" borderId="0" xfId="0" applyNumberFormat="1" applyFont="1" applyFill="1" applyAlignment="1" applyProtection="1" quotePrefix="1">
      <alignment horizontal="right" vertical="center"/>
      <protection/>
    </xf>
    <xf numFmtId="37" fontId="4" fillId="35" borderId="26"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fill" vertical="center"/>
      <protection/>
    </xf>
    <xf numFmtId="3" fontId="24" fillId="40" borderId="11" xfId="0" applyNumberFormat="1" applyFont="1" applyFill="1" applyBorder="1" applyAlignment="1" applyProtection="1">
      <alignment horizontal="center"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3" fontId="5" fillId="37" borderId="11" xfId="0" applyNumberFormat="1" applyFont="1" applyFill="1" applyBorder="1" applyAlignment="1" applyProtection="1">
      <alignment vertical="center"/>
      <protection/>
    </xf>
    <xf numFmtId="0" fontId="4" fillId="0" borderId="0" xfId="0" applyFont="1" applyAlignment="1">
      <alignment horizontal="centerContinuous" vertical="center"/>
    </xf>
    <xf numFmtId="0" fontId="4" fillId="35" borderId="12" xfId="0" applyFont="1" applyFill="1" applyBorder="1" applyAlignment="1" applyProtection="1">
      <alignment horizontal="centerContinuous" vertical="center"/>
      <protection/>
    </xf>
    <xf numFmtId="1" fontId="4" fillId="35" borderId="17" xfId="0" applyNumberFormat="1" applyFont="1" applyFill="1" applyBorder="1" applyAlignment="1" applyProtection="1">
      <alignment horizontal="centerContinuous" vertical="center"/>
      <protection/>
    </xf>
    <xf numFmtId="164" fontId="4" fillId="35" borderId="11" xfId="0" applyNumberFormat="1" applyFont="1" applyFill="1" applyBorder="1" applyAlignment="1" applyProtection="1">
      <alignment vertical="center"/>
      <protection/>
    </xf>
    <xf numFmtId="37" fontId="4" fillId="35" borderId="11" xfId="0" applyNumberFormat="1" applyFont="1" applyFill="1" applyBorder="1" applyAlignment="1" applyProtection="1">
      <alignment vertical="center"/>
      <protection locked="0"/>
    </xf>
    <xf numFmtId="1" fontId="4" fillId="35" borderId="0" xfId="0" applyNumberFormat="1" applyFont="1" applyFill="1" applyAlignment="1" applyProtection="1">
      <alignment vertical="center"/>
      <protection/>
    </xf>
    <xf numFmtId="1" fontId="6" fillId="35" borderId="0" xfId="0" applyNumberFormat="1" applyFont="1" applyFill="1" applyAlignment="1" applyProtection="1">
      <alignment horizontal="center" vertical="center"/>
      <protection/>
    </xf>
    <xf numFmtId="37" fontId="4" fillId="35" borderId="28"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37" fontId="18" fillId="35" borderId="0" xfId="0" applyNumberFormat="1" applyFont="1" applyFill="1" applyBorder="1" applyAlignment="1" applyProtection="1">
      <alignment horizontal="left" vertical="center"/>
      <protection/>
    </xf>
    <xf numFmtId="37" fontId="18" fillId="35" borderId="0" xfId="0" applyNumberFormat="1" applyFont="1" applyFill="1" applyBorder="1" applyAlignment="1" applyProtection="1">
      <alignment horizontal="fill" vertical="center"/>
      <protection/>
    </xf>
    <xf numFmtId="0" fontId="12" fillId="0" borderId="0" xfId="450" applyFont="1">
      <alignment/>
      <protection/>
    </xf>
    <xf numFmtId="0" fontId="4" fillId="0" borderId="0" xfId="450" applyFont="1" applyAlignment="1">
      <alignment horizontal="left" vertical="center"/>
      <protection/>
    </xf>
    <xf numFmtId="49" fontId="4" fillId="33" borderId="0" xfId="450" applyNumberFormat="1" applyFont="1" applyFill="1" applyAlignment="1" applyProtection="1">
      <alignment horizontal="left" vertical="center"/>
      <protection locked="0"/>
    </xf>
    <xf numFmtId="185" fontId="22" fillId="0" borderId="0" xfId="450" applyNumberFormat="1" applyFont="1" applyAlignment="1">
      <alignment horizontal="left" vertical="center"/>
      <protection/>
    </xf>
    <xf numFmtId="49" fontId="4" fillId="0" borderId="0" xfId="450" applyNumberFormat="1" applyFont="1" applyAlignment="1">
      <alignment horizontal="left" vertical="center"/>
      <protection/>
    </xf>
    <xf numFmtId="0" fontId="22" fillId="0" borderId="0" xfId="450" applyFont="1" applyAlignment="1">
      <alignment horizontal="left" vertical="center"/>
      <protection/>
    </xf>
    <xf numFmtId="186" fontId="22" fillId="0" borderId="0" xfId="450" applyNumberFormat="1" applyFont="1" applyAlignment="1">
      <alignment horizontal="left" vertical="center"/>
      <protection/>
    </xf>
    <xf numFmtId="0" fontId="4" fillId="33" borderId="0" xfId="450" applyFont="1" applyFill="1" applyAlignment="1" applyProtection="1">
      <alignment horizontal="left" vertical="center"/>
      <protection locked="0"/>
    </xf>
    <xf numFmtId="0" fontId="12" fillId="33" borderId="0" xfId="450" applyFont="1" applyFill="1" applyAlignment="1" applyProtection="1">
      <alignment horizontal="left" vertical="center"/>
      <protection locked="0"/>
    </xf>
    <xf numFmtId="0" fontId="70" fillId="35" borderId="0" xfId="0" applyFont="1" applyFill="1" applyAlignment="1" applyProtection="1">
      <alignment horizontal="right" vertical="center"/>
      <protection locked="0"/>
    </xf>
    <xf numFmtId="0" fontId="8" fillId="35" borderId="0" xfId="0" applyFont="1" applyFill="1" applyAlignment="1" applyProtection="1">
      <alignment horizontal="left" vertical="center"/>
      <protection locked="0"/>
    </xf>
    <xf numFmtId="0" fontId="4" fillId="33" borderId="10"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3" fontId="24" fillId="40" borderId="17" xfId="0" applyNumberFormat="1" applyFont="1" applyFill="1" applyBorder="1" applyAlignment="1" applyProtection="1">
      <alignment horizontal="center" vertical="center"/>
      <protection/>
    </xf>
    <xf numFmtId="3" fontId="5" fillId="37" borderId="17" xfId="0" applyNumberFormat="1" applyFont="1" applyFill="1" applyBorder="1" applyAlignment="1" applyProtection="1">
      <alignment vertical="center"/>
      <protection/>
    </xf>
    <xf numFmtId="0" fontId="4" fillId="35" borderId="26" xfId="0" applyNumberFormat="1" applyFont="1" applyFill="1" applyBorder="1" applyAlignment="1" applyProtection="1">
      <alignment horizontal="center" vertical="center"/>
      <protection/>
    </xf>
    <xf numFmtId="3" fontId="4" fillId="35" borderId="17"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49" fontId="4" fillId="33" borderId="11" xfId="0" applyNumberFormat="1" applyFont="1" applyFill="1" applyBorder="1" applyAlignment="1" applyProtection="1">
      <alignment horizontal="center" vertical="center"/>
      <protection locked="0"/>
    </xf>
    <xf numFmtId="37" fontId="18" fillId="35" borderId="0" xfId="0" applyNumberFormat="1" applyFont="1" applyFill="1" applyAlignment="1" applyProtection="1">
      <alignment horizontal="center" vertical="center"/>
      <protection locked="0"/>
    </xf>
    <xf numFmtId="37" fontId="18" fillId="35" borderId="0" xfId="0" applyNumberFormat="1" applyFont="1" applyFill="1" applyAlignment="1" applyProtection="1">
      <alignment horizontal="left" vertical="center"/>
      <protection locked="0"/>
    </xf>
    <xf numFmtId="0" fontId="18" fillId="36" borderId="11" xfId="0" applyFont="1" applyFill="1" applyBorder="1" applyAlignment="1" applyProtection="1">
      <alignment horizontal="center" vertical="center"/>
      <protection/>
    </xf>
    <xf numFmtId="37" fontId="18" fillId="35" borderId="21" xfId="0" applyNumberFormat="1" applyFont="1" applyFill="1" applyBorder="1" applyAlignment="1" applyProtection="1">
      <alignment horizontal="center" vertical="center"/>
      <protection/>
    </xf>
    <xf numFmtId="37" fontId="18" fillId="35" borderId="13" xfId="98" applyNumberFormat="1" applyFont="1" applyFill="1" applyBorder="1" applyAlignment="1" applyProtection="1">
      <alignment horizontal="center" vertical="center"/>
      <protection/>
    </xf>
    <xf numFmtId="37" fontId="18" fillId="35" borderId="18" xfId="98" applyNumberFormat="1" applyFont="1" applyFill="1" applyBorder="1" applyAlignment="1" applyProtection="1">
      <alignment horizontal="center" vertical="center"/>
      <protection/>
    </xf>
    <xf numFmtId="0" fontId="25" fillId="35" borderId="11" xfId="0" applyFont="1" applyFill="1" applyBorder="1" applyAlignment="1" applyProtection="1">
      <alignment horizontal="center" vertical="center"/>
      <protection/>
    </xf>
    <xf numFmtId="3" fontId="25" fillId="35" borderId="11" xfId="0" applyNumberFormat="1" applyFont="1" applyFill="1" applyBorder="1" applyAlignment="1" applyProtection="1">
      <alignment horizontal="center" vertical="center"/>
      <protection/>
    </xf>
    <xf numFmtId="3" fontId="24" fillId="40" borderId="12"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vertical="center"/>
      <protection/>
    </xf>
    <xf numFmtId="37" fontId="5" fillId="35" borderId="0" xfId="0" applyNumberFormat="1" applyFont="1" applyFill="1" applyBorder="1" applyAlignment="1" applyProtection="1">
      <alignment vertical="center"/>
      <protection/>
    </xf>
    <xf numFmtId="0" fontId="31" fillId="0" borderId="0" xfId="0" applyFont="1" applyAlignment="1">
      <alignment vertical="center"/>
    </xf>
    <xf numFmtId="0" fontId="4" fillId="35" borderId="0" xfId="101" applyFont="1" applyFill="1" applyAlignment="1" applyProtection="1">
      <alignment horizontal="right" vertical="center"/>
      <protection/>
    </xf>
    <xf numFmtId="0" fontId="71" fillId="35" borderId="0" xfId="0" applyFont="1" applyFill="1" applyBorder="1" applyAlignment="1" applyProtection="1">
      <alignment horizontal="center" vertical="center"/>
      <protection/>
    </xf>
    <xf numFmtId="0" fontId="71" fillId="35" borderId="0" xfId="0" applyFont="1" applyFill="1" applyAlignment="1" applyProtection="1">
      <alignment horizontal="center" vertical="center"/>
      <protection/>
    </xf>
    <xf numFmtId="0" fontId="4" fillId="35" borderId="29" xfId="0" applyFont="1" applyFill="1" applyBorder="1" applyAlignment="1" applyProtection="1">
      <alignment vertical="center"/>
      <protection locked="0"/>
    </xf>
    <xf numFmtId="0" fontId="4" fillId="35" borderId="29" xfId="0" applyFont="1" applyFill="1" applyBorder="1" applyAlignment="1" applyProtection="1">
      <alignment vertical="center"/>
      <protection/>
    </xf>
    <xf numFmtId="37" fontId="4" fillId="35" borderId="29" xfId="0" applyNumberFormat="1" applyFont="1" applyFill="1" applyBorder="1" applyAlignment="1" applyProtection="1">
      <alignment vertical="center"/>
      <protection/>
    </xf>
    <xf numFmtId="164" fontId="4" fillId="35" borderId="13" xfId="0" applyNumberFormat="1" applyFont="1" applyFill="1" applyBorder="1" applyAlignment="1" applyProtection="1">
      <alignment vertical="center"/>
      <protection/>
    </xf>
    <xf numFmtId="37" fontId="4" fillId="35" borderId="13" xfId="0" applyNumberFormat="1" applyFont="1" applyFill="1" applyBorder="1" applyAlignment="1" applyProtection="1">
      <alignment vertical="center"/>
      <protection/>
    </xf>
    <xf numFmtId="37" fontId="4" fillId="35" borderId="12" xfId="88" applyNumberFormat="1" applyFont="1" applyFill="1" applyBorder="1" applyAlignment="1" applyProtection="1">
      <alignment horizontal="center"/>
      <protection/>
    </xf>
    <xf numFmtId="37" fontId="4" fillId="35" borderId="13" xfId="88" applyNumberFormat="1" applyFont="1" applyFill="1" applyBorder="1" applyAlignment="1" applyProtection="1">
      <alignment horizontal="center"/>
      <protection/>
    </xf>
    <xf numFmtId="0" fontId="4" fillId="41" borderId="0" xfId="98" applyFont="1" applyFill="1" applyBorder="1" applyProtection="1">
      <alignment/>
      <protection/>
    </xf>
    <xf numFmtId="190" fontId="4" fillId="41" borderId="23" xfId="98" applyNumberFormat="1" applyFont="1" applyFill="1" applyBorder="1" applyAlignment="1" applyProtection="1">
      <alignment horizontal="center"/>
      <protection/>
    </xf>
    <xf numFmtId="190" fontId="4" fillId="42" borderId="15" xfId="98" applyNumberFormat="1" applyFont="1" applyFill="1" applyBorder="1" applyAlignment="1" applyProtection="1">
      <alignment horizontal="center"/>
      <protection/>
    </xf>
    <xf numFmtId="0" fontId="4" fillId="0" borderId="0" xfId="98" applyFont="1" applyFill="1" applyBorder="1" applyProtection="1">
      <alignment/>
      <protection/>
    </xf>
    <xf numFmtId="0" fontId="4" fillId="41" borderId="27" xfId="98" applyFont="1" applyFill="1" applyBorder="1" applyProtection="1">
      <alignment/>
      <protection/>
    </xf>
    <xf numFmtId="0" fontId="4" fillId="41" borderId="23" xfId="98" applyFont="1" applyFill="1" applyBorder="1" applyProtection="1">
      <alignment/>
      <protection/>
    </xf>
    <xf numFmtId="183" fontId="4" fillId="41" borderId="23" xfId="98" applyNumberFormat="1" applyFont="1" applyFill="1" applyBorder="1" applyAlignment="1" applyProtection="1">
      <alignment horizontal="center"/>
      <protection/>
    </xf>
    <xf numFmtId="0" fontId="4" fillId="42" borderId="27" xfId="98" applyFont="1" applyFill="1" applyBorder="1" applyProtection="1">
      <alignment/>
      <protection/>
    </xf>
    <xf numFmtId="0" fontId="4" fillId="42" borderId="0" xfId="98" applyFont="1" applyFill="1" applyBorder="1" applyProtection="1">
      <alignment/>
      <protection/>
    </xf>
    <xf numFmtId="0" fontId="4" fillId="42" borderId="26" xfId="98" applyFont="1" applyFill="1" applyBorder="1" applyProtection="1">
      <alignment/>
      <protection/>
    </xf>
    <xf numFmtId="0" fontId="4" fillId="42" borderId="10" xfId="98" applyFont="1" applyFill="1" applyBorder="1" applyProtection="1">
      <alignment/>
      <protection/>
    </xf>
    <xf numFmtId="0" fontId="4" fillId="0" borderId="0" xfId="98" applyFont="1" applyProtection="1">
      <alignment/>
      <protection/>
    </xf>
    <xf numFmtId="190" fontId="4" fillId="41" borderId="15" xfId="98" applyNumberFormat="1" applyFont="1" applyFill="1" applyBorder="1" applyAlignment="1" applyProtection="1">
      <alignment horizontal="center"/>
      <protection/>
    </xf>
    <xf numFmtId="184" fontId="4" fillId="43" borderId="23" xfId="98" applyNumberFormat="1" applyFont="1" applyFill="1" applyBorder="1" applyAlignment="1" applyProtection="1">
      <alignment horizontal="center"/>
      <protection locked="0"/>
    </xf>
    <xf numFmtId="37" fontId="4" fillId="44" borderId="28" xfId="0" applyNumberFormat="1" applyFont="1" applyFill="1" applyBorder="1" applyAlignment="1" applyProtection="1">
      <alignment vertical="center"/>
      <protection/>
    </xf>
    <xf numFmtId="190" fontId="4" fillId="42" borderId="23" xfId="98" applyNumberFormat="1" applyFont="1" applyFill="1" applyBorder="1" applyAlignment="1" applyProtection="1">
      <alignment horizontal="center"/>
      <protection/>
    </xf>
    <xf numFmtId="0" fontId="4" fillId="42" borderId="26" xfId="0" applyFont="1" applyFill="1" applyBorder="1" applyAlignment="1">
      <alignment vertical="center"/>
    </xf>
    <xf numFmtId="0" fontId="4" fillId="42" borderId="10" xfId="0" applyFont="1" applyFill="1" applyBorder="1" applyAlignment="1">
      <alignment vertical="center"/>
    </xf>
    <xf numFmtId="190" fontId="4" fillId="42" borderId="15" xfId="0" applyNumberFormat="1" applyFont="1" applyFill="1" applyBorder="1" applyAlignment="1">
      <alignment horizontal="center" vertical="center"/>
    </xf>
    <xf numFmtId="0" fontId="4" fillId="35" borderId="26" xfId="0"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protection/>
    </xf>
    <xf numFmtId="0" fontId="4" fillId="35" borderId="0" xfId="0" applyFont="1" applyFill="1" applyBorder="1" applyAlignment="1" applyProtection="1">
      <alignment horizontal="left" vertical="center"/>
      <protection/>
    </xf>
    <xf numFmtId="0" fontId="4" fillId="0" borderId="0" xfId="452" applyFont="1" applyAlignment="1">
      <alignment horizontal="left" vertical="center"/>
      <protection/>
    </xf>
    <xf numFmtId="0" fontId="72" fillId="0" borderId="0" xfId="0" applyFont="1" applyAlignment="1">
      <alignment/>
    </xf>
    <xf numFmtId="0" fontId="73" fillId="0" borderId="0" xfId="452" applyFont="1">
      <alignment/>
      <protection/>
    </xf>
    <xf numFmtId="185" fontId="74" fillId="0" borderId="0" xfId="452" applyNumberFormat="1" applyFont="1" applyAlignment="1">
      <alignment horizontal="left" vertical="center"/>
      <protection/>
    </xf>
    <xf numFmtId="0" fontId="74" fillId="0" borderId="0" xfId="452" applyNumberFormat="1" applyFont="1" applyAlignment="1">
      <alignment horizontal="left" vertical="center"/>
      <protection/>
    </xf>
    <xf numFmtId="1" fontId="74" fillId="0" borderId="0" xfId="452" applyNumberFormat="1" applyFont="1" applyAlignment="1">
      <alignment horizontal="left" vertical="center"/>
      <protection/>
    </xf>
    <xf numFmtId="0" fontId="75" fillId="0" borderId="0" xfId="452" applyFont="1" applyAlignment="1">
      <alignment horizontal="left" vertical="center"/>
      <protection/>
    </xf>
    <xf numFmtId="0" fontId="4" fillId="41" borderId="0" xfId="0" applyFont="1" applyFill="1" applyAlignment="1" applyProtection="1">
      <alignment vertical="center"/>
      <protection locked="0"/>
    </xf>
    <xf numFmtId="10" fontId="4" fillId="33" borderId="11" xfId="0" applyNumberFormat="1" applyFont="1" applyFill="1" applyBorder="1" applyAlignment="1" applyProtection="1">
      <alignment vertical="center"/>
      <protection locked="0"/>
    </xf>
    <xf numFmtId="193" fontId="4" fillId="35" borderId="0" xfId="0" applyNumberFormat="1" applyFont="1" applyFill="1" applyAlignment="1">
      <alignment horizontal="center" vertical="center"/>
    </xf>
    <xf numFmtId="0" fontId="18" fillId="41" borderId="27"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8" fillId="41" borderId="0" xfId="0" applyFont="1" applyFill="1" applyBorder="1" applyAlignment="1" applyProtection="1">
      <alignment vertical="center"/>
      <protection/>
    </xf>
    <xf numFmtId="190" fontId="18" fillId="41" borderId="23" xfId="0" applyNumberFormat="1" applyFont="1" applyFill="1" applyBorder="1" applyAlignment="1" applyProtection="1">
      <alignment horizontal="center" vertical="center"/>
      <protection/>
    </xf>
    <xf numFmtId="0" fontId="18" fillId="41" borderId="27" xfId="0" applyFont="1" applyFill="1" applyBorder="1" applyAlignment="1" applyProtection="1">
      <alignment horizontal="left" vertical="center"/>
      <protection/>
    </xf>
    <xf numFmtId="190" fontId="18" fillId="43" borderId="11" xfId="0" applyNumberFormat="1" applyFont="1" applyFill="1" applyBorder="1" applyAlignment="1" applyProtection="1">
      <alignment horizontal="center" vertical="center"/>
      <protection locked="0"/>
    </xf>
    <xf numFmtId="184" fontId="19" fillId="41" borderId="14" xfId="0" applyNumberFormat="1" applyFont="1" applyFill="1" applyBorder="1" applyAlignment="1" applyProtection="1">
      <alignment horizontal="center" vertical="center"/>
      <protection/>
    </xf>
    <xf numFmtId="0" fontId="19"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8" fillId="42" borderId="0" xfId="0" applyFont="1" applyFill="1" applyBorder="1" applyAlignment="1" applyProtection="1">
      <alignment vertical="center"/>
      <protection/>
    </xf>
    <xf numFmtId="190" fontId="19" fillId="42" borderId="14" xfId="0" applyNumberFormat="1" applyFont="1" applyFill="1" applyBorder="1" applyAlignment="1" applyProtection="1">
      <alignment horizontal="center" vertical="center"/>
      <protection/>
    </xf>
    <xf numFmtId="37" fontId="18" fillId="35" borderId="26" xfId="0" applyNumberFormat="1" applyFont="1" applyFill="1" applyBorder="1" applyAlignment="1" applyProtection="1">
      <alignment horizontal="left" vertical="center"/>
      <protection/>
    </xf>
    <xf numFmtId="0" fontId="20" fillId="41" borderId="10" xfId="0" applyFont="1" applyFill="1" applyBorder="1" applyAlignment="1">
      <alignment horizontal="left" vertical="center"/>
    </xf>
    <xf numFmtId="190" fontId="19" fillId="42" borderId="15" xfId="0" applyNumberFormat="1" applyFont="1" applyFill="1" applyBorder="1" applyAlignment="1" applyProtection="1">
      <alignment horizontal="center" vertical="center"/>
      <protection locked="0"/>
    </xf>
    <xf numFmtId="0" fontId="76" fillId="0" borderId="0" xfId="0" applyFont="1" applyAlignment="1" applyProtection="1">
      <alignment/>
      <protection locked="0"/>
    </xf>
    <xf numFmtId="184" fontId="18" fillId="41" borderId="27" xfId="0" applyNumberFormat="1" applyFont="1" applyFill="1" applyBorder="1" applyAlignment="1" applyProtection="1">
      <alignment horizontal="center" vertical="center"/>
      <protection/>
    </xf>
    <xf numFmtId="0" fontId="18" fillId="41" borderId="0" xfId="0" applyFont="1" applyFill="1" applyBorder="1" applyAlignment="1" applyProtection="1">
      <alignment horizontal="left" vertical="center"/>
      <protection/>
    </xf>
    <xf numFmtId="0" fontId="27" fillId="41" borderId="0" xfId="0" applyFont="1" applyFill="1" applyBorder="1" applyAlignment="1" applyProtection="1">
      <alignment horizontal="center" vertical="center"/>
      <protection/>
    </xf>
    <xf numFmtId="0" fontId="0" fillId="41" borderId="23" xfId="0" applyFill="1" applyBorder="1" applyAlignment="1" applyProtection="1">
      <alignment vertical="center"/>
      <protection/>
    </xf>
    <xf numFmtId="184" fontId="18" fillId="42" borderId="26" xfId="0" applyNumberFormat="1" applyFont="1" applyFill="1" applyBorder="1" applyAlignment="1" applyProtection="1">
      <alignment horizontal="center" vertical="center"/>
      <protection/>
    </xf>
    <xf numFmtId="184" fontId="18" fillId="41" borderId="17" xfId="0" applyNumberFormat="1" applyFont="1" applyFill="1" applyBorder="1" applyAlignment="1" applyProtection="1">
      <alignment horizontal="center" vertical="center"/>
      <protection/>
    </xf>
    <xf numFmtId="184" fontId="18" fillId="42" borderId="17" xfId="0" applyNumberFormat="1" applyFont="1" applyFill="1" applyBorder="1" applyAlignment="1" applyProtection="1">
      <alignment horizontal="center" vertical="center"/>
      <protection/>
    </xf>
    <xf numFmtId="0" fontId="18" fillId="41" borderId="10" xfId="0" applyFont="1" applyFill="1" applyBorder="1" applyAlignment="1" applyProtection="1">
      <alignment horizontal="left" vertical="center"/>
      <protection/>
    </xf>
    <xf numFmtId="0" fontId="27" fillId="41" borderId="10" xfId="0" applyFont="1" applyFill="1" applyBorder="1" applyAlignment="1" applyProtection="1">
      <alignment horizontal="center" vertical="center"/>
      <protection/>
    </xf>
    <xf numFmtId="0" fontId="0" fillId="41" borderId="15" xfId="0" applyFill="1" applyBorder="1" applyAlignment="1" applyProtection="1">
      <alignment vertical="center"/>
      <protection/>
    </xf>
    <xf numFmtId="37" fontId="4" fillId="35" borderId="23" xfId="0" applyNumberFormat="1" applyFont="1" applyFill="1" applyBorder="1" applyAlignment="1" applyProtection="1">
      <alignment horizontal="right" vertical="center"/>
      <protection/>
    </xf>
    <xf numFmtId="190" fontId="18" fillId="41" borderId="27" xfId="0" applyNumberFormat="1" applyFont="1" applyFill="1" applyBorder="1" applyAlignment="1" applyProtection="1">
      <alignment horizontal="center" vertical="center"/>
      <protection/>
    </xf>
    <xf numFmtId="0" fontId="18" fillId="41" borderId="23" xfId="0" applyFont="1" applyFill="1" applyBorder="1" applyAlignment="1" applyProtection="1">
      <alignment vertical="center"/>
      <protection/>
    </xf>
    <xf numFmtId="190" fontId="18" fillId="41" borderId="26" xfId="0" applyNumberFormat="1" applyFont="1" applyFill="1" applyBorder="1" applyAlignment="1" applyProtection="1">
      <alignment horizontal="center" vertical="center"/>
      <protection/>
    </xf>
    <xf numFmtId="190" fontId="18" fillId="41" borderId="27" xfId="0" applyNumberFormat="1" applyFont="1" applyFill="1" applyBorder="1" applyAlignment="1" applyProtection="1">
      <alignment vertical="center"/>
      <protection/>
    </xf>
    <xf numFmtId="0" fontId="4" fillId="41" borderId="23" xfId="0" applyFont="1" applyFill="1" applyBorder="1" applyAlignment="1" applyProtection="1">
      <alignment/>
      <protection locked="0"/>
    </xf>
    <xf numFmtId="190" fontId="18" fillId="42" borderId="26" xfId="0" applyNumberFormat="1" applyFont="1" applyFill="1" applyBorder="1" applyAlignment="1" applyProtection="1">
      <alignment horizontal="center" vertical="center"/>
      <protection/>
    </xf>
    <xf numFmtId="0" fontId="18" fillId="42" borderId="10" xfId="0" applyFont="1" applyFill="1" applyBorder="1" applyAlignment="1" applyProtection="1">
      <alignment vertical="center"/>
      <protection/>
    </xf>
    <xf numFmtId="0" fontId="18" fillId="42" borderId="15" xfId="0" applyFont="1" applyFill="1" applyBorder="1" applyAlignment="1" applyProtection="1">
      <alignment vertical="center"/>
      <protection/>
    </xf>
    <xf numFmtId="37" fontId="4" fillId="42" borderId="15" xfId="0" applyNumberFormat="1" applyFont="1" applyFill="1" applyBorder="1" applyAlignment="1" applyProtection="1">
      <alignment horizontal="right" vertical="center"/>
      <protection/>
    </xf>
    <xf numFmtId="0" fontId="4" fillId="41" borderId="27" xfId="0" applyFont="1" applyFill="1" applyBorder="1" applyAlignment="1" applyProtection="1">
      <alignment vertical="center"/>
      <protection/>
    </xf>
    <xf numFmtId="190" fontId="22" fillId="41" borderId="27" xfId="0" applyNumberFormat="1" applyFont="1" applyFill="1" applyBorder="1" applyAlignment="1" applyProtection="1">
      <alignment horizontal="center" vertical="center"/>
      <protection/>
    </xf>
    <xf numFmtId="0" fontId="4" fillId="41" borderId="23" xfId="0" applyFont="1" applyFill="1" applyBorder="1" applyAlignment="1" applyProtection="1">
      <alignment vertical="center"/>
      <protection/>
    </xf>
    <xf numFmtId="190" fontId="22" fillId="41" borderId="27" xfId="0" applyNumberFormat="1" applyFont="1" applyFill="1" applyBorder="1" applyAlignment="1" applyProtection="1">
      <alignment vertical="center"/>
      <protection/>
    </xf>
    <xf numFmtId="0" fontId="22" fillId="41" borderId="0" xfId="0" applyFont="1" applyFill="1" applyBorder="1" applyAlignment="1" applyProtection="1">
      <alignment vertical="center"/>
      <protection/>
    </xf>
    <xf numFmtId="190" fontId="22" fillId="41" borderId="26" xfId="0" applyNumberFormat="1" applyFont="1" applyFill="1" applyBorder="1" applyAlignment="1" applyProtection="1">
      <alignment horizontal="center" vertical="center"/>
      <protection/>
    </xf>
    <xf numFmtId="190" fontId="22" fillId="42" borderId="26" xfId="0" applyNumberFormat="1" applyFont="1" applyFill="1" applyBorder="1" applyAlignment="1" applyProtection="1">
      <alignment horizontal="center" vertical="center"/>
      <protection/>
    </xf>
    <xf numFmtId="0" fontId="4" fillId="42" borderId="15" xfId="0" applyFont="1" applyFill="1" applyBorder="1" applyAlignment="1" applyProtection="1">
      <alignment vertical="center"/>
      <protection/>
    </xf>
    <xf numFmtId="0" fontId="4" fillId="42" borderId="15" xfId="0" applyFont="1" applyFill="1" applyBorder="1" applyAlignment="1" applyProtection="1">
      <alignment/>
      <protection locked="0"/>
    </xf>
    <xf numFmtId="193" fontId="4" fillId="33" borderId="11" xfId="0" applyNumberFormat="1" applyFont="1" applyFill="1" applyBorder="1" applyAlignment="1" applyProtection="1">
      <alignment vertical="center"/>
      <protection locked="0"/>
    </xf>
    <xf numFmtId="37" fontId="4" fillId="35" borderId="10" xfId="88" applyNumberFormat="1" applyFont="1" applyFill="1" applyBorder="1" applyAlignment="1" applyProtection="1">
      <alignment horizontal="left" vertical="center"/>
      <protection/>
    </xf>
    <xf numFmtId="193" fontId="4" fillId="33" borderId="11" xfId="0" applyNumberFormat="1" applyFont="1" applyFill="1" applyBorder="1" applyAlignment="1" applyProtection="1">
      <alignment vertical="center"/>
      <protection locked="0"/>
    </xf>
    <xf numFmtId="37" fontId="4" fillId="35" borderId="16" xfId="84" applyNumberFormat="1" applyFont="1" applyFill="1" applyBorder="1" applyAlignment="1" applyProtection="1">
      <alignment horizontal="left" vertical="center"/>
      <protection/>
    </xf>
    <xf numFmtId="1" fontId="4" fillId="35" borderId="19" xfId="0" applyNumberFormat="1" applyFont="1" applyFill="1" applyBorder="1" applyAlignment="1" applyProtection="1">
      <alignment horizontal="center" vertical="center"/>
      <protection/>
    </xf>
    <xf numFmtId="37" fontId="4" fillId="35" borderId="19" xfId="0" applyNumberFormat="1" applyFont="1" applyFill="1" applyBorder="1" applyAlignment="1" applyProtection="1">
      <alignment horizontal="center" vertical="center"/>
      <protection/>
    </xf>
    <xf numFmtId="0" fontId="18" fillId="35" borderId="15" xfId="0" applyFont="1" applyFill="1" applyBorder="1" applyAlignment="1" applyProtection="1">
      <alignment vertical="center"/>
      <protection/>
    </xf>
    <xf numFmtId="37" fontId="18" fillId="35" borderId="11" xfId="0" applyNumberFormat="1" applyFont="1" applyFill="1" applyBorder="1" applyAlignment="1" applyProtection="1">
      <alignment horizontal="right" vertical="center"/>
      <protection/>
    </xf>
    <xf numFmtId="192" fontId="18" fillId="35" borderId="11" xfId="0" applyNumberFormat="1" applyFont="1" applyFill="1" applyBorder="1" applyAlignment="1" applyProtection="1">
      <alignment horizontal="right" vertical="center"/>
      <protection/>
    </xf>
    <xf numFmtId="183" fontId="4" fillId="35" borderId="11" xfId="0" applyNumberFormat="1" applyFont="1" applyFill="1" applyBorder="1" applyAlignment="1" applyProtection="1">
      <alignment horizontal="right" vertical="center"/>
      <protection/>
    </xf>
    <xf numFmtId="0" fontId="18" fillId="35" borderId="11" xfId="0" applyFont="1" applyFill="1" applyBorder="1" applyAlignment="1" applyProtection="1">
      <alignment horizontal="right" vertical="center"/>
      <protection/>
    </xf>
    <xf numFmtId="0" fontId="18" fillId="35" borderId="12" xfId="0" applyFont="1" applyFill="1" applyBorder="1" applyAlignment="1" applyProtection="1">
      <alignment horizontal="right" vertical="center"/>
      <protection/>
    </xf>
    <xf numFmtId="37" fontId="18" fillId="35" borderId="28" xfId="0" applyNumberFormat="1" applyFont="1" applyFill="1" applyBorder="1" applyAlignment="1" applyProtection="1">
      <alignment horizontal="right" vertical="center"/>
      <protection/>
    </xf>
    <xf numFmtId="183" fontId="18" fillId="35" borderId="28" xfId="0" applyNumberFormat="1" applyFont="1" applyFill="1" applyBorder="1" applyAlignment="1" applyProtection="1">
      <alignment horizontal="right" vertical="center"/>
      <protection/>
    </xf>
    <xf numFmtId="0" fontId="4" fillId="43" borderId="0" xfId="0" applyFont="1" applyFill="1" applyAlignment="1" applyProtection="1">
      <alignment/>
      <protection locked="0"/>
    </xf>
    <xf numFmtId="37" fontId="18" fillId="35" borderId="0" xfId="0" applyNumberFormat="1" applyFont="1" applyFill="1" applyBorder="1" applyAlignment="1" applyProtection="1">
      <alignment horizontal="fill" vertical="center"/>
      <protection locked="0"/>
    </xf>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horizontal="centerContinuous" vertical="center"/>
      <protection locked="0"/>
    </xf>
    <xf numFmtId="37" fontId="18" fillId="35" borderId="0" xfId="0" applyNumberFormat="1" applyFont="1" applyFill="1" applyBorder="1" applyAlignment="1" applyProtection="1">
      <alignment horizontal="centerContinuous" vertical="center"/>
      <protection/>
    </xf>
    <xf numFmtId="0" fontId="77" fillId="41" borderId="14" xfId="0" applyFont="1" applyFill="1" applyBorder="1" applyAlignment="1" applyProtection="1">
      <alignment horizontal="center" vertical="center"/>
      <protection locked="0"/>
    </xf>
    <xf numFmtId="0" fontId="5" fillId="41" borderId="16" xfId="0" applyFont="1" applyFill="1" applyBorder="1" applyAlignment="1" applyProtection="1">
      <alignment horizontal="centerContinuous" vertical="center"/>
      <protection locked="0"/>
    </xf>
    <xf numFmtId="0" fontId="19" fillId="41" borderId="17" xfId="0" applyFont="1" applyFill="1" applyBorder="1" applyAlignment="1" applyProtection="1">
      <alignment horizontal="centerContinuous" vertical="center"/>
      <protection locked="0"/>
    </xf>
    <xf numFmtId="0" fontId="0" fillId="0" borderId="13" xfId="0" applyBorder="1" applyAlignment="1">
      <alignment horizontal="center" vertical="center" wrapText="1"/>
    </xf>
    <xf numFmtId="0" fontId="11" fillId="33" borderId="10" xfId="67" applyFill="1" applyBorder="1" applyAlignment="1" applyProtection="1">
      <alignment vertical="center"/>
      <protection locked="0"/>
    </xf>
    <xf numFmtId="0" fontId="24" fillId="35" borderId="0" xfId="0" applyFont="1" applyFill="1" applyAlignment="1">
      <alignment horizontal="center" vertical="center"/>
    </xf>
    <xf numFmtId="0" fontId="28" fillId="35" borderId="0" xfId="0" applyFont="1" applyFill="1" applyAlignment="1">
      <alignment horizontal="center" vertical="center"/>
    </xf>
    <xf numFmtId="175" fontId="0" fillId="35" borderId="0" xfId="42" applyNumberFormat="1" applyFont="1" applyFill="1" applyAlignment="1">
      <alignment vertical="center"/>
    </xf>
    <xf numFmtId="37" fontId="4" fillId="35" borderId="10" xfId="0" applyNumberFormat="1" applyFont="1" applyFill="1" applyBorder="1" applyAlignment="1" applyProtection="1">
      <alignment horizontal="center" vertical="center"/>
      <protection/>
    </xf>
    <xf numFmtId="175" fontId="4" fillId="35" borderId="0" xfId="42" applyNumberFormat="1" applyFont="1" applyFill="1" applyAlignment="1" applyProtection="1">
      <alignment vertical="center"/>
      <protection/>
    </xf>
    <xf numFmtId="175" fontId="4" fillId="35" borderId="10" xfId="42" applyNumberFormat="1" applyFont="1" applyFill="1" applyBorder="1" applyAlignment="1" applyProtection="1">
      <alignment vertical="center"/>
      <protection/>
    </xf>
    <xf numFmtId="175" fontId="4" fillId="35" borderId="30" xfId="42" applyNumberFormat="1" applyFont="1" applyFill="1" applyBorder="1" applyAlignment="1" applyProtection="1">
      <alignmen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horizontal="center" vertical="center" wrapText="1"/>
    </xf>
    <xf numFmtId="37" fontId="25" fillId="35"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5"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5"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4" fillId="35" borderId="0" xfId="0" applyFont="1" applyFill="1" applyBorder="1" applyAlignment="1">
      <alignment vertical="center"/>
    </xf>
    <xf numFmtId="0" fontId="28" fillId="0" borderId="0" xfId="0" applyFont="1" applyAlignment="1">
      <alignment vertical="center"/>
    </xf>
    <xf numFmtId="0" fontId="4" fillId="0" borderId="0" xfId="450" applyFont="1" applyAlignment="1">
      <alignment horizontal="left" vertical="center" wrapText="1"/>
      <protection/>
    </xf>
    <xf numFmtId="0" fontId="12" fillId="0" borderId="0" xfId="450" applyFont="1" applyAlignment="1">
      <alignment horizontal="left" vertical="center" wrapText="1"/>
      <protection/>
    </xf>
    <xf numFmtId="0" fontId="23" fillId="0" borderId="0" xfId="45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5" borderId="0" xfId="0" applyNumberFormat="1" applyFont="1" applyFill="1" applyAlignment="1" applyProtection="1">
      <alignment horizontal="center" vertical="center"/>
      <protection/>
    </xf>
    <xf numFmtId="37" fontId="18" fillId="35" borderId="12" xfId="0" applyNumberFormat="1" applyFont="1" applyFill="1" applyBorder="1" applyAlignment="1" applyProtection="1">
      <alignment horizontal="center" vertical="center" wrapText="1"/>
      <protection/>
    </xf>
    <xf numFmtId="0" fontId="20" fillId="0" borderId="13" xfId="0" applyFont="1" applyBorder="1" applyAlignment="1">
      <alignment horizontal="center" vertical="center" wrapText="1"/>
    </xf>
    <xf numFmtId="37" fontId="27" fillId="35"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5"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5" borderId="17"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5" borderId="0" xfId="0" applyFont="1" applyFill="1" applyAlignment="1" applyProtection="1">
      <alignment horizontal="center" vertical="center"/>
      <protection/>
    </xf>
    <xf numFmtId="0" fontId="18" fillId="36" borderId="12" xfId="0" applyFont="1" applyFill="1" applyBorder="1" applyAlignment="1" applyProtection="1">
      <alignment horizontal="center" vertical="center" wrapText="1"/>
      <protection/>
    </xf>
    <xf numFmtId="0" fontId="0" fillId="0" borderId="13" xfId="0" applyBorder="1" applyAlignment="1">
      <alignment vertical="center" wrapText="1"/>
    </xf>
    <xf numFmtId="0" fontId="7" fillId="35" borderId="0" xfId="0" applyFont="1" applyFill="1" applyAlignment="1" applyProtection="1">
      <alignment horizontal="center" vertical="center"/>
      <protection/>
    </xf>
    <xf numFmtId="0" fontId="5" fillId="35" borderId="0" xfId="0" applyFont="1" applyFill="1" applyAlignment="1" applyProtection="1">
      <alignment horizontal="center" vertical="center"/>
      <protection/>
    </xf>
    <xf numFmtId="0" fontId="4" fillId="35" borderId="26" xfId="0" applyFont="1" applyFill="1" applyBorder="1" applyAlignment="1" applyProtection="1">
      <alignment horizontal="center" vertical="center"/>
      <protection/>
    </xf>
    <xf numFmtId="0" fontId="0" fillId="0" borderId="15" xfId="0" applyBorder="1" applyAlignment="1" applyProtection="1">
      <alignment vertical="center"/>
      <protection/>
    </xf>
    <xf numFmtId="1" fontId="4" fillId="35" borderId="26" xfId="0" applyNumberFormat="1"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3" fontId="4" fillId="35" borderId="21" xfId="101" applyNumberFormat="1" applyFont="1" applyFill="1" applyBorder="1" applyAlignment="1" applyProtection="1">
      <alignment horizontal="right" vertical="center"/>
      <protection/>
    </xf>
    <xf numFmtId="0" fontId="0" fillId="0" borderId="20" xfId="101" applyBorder="1" applyAlignment="1">
      <alignment horizontal="right" vertical="center"/>
      <protection/>
    </xf>
    <xf numFmtId="0" fontId="4" fillId="35" borderId="0" xfId="101" applyFont="1" applyFill="1" applyAlignment="1" applyProtection="1">
      <alignment horizontal="right" vertical="center"/>
      <protection/>
    </xf>
    <xf numFmtId="0" fontId="4" fillId="0" borderId="23" xfId="101" applyFont="1" applyBorder="1" applyAlignment="1">
      <alignment horizontal="right" vertical="center"/>
      <protection/>
    </xf>
    <xf numFmtId="0" fontId="4" fillId="35"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7" fillId="41" borderId="19" xfId="0" applyFont="1" applyFill="1" applyBorder="1" applyAlignment="1" applyProtection="1">
      <alignment horizontal="center" vertical="center"/>
      <protection/>
    </xf>
    <xf numFmtId="0" fontId="0" fillId="0" borderId="21"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0" xfId="0" applyBorder="1" applyAlignment="1">
      <alignment/>
    </xf>
    <xf numFmtId="184" fontId="27" fillId="41" borderId="19" xfId="0" applyNumberFormat="1" applyFont="1" applyFill="1" applyBorder="1" applyAlignment="1" applyProtection="1">
      <alignment horizontal="center"/>
      <protection/>
    </xf>
    <xf numFmtId="0" fontId="26" fillId="0" borderId="21" xfId="0" applyFont="1" applyBorder="1" applyAlignment="1">
      <alignment/>
    </xf>
    <xf numFmtId="0" fontId="26" fillId="0" borderId="20" xfId="0" applyFont="1" applyBorder="1" applyAlignment="1">
      <alignment/>
    </xf>
    <xf numFmtId="0" fontId="20" fillId="0" borderId="21" xfId="0" applyFont="1" applyBorder="1" applyAlignment="1">
      <alignment horizontal="center" vertical="center"/>
    </xf>
    <xf numFmtId="37" fontId="4" fillId="35" borderId="0" xfId="0" applyNumberFormat="1" applyFont="1" applyFill="1" applyAlignment="1" applyProtection="1">
      <alignment horizontal="center" vertical="center"/>
      <protection/>
    </xf>
    <xf numFmtId="37" fontId="23" fillId="35"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23" fillId="41" borderId="19" xfId="98" applyFont="1" applyFill="1" applyBorder="1" applyAlignment="1" applyProtection="1">
      <alignment horizontal="center"/>
      <protection/>
    </xf>
    <xf numFmtId="0" fontId="23" fillId="41" borderId="21" xfId="98" applyFont="1" applyFill="1" applyBorder="1" applyAlignment="1" applyProtection="1">
      <alignment horizontal="center"/>
      <protection/>
    </xf>
    <xf numFmtId="0" fontId="23" fillId="41" borderId="20" xfId="98" applyFont="1" applyFill="1" applyBorder="1" applyAlignment="1" applyProtection="1">
      <alignment horizontal="center"/>
      <protection/>
    </xf>
    <xf numFmtId="0" fontId="0" fillId="0" borderId="21" xfId="98" applyBorder="1" applyAlignment="1" applyProtection="1">
      <alignment horizontal="center"/>
      <protection/>
    </xf>
    <xf numFmtId="0" fontId="0" fillId="0" borderId="20" xfId="98" applyBorder="1" applyAlignment="1" applyProtection="1">
      <alignment horizontal="center"/>
      <protection/>
    </xf>
    <xf numFmtId="37" fontId="4" fillId="35" borderId="10" xfId="0" applyNumberFormat="1" applyFont="1" applyFill="1" applyBorder="1" applyAlignment="1" applyProtection="1">
      <alignment horizontal="center" vertical="center"/>
      <protection locked="0"/>
    </xf>
    <xf numFmtId="37" fontId="4" fillId="35" borderId="12" xfId="0" applyNumberFormat="1" applyFont="1" applyFill="1" applyBorder="1" applyAlignment="1" applyProtection="1">
      <alignment horizontal="center" vertical="center" wrapText="1"/>
      <protection/>
    </xf>
    <xf numFmtId="0" fontId="8"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2" xfId="73"/>
    <cellStyle name="Hyperlink 7" xfId="74"/>
    <cellStyle name="Hyperlink 7 2" xfId="75"/>
    <cellStyle name="Hyperlink 8" xfId="76"/>
    <cellStyle name="Hyperlink 8 2" xfId="77"/>
    <cellStyle name="Input" xfId="78"/>
    <cellStyle name="Linked Cell" xfId="79"/>
    <cellStyle name="Neutral" xfId="80"/>
    <cellStyle name="Normal 10" xfId="81"/>
    <cellStyle name="Normal 10 2" xfId="82"/>
    <cellStyle name="Normal 10 2 2" xfId="83"/>
    <cellStyle name="Normal 10 2 2 2" xfId="84"/>
    <cellStyle name="Normal 10 2 2 3"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2" xfId="97"/>
    <cellStyle name="Normal 12 10" xfId="98"/>
    <cellStyle name="Normal 12 11" xfId="99"/>
    <cellStyle name="Normal 12 12" xfId="100"/>
    <cellStyle name="Normal 12 2" xfId="101"/>
    <cellStyle name="Normal 12 2 2" xfId="102"/>
    <cellStyle name="Normal 12 3" xfId="103"/>
    <cellStyle name="Normal 12 4" xfId="104"/>
    <cellStyle name="Normal 12 5" xfId="105"/>
    <cellStyle name="Normal 12 6" xfId="106"/>
    <cellStyle name="Normal 12 7" xfId="107"/>
    <cellStyle name="Normal 12 8" xfId="108"/>
    <cellStyle name="Normal 12 9" xfId="109"/>
    <cellStyle name="Normal 13" xfId="110"/>
    <cellStyle name="Normal 13 10" xfId="111"/>
    <cellStyle name="Normal 13 11" xfId="112"/>
    <cellStyle name="Normal 13 12"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6" xfId="134"/>
    <cellStyle name="Normal 16 2" xfId="135"/>
    <cellStyle name="Normal 16 3" xfId="136"/>
    <cellStyle name="Normal 16 4" xfId="137"/>
    <cellStyle name="Normal 17" xfId="138"/>
    <cellStyle name="Normal 17 2" xfId="139"/>
    <cellStyle name="Normal 17 3" xfId="140"/>
    <cellStyle name="Normal 17 4" xfId="141"/>
    <cellStyle name="Normal 18" xfId="142"/>
    <cellStyle name="Normal 18 2" xfId="143"/>
    <cellStyle name="Normal 18 2 2" xfId="144"/>
    <cellStyle name="Normal 18 2 3" xfId="145"/>
    <cellStyle name="Normal 18 3" xfId="146"/>
    <cellStyle name="Normal 18 4" xfId="147"/>
    <cellStyle name="Normal 18 5" xfId="148"/>
    <cellStyle name="Normal 18 6" xfId="149"/>
    <cellStyle name="Normal 18 7" xfId="150"/>
    <cellStyle name="Normal 18 8"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19 7" xfId="160"/>
    <cellStyle name="Normal 2" xfId="161"/>
    <cellStyle name="Normal 2 10" xfId="162"/>
    <cellStyle name="Normal 2 10 10" xfId="163"/>
    <cellStyle name="Normal 2 10 11" xfId="164"/>
    <cellStyle name="Normal 2 10 2" xfId="165"/>
    <cellStyle name="Normal 2 10 2 2" xfId="166"/>
    <cellStyle name="Normal 2 10 3" xfId="167"/>
    <cellStyle name="Normal 2 10 3 2" xfId="168"/>
    <cellStyle name="Normal 2 10 4" xfId="169"/>
    <cellStyle name="Normal 2 10 4 2" xfId="170"/>
    <cellStyle name="Normal 2 10 5" xfId="171"/>
    <cellStyle name="Normal 2 10 5 2" xfId="172"/>
    <cellStyle name="Normal 2 10 6" xfId="173"/>
    <cellStyle name="Normal 2 10 6 2" xfId="174"/>
    <cellStyle name="Normal 2 10 7" xfId="175"/>
    <cellStyle name="Normal 2 10 7 2" xfId="176"/>
    <cellStyle name="Normal 2 10 8" xfId="177"/>
    <cellStyle name="Normal 2 10 8 2" xfId="178"/>
    <cellStyle name="Normal 2 10 9" xfId="179"/>
    <cellStyle name="Normal 2 11" xfId="180"/>
    <cellStyle name="Normal 2 11 10" xfId="181"/>
    <cellStyle name="Normal 2 11 11"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16" xfId="202"/>
    <cellStyle name="Normal 2 2" xfId="203"/>
    <cellStyle name="Normal 2 2 10" xfId="204"/>
    <cellStyle name="Normal 2 2 10 2" xfId="205"/>
    <cellStyle name="Normal 2 2 11" xfId="206"/>
    <cellStyle name="Normal 2 2 11 2" xfId="207"/>
    <cellStyle name="Normal 2 2 12" xfId="208"/>
    <cellStyle name="Normal 2 2 12 2" xfId="209"/>
    <cellStyle name="Normal 2 2 12 2 2" xfId="210"/>
    <cellStyle name="Normal 2 2 12 2 3" xfId="211"/>
    <cellStyle name="Normal 2 2 12 3" xfId="212"/>
    <cellStyle name="Normal 2 2 12 4" xfId="213"/>
    <cellStyle name="Normal 2 2 13" xfId="214"/>
    <cellStyle name="Normal 2 2 13 2" xfId="215"/>
    <cellStyle name="Normal 2 2 13 2 2" xfId="216"/>
    <cellStyle name="Normal 2 2 13 2 3" xfId="217"/>
    <cellStyle name="Normal 2 2 13 3" xfId="218"/>
    <cellStyle name="Normal 2 2 13 4" xfId="219"/>
    <cellStyle name="Normal 2 2 14" xfId="220"/>
    <cellStyle name="Normal 2 2 14 2" xfId="221"/>
    <cellStyle name="Normal 2 2 15" xfId="222"/>
    <cellStyle name="Normal 2 2 15 2" xfId="223"/>
    <cellStyle name="Normal 2 2 16" xfId="224"/>
    <cellStyle name="Normal 2 2 16 2" xfId="225"/>
    <cellStyle name="Normal 2 2 16 3" xfId="226"/>
    <cellStyle name="Normal 2 2 17" xfId="227"/>
    <cellStyle name="Normal 2 2 18" xfId="228"/>
    <cellStyle name="Normal 2 2 19" xfId="229"/>
    <cellStyle name="Normal 2 2 2" xfId="230"/>
    <cellStyle name="Normal 2 2 2 2" xfId="231"/>
    <cellStyle name="Normal 2 2 2 2 2" xfId="232"/>
    <cellStyle name="Normal 2 2 2 2 3" xfId="233"/>
    <cellStyle name="Normal 2 2 2 3" xfId="234"/>
    <cellStyle name="Normal 2 2 2 3 2" xfId="235"/>
    <cellStyle name="Normal 2 2 2 4" xfId="236"/>
    <cellStyle name="Normal 2 2 2 4 2" xfId="237"/>
    <cellStyle name="Normal 2 2 2 5" xfId="238"/>
    <cellStyle name="Normal 2 2 2 5 2" xfId="239"/>
    <cellStyle name="Normal 2 2 2 6" xfId="240"/>
    <cellStyle name="Normal 2 2 2 6 2" xfId="241"/>
    <cellStyle name="Normal 2 2 2 7" xfId="242"/>
    <cellStyle name="Normal 2 2 2 8" xfId="243"/>
    <cellStyle name="Normal 2 2 20" xfId="244"/>
    <cellStyle name="Normal 2 2 21"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2 5" xfId="273"/>
    <cellStyle name="Normal 2 3 3" xfId="274"/>
    <cellStyle name="Normal 2 3 3 2" xfId="275"/>
    <cellStyle name="Normal 2 3 3 3" xfId="276"/>
    <cellStyle name="Normal 2 3 4" xfId="277"/>
    <cellStyle name="Normal 2 3 5" xfId="278"/>
    <cellStyle name="Normal 2 3 6" xfId="279"/>
    <cellStyle name="Normal 2 3 7" xfId="280"/>
    <cellStyle name="Normal 2 3 8" xfId="281"/>
    <cellStyle name="Normal 2 3 9" xfId="282"/>
    <cellStyle name="Normal 2 4" xfId="283"/>
    <cellStyle name="Normal 2 4 10" xfId="284"/>
    <cellStyle name="Normal 2 4 11" xfId="285"/>
    <cellStyle name="Normal 2 4 12" xfId="286"/>
    <cellStyle name="Normal 2 4 13" xfId="287"/>
    <cellStyle name="Normal 2 4 2" xfId="288"/>
    <cellStyle name="Normal 2 4 2 2" xfId="289"/>
    <cellStyle name="Normal 2 4 2 2 2" xfId="290"/>
    <cellStyle name="Normal 2 4 2 2 3" xfId="291"/>
    <cellStyle name="Normal 2 4 2 3" xfId="292"/>
    <cellStyle name="Normal 2 4 2 4" xfId="293"/>
    <cellStyle name="Normal 2 4 2 5"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12 3"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26" xfId="405"/>
    <cellStyle name="Normal 3" xfId="406"/>
    <cellStyle name="Normal 3 2" xfId="407"/>
    <cellStyle name="Normal 3 2 2" xfId="408"/>
    <cellStyle name="Normal 3 2 2 2" xfId="409"/>
    <cellStyle name="Normal 3 2 2 3" xfId="410"/>
    <cellStyle name="Normal 3 2 3" xfId="411"/>
    <cellStyle name="Normal 3 2 4" xfId="412"/>
    <cellStyle name="Normal 3 2 5" xfId="413"/>
    <cellStyle name="Normal 3 3" xfId="414"/>
    <cellStyle name="Normal 3 3 2" xfId="415"/>
    <cellStyle name="Normal 3 3 2 2" xfId="416"/>
    <cellStyle name="Normal 3 3 2 3" xfId="417"/>
    <cellStyle name="Normal 3 3 3" xfId="418"/>
    <cellStyle name="Normal 3 3 4" xfId="419"/>
    <cellStyle name="Normal 3 4" xfId="420"/>
    <cellStyle name="Normal 3 5" xfId="421"/>
    <cellStyle name="Normal 3 6" xfId="422"/>
    <cellStyle name="Normal 3 7" xfId="423"/>
    <cellStyle name="Normal 3 8" xfId="424"/>
    <cellStyle name="Normal 3 9" xfId="425"/>
    <cellStyle name="Normal 4" xfId="426"/>
    <cellStyle name="Normal 4 2" xfId="427"/>
    <cellStyle name="Normal 4 2 2" xfId="428"/>
    <cellStyle name="Normal 4 2 2 2" xfId="429"/>
    <cellStyle name="Normal 4 2 3" xfId="430"/>
    <cellStyle name="Normal 4 2 4" xfId="431"/>
    <cellStyle name="Normal 4 3" xfId="432"/>
    <cellStyle name="Normal 4 3 2" xfId="433"/>
    <cellStyle name="Normal 4 3 3" xfId="434"/>
    <cellStyle name="Normal 4 4" xfId="435"/>
    <cellStyle name="Normal 4 5" xfId="436"/>
    <cellStyle name="Normal 4 6" xfId="437"/>
    <cellStyle name="Normal 5" xfId="438"/>
    <cellStyle name="Normal 5 2" xfId="439"/>
    <cellStyle name="Normal 5 3" xfId="440"/>
    <cellStyle name="Normal 5 3 2" xfId="441"/>
    <cellStyle name="Normal 5 3 3" xfId="442"/>
    <cellStyle name="Normal 5 4" xfId="443"/>
    <cellStyle name="Normal 5 5"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2 5" xfId="456"/>
    <cellStyle name="Normal 7 3" xfId="457"/>
    <cellStyle name="Normal 7 4" xfId="458"/>
    <cellStyle name="Normal 7 4 2" xfId="459"/>
    <cellStyle name="Normal 7 4 3" xfId="460"/>
    <cellStyle name="Normal 7 5" xfId="461"/>
    <cellStyle name="Normal 7 5 2" xfId="462"/>
    <cellStyle name="Normal 7 5 3" xfId="463"/>
    <cellStyle name="Normal 7 5 4" xfId="464"/>
    <cellStyle name="Normal 7 6" xfId="465"/>
    <cellStyle name="Normal 7 7" xfId="466"/>
    <cellStyle name="Normal 8" xfId="467"/>
    <cellStyle name="Normal 8 2"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rmal_Township 07" xfId="478"/>
    <cellStyle name="Note" xfId="479"/>
    <cellStyle name="Output" xfId="480"/>
    <cellStyle name="Percent" xfId="481"/>
    <cellStyle name="Title" xfId="482"/>
    <cellStyle name="Total" xfId="483"/>
    <cellStyle name="Warning Text" xfId="484"/>
  </cellStyles>
  <dxfs count="8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udget1@lvpf-c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0"/>
  <sheetViews>
    <sheetView view="pageBreakPreview" zoomScale="99" zoomScaleSheetLayoutView="99" zoomScalePageLayoutView="0" workbookViewId="0" topLeftCell="A46">
      <selection activeCell="B87" sqref="B87:B94"/>
    </sheetView>
  </sheetViews>
  <sheetFormatPr defaultColWidth="8.796875" defaultRowHeight="15"/>
  <cols>
    <col min="1" max="1" width="15.796875" style="26" customWidth="1"/>
    <col min="2" max="2" width="27.59765625" style="26" customWidth="1"/>
    <col min="3" max="3" width="8.796875" style="26" customWidth="1"/>
    <col min="4" max="5" width="13.296875" style="26" customWidth="1"/>
    <col min="6" max="6" width="10.796875" style="26" customWidth="1"/>
    <col min="7" max="7" width="1.796875" style="26" customWidth="1"/>
    <col min="8" max="8" width="18.69921875" style="26" customWidth="1"/>
    <col min="9" max="16384" width="8.8984375" style="26" customWidth="1"/>
  </cols>
  <sheetData>
    <row r="1" spans="1:9" ht="15.75">
      <c r="A1" s="415" t="s">
        <v>167</v>
      </c>
      <c r="B1" s="416"/>
      <c r="C1" s="416"/>
      <c r="D1" s="416"/>
      <c r="E1" s="416"/>
      <c r="F1" s="416"/>
      <c r="G1" s="29"/>
      <c r="H1" s="29"/>
      <c r="I1" s="29"/>
    </row>
    <row r="2" spans="1:9" ht="15.75">
      <c r="A2" s="28" t="s">
        <v>168</v>
      </c>
      <c r="B2" s="29"/>
      <c r="C2" s="272" t="s">
        <v>248</v>
      </c>
      <c r="D2" s="30"/>
      <c r="E2" s="31"/>
      <c r="F2" s="32"/>
      <c r="G2" s="29"/>
      <c r="H2" s="29"/>
      <c r="I2" s="29"/>
    </row>
    <row r="3" spans="1:9" ht="15.75">
      <c r="A3" s="28"/>
      <c r="B3" s="29"/>
      <c r="C3" s="29"/>
      <c r="D3" s="29"/>
      <c r="E3" s="33"/>
      <c r="F3" s="32"/>
      <c r="G3" s="29"/>
      <c r="H3" s="29"/>
      <c r="I3" s="29"/>
    </row>
    <row r="4" spans="1:9" ht="15.75">
      <c r="A4" s="28" t="s">
        <v>169</v>
      </c>
      <c r="B4" s="29"/>
      <c r="C4" s="34">
        <v>2014</v>
      </c>
      <c r="D4" s="35"/>
      <c r="E4" s="33"/>
      <c r="F4" s="32"/>
      <c r="G4" s="29"/>
      <c r="H4" s="29"/>
      <c r="I4" s="29"/>
    </row>
    <row r="5" spans="1:9" ht="15.75">
      <c r="A5" s="29"/>
      <c r="B5" s="29"/>
      <c r="C5" s="29"/>
      <c r="D5" s="29"/>
      <c r="E5" s="29"/>
      <c r="F5" s="29"/>
      <c r="G5" s="29"/>
      <c r="H5" s="29"/>
      <c r="I5" s="29"/>
    </row>
    <row r="6" spans="1:9" ht="18.75" customHeight="1">
      <c r="A6" s="36" t="s">
        <v>207</v>
      </c>
      <c r="B6" s="37"/>
      <c r="C6" s="37"/>
      <c r="D6" s="37"/>
      <c r="E6" s="37"/>
      <c r="F6" s="37"/>
      <c r="G6" s="29"/>
      <c r="H6" s="417" t="s">
        <v>237</v>
      </c>
      <c r="I6" s="417"/>
    </row>
    <row r="7" spans="1:9" ht="15.75">
      <c r="A7" s="36" t="s">
        <v>206</v>
      </c>
      <c r="B7" s="37"/>
      <c r="C7" s="37"/>
      <c r="D7" s="37"/>
      <c r="E7" s="37"/>
      <c r="F7" s="37"/>
      <c r="G7" s="29"/>
      <c r="H7" s="417"/>
      <c r="I7" s="417"/>
    </row>
    <row r="8" spans="1:9" ht="15.75">
      <c r="A8" s="36"/>
      <c r="B8" s="37"/>
      <c r="C8" s="37"/>
      <c r="D8" s="37"/>
      <c r="E8" s="37"/>
      <c r="F8" s="37"/>
      <c r="G8" s="29"/>
      <c r="H8" s="417"/>
      <c r="I8" s="417"/>
    </row>
    <row r="9" spans="1:9" ht="15.75">
      <c r="A9" s="413" t="s">
        <v>16</v>
      </c>
      <c r="B9" s="414"/>
      <c r="C9" s="414"/>
      <c r="D9" s="414"/>
      <c r="E9" s="414"/>
      <c r="F9" s="414"/>
      <c r="G9" s="29"/>
      <c r="H9" s="417"/>
      <c r="I9" s="417"/>
    </row>
    <row r="10" spans="1:9" ht="15.75">
      <c r="A10" s="29"/>
      <c r="B10" s="29"/>
      <c r="C10" s="29"/>
      <c r="D10" s="29"/>
      <c r="E10" s="29"/>
      <c r="F10" s="29"/>
      <c r="G10" s="29"/>
      <c r="H10" s="417"/>
      <c r="I10" s="417"/>
    </row>
    <row r="11" spans="1:9" ht="15.75">
      <c r="A11" s="38" t="str">
        <f>CONCATENATE("The input for the following comes directly from the ",C4-1," Budget:")</f>
        <v>The input for the following comes directly from the 2013 Budget:</v>
      </c>
      <c r="B11" s="39"/>
      <c r="C11" s="39"/>
      <c r="D11" s="39"/>
      <c r="E11" s="29"/>
      <c r="F11" s="29"/>
      <c r="G11" s="29"/>
      <c r="H11" s="417"/>
      <c r="I11" s="417"/>
    </row>
    <row r="12" spans="1:9" ht="15.75">
      <c r="A12" s="40" t="s">
        <v>170</v>
      </c>
      <c r="B12" s="39"/>
      <c r="C12" s="39"/>
      <c r="D12" s="39"/>
      <c r="E12" s="29"/>
      <c r="F12" s="29"/>
      <c r="G12" s="29"/>
      <c r="H12" s="32"/>
      <c r="I12" s="333"/>
    </row>
    <row r="13" spans="1:9" ht="15.75">
      <c r="A13" s="40" t="s">
        <v>189</v>
      </c>
      <c r="B13" s="39"/>
      <c r="C13" s="39"/>
      <c r="D13" s="39"/>
      <c r="E13" s="29"/>
      <c r="F13" s="29"/>
      <c r="G13" s="29"/>
      <c r="H13" s="29"/>
      <c r="I13" s="29"/>
    </row>
    <row r="14" spans="1:9" ht="15.75">
      <c r="A14" s="29"/>
      <c r="B14" s="29"/>
      <c r="C14" s="41"/>
      <c r="D14" s="42">
        <f>C4-1</f>
        <v>2013</v>
      </c>
      <c r="E14" s="43" t="str">
        <f>CONCATENATE("",C4-2,"")</f>
        <v>2012</v>
      </c>
      <c r="F14" s="44">
        <f>C4-2</f>
        <v>2012</v>
      </c>
      <c r="H14" s="185" t="s">
        <v>238</v>
      </c>
      <c r="I14" s="180" t="s">
        <v>60</v>
      </c>
    </row>
    <row r="15" spans="1:9" ht="15.75">
      <c r="A15" s="28" t="s">
        <v>171</v>
      </c>
      <c r="B15" s="29"/>
      <c r="C15" s="45" t="s">
        <v>26</v>
      </c>
      <c r="D15" s="46" t="s">
        <v>188</v>
      </c>
      <c r="E15" s="46" t="s">
        <v>24</v>
      </c>
      <c r="F15" s="46" t="s">
        <v>20</v>
      </c>
      <c r="H15" s="191" t="str">
        <f>CONCATENATE("",E14," Ad Valorem Tax")</f>
        <v>2012 Ad Valorem Tax</v>
      </c>
      <c r="I15" s="334">
        <v>0</v>
      </c>
    </row>
    <row r="16" spans="1:8" ht="15.75">
      <c r="A16" s="29"/>
      <c r="B16" s="52" t="s">
        <v>249</v>
      </c>
      <c r="C16" s="281" t="s">
        <v>252</v>
      </c>
      <c r="D16" s="49">
        <v>57000</v>
      </c>
      <c r="E16" s="54">
        <v>41530</v>
      </c>
      <c r="F16" s="50">
        <v>5.295</v>
      </c>
      <c r="H16" s="193">
        <f aca="true" t="shared" si="0" ref="H16:H31">IF($I$15&gt;0,ROUND(E16-(E16*$I$15),0),0)</f>
        <v>0</v>
      </c>
    </row>
    <row r="17" spans="1:8" ht="15.75">
      <c r="A17" s="29"/>
      <c r="B17" s="52" t="s">
        <v>250</v>
      </c>
      <c r="C17" s="281" t="s">
        <v>252</v>
      </c>
      <c r="D17" s="49">
        <v>24000</v>
      </c>
      <c r="E17" s="54">
        <v>19117</v>
      </c>
      <c r="F17" s="50">
        <v>3.305</v>
      </c>
      <c r="H17" s="193">
        <f t="shared" si="0"/>
        <v>0</v>
      </c>
    </row>
    <row r="18" spans="1:8" ht="15.75">
      <c r="A18" s="29"/>
      <c r="B18" s="52" t="s">
        <v>251</v>
      </c>
      <c r="C18" s="281" t="s">
        <v>252</v>
      </c>
      <c r="D18" s="49">
        <v>57000</v>
      </c>
      <c r="E18" s="54">
        <v>46911</v>
      </c>
      <c r="F18" s="50">
        <v>2.502</v>
      </c>
      <c r="H18" s="193">
        <f t="shared" si="0"/>
        <v>0</v>
      </c>
    </row>
    <row r="19" spans="1:8" ht="15.75">
      <c r="A19" s="29"/>
      <c r="B19" s="52"/>
      <c r="C19" s="281"/>
      <c r="D19" s="49"/>
      <c r="E19" s="54"/>
      <c r="F19" s="50"/>
      <c r="H19" s="193">
        <f t="shared" si="0"/>
        <v>0</v>
      </c>
    </row>
    <row r="20" spans="1:8" ht="15.75">
      <c r="A20" s="29"/>
      <c r="B20" s="52"/>
      <c r="C20" s="281"/>
      <c r="D20" s="49"/>
      <c r="E20" s="54"/>
      <c r="F20" s="50"/>
      <c r="H20" s="193">
        <f t="shared" si="0"/>
        <v>0</v>
      </c>
    </row>
    <row r="21" spans="1:8" ht="15.75">
      <c r="A21" s="29"/>
      <c r="B21" s="52"/>
      <c r="C21" s="281"/>
      <c r="D21" s="49"/>
      <c r="E21" s="54"/>
      <c r="F21" s="50"/>
      <c r="H21" s="193">
        <f t="shared" si="0"/>
        <v>0</v>
      </c>
    </row>
    <row r="22" spans="1:8" ht="15.75">
      <c r="A22" s="29"/>
      <c r="B22" s="52"/>
      <c r="C22" s="281"/>
      <c r="D22" s="49"/>
      <c r="E22" s="54"/>
      <c r="F22" s="50"/>
      <c r="H22" s="193">
        <f t="shared" si="0"/>
        <v>0</v>
      </c>
    </row>
    <row r="23" spans="1:8" ht="15.75">
      <c r="A23" s="29"/>
      <c r="B23" s="52"/>
      <c r="C23" s="281"/>
      <c r="D23" s="49"/>
      <c r="E23" s="54"/>
      <c r="F23" s="50"/>
      <c r="H23" s="193">
        <f t="shared" si="0"/>
        <v>0</v>
      </c>
    </row>
    <row r="24" spans="1:8" ht="15.75">
      <c r="A24" s="29"/>
      <c r="B24" s="52"/>
      <c r="C24" s="281"/>
      <c r="D24" s="49"/>
      <c r="E24" s="54"/>
      <c r="F24" s="50"/>
      <c r="H24" s="193">
        <f t="shared" si="0"/>
        <v>0</v>
      </c>
    </row>
    <row r="25" spans="1:8" ht="15.75">
      <c r="A25" s="29"/>
      <c r="B25" s="52"/>
      <c r="C25" s="281"/>
      <c r="D25" s="49"/>
      <c r="E25" s="54"/>
      <c r="F25" s="50"/>
      <c r="H25" s="193">
        <f t="shared" si="0"/>
        <v>0</v>
      </c>
    </row>
    <row r="26" spans="1:8" ht="15.75">
      <c r="A26" s="29"/>
      <c r="B26" s="52"/>
      <c r="C26" s="281"/>
      <c r="D26" s="49"/>
      <c r="E26" s="54"/>
      <c r="F26" s="50"/>
      <c r="H26" s="193">
        <f t="shared" si="0"/>
        <v>0</v>
      </c>
    </row>
    <row r="27" spans="1:8" ht="15.75">
      <c r="A27" s="29"/>
      <c r="B27" s="52"/>
      <c r="C27" s="281"/>
      <c r="D27" s="49"/>
      <c r="E27" s="54"/>
      <c r="F27" s="50"/>
      <c r="H27" s="193">
        <f t="shared" si="0"/>
        <v>0</v>
      </c>
    </row>
    <row r="28" spans="1:8" ht="15.75">
      <c r="A28" s="29"/>
      <c r="B28" s="52"/>
      <c r="C28" s="281"/>
      <c r="D28" s="49"/>
      <c r="E28" s="54"/>
      <c r="F28" s="50"/>
      <c r="H28" s="193">
        <f t="shared" si="0"/>
        <v>0</v>
      </c>
    </row>
    <row r="29" spans="1:8" ht="15.75">
      <c r="A29" s="29"/>
      <c r="B29" s="52"/>
      <c r="C29" s="281"/>
      <c r="D29" s="49"/>
      <c r="E29" s="54"/>
      <c r="F29" s="50"/>
      <c r="H29" s="193">
        <f t="shared" si="0"/>
        <v>0</v>
      </c>
    </row>
    <row r="30" spans="1:8" ht="15.75">
      <c r="A30" s="29"/>
      <c r="B30" s="52"/>
      <c r="C30" s="281"/>
      <c r="D30" s="49"/>
      <c r="E30" s="54"/>
      <c r="F30" s="50"/>
      <c r="H30" s="193">
        <f t="shared" si="0"/>
        <v>0</v>
      </c>
    </row>
    <row r="31" spans="1:8" ht="15.75">
      <c r="A31" s="29"/>
      <c r="B31" s="52"/>
      <c r="C31" s="281"/>
      <c r="D31" s="49"/>
      <c r="E31" s="54"/>
      <c r="F31" s="50"/>
      <c r="H31" s="193">
        <f t="shared" si="0"/>
        <v>0</v>
      </c>
    </row>
    <row r="32" spans="1:6" ht="15.75">
      <c r="A32" s="55" t="str">
        <f>CONCATENATE("Total Tax Levy Funds Levy Amounts and Levy Rates for ",C4-1," Budget")</f>
        <v>Total Tax Levy Funds Levy Amounts and Levy Rates for 2013 Budget</v>
      </c>
      <c r="B32" s="56"/>
      <c r="C32" s="56"/>
      <c r="D32" s="57"/>
      <c r="E32" s="58">
        <f>SUM(E16:E31)</f>
        <v>107558</v>
      </c>
      <c r="F32" s="59">
        <f>SUM(F16:F31)</f>
        <v>11.102</v>
      </c>
    </row>
    <row r="33" spans="1:6" ht="15.75">
      <c r="A33" s="28" t="s">
        <v>11</v>
      </c>
      <c r="B33" s="29"/>
      <c r="C33" s="29"/>
      <c r="D33" s="29"/>
      <c r="E33" s="29"/>
      <c r="F33" s="29"/>
    </row>
    <row r="34" spans="1:6" ht="15.75">
      <c r="A34" s="29"/>
      <c r="B34" s="50" t="s">
        <v>253</v>
      </c>
      <c r="C34" s="29"/>
      <c r="D34" s="49">
        <v>11630</v>
      </c>
      <c r="E34" s="29"/>
      <c r="F34" s="29"/>
    </row>
    <row r="35" spans="1:6" ht="15.75">
      <c r="A35" s="29"/>
      <c r="B35" s="50" t="s">
        <v>254</v>
      </c>
      <c r="C35" s="29"/>
      <c r="D35" s="49">
        <v>1818</v>
      </c>
      <c r="E35" s="29"/>
      <c r="F35" s="29"/>
    </row>
    <row r="36" spans="1:6" ht="15.75">
      <c r="A36" s="29"/>
      <c r="B36" s="50" t="s">
        <v>255</v>
      </c>
      <c r="C36" s="29"/>
      <c r="D36" s="49">
        <v>51022</v>
      </c>
      <c r="E36" s="29"/>
      <c r="F36" s="29"/>
    </row>
    <row r="37" spans="1:6" ht="15.75">
      <c r="A37" s="29"/>
      <c r="B37" s="50"/>
      <c r="C37" s="29"/>
      <c r="D37" s="49"/>
      <c r="E37" s="29"/>
      <c r="F37" s="29"/>
    </row>
    <row r="38" spans="1:6" ht="15.75">
      <c r="A38" s="29"/>
      <c r="B38" s="50"/>
      <c r="C38" s="29"/>
      <c r="D38" s="49"/>
      <c r="E38" s="29"/>
      <c r="F38" s="29"/>
    </row>
    <row r="39" spans="1:6" ht="15.75">
      <c r="A39" s="29"/>
      <c r="B39" s="50"/>
      <c r="C39" s="29"/>
      <c r="D39" s="49"/>
      <c r="E39" s="29"/>
      <c r="F39" s="29"/>
    </row>
    <row r="40" spans="1:6" ht="15.75">
      <c r="A40" s="29"/>
      <c r="B40" s="50"/>
      <c r="C40" s="29"/>
      <c r="D40" s="49"/>
      <c r="E40" s="29"/>
      <c r="F40" s="29"/>
    </row>
    <row r="41" spans="1:6" ht="15.75">
      <c r="A41" s="29"/>
      <c r="B41" s="50"/>
      <c r="C41" s="29"/>
      <c r="D41" s="49"/>
      <c r="E41" s="29"/>
      <c r="F41" s="29"/>
    </row>
    <row r="42" spans="1:6" ht="15.75">
      <c r="A42" s="29"/>
      <c r="B42" s="50"/>
      <c r="C42" s="29"/>
      <c r="D42" s="49"/>
      <c r="E42" s="29"/>
      <c r="F42" s="29"/>
    </row>
    <row r="43" spans="1:6" ht="15.75">
      <c r="A43" s="29"/>
      <c r="B43" s="50"/>
      <c r="C43" s="29"/>
      <c r="D43" s="49"/>
      <c r="E43" s="29"/>
      <c r="F43" s="29"/>
    </row>
    <row r="44" spans="1:6" ht="15.75">
      <c r="A44" s="29"/>
      <c r="B44" s="50"/>
      <c r="C44" s="29"/>
      <c r="D44" s="49"/>
      <c r="E44" s="29"/>
      <c r="F44" s="29"/>
    </row>
    <row r="45" spans="1:6" ht="15.75">
      <c r="A45" s="55" t="str">
        <f>CONCATENATE("Total Expenditures for ",C4-1," Budgeted Year")</f>
        <v>Total Expenditures for 2013 Budgeted Year</v>
      </c>
      <c r="B45" s="60"/>
      <c r="C45" s="61"/>
      <c r="D45" s="62">
        <f>SUM(D16:D31,D34:D44)</f>
        <v>202470</v>
      </c>
      <c r="E45" s="29"/>
      <c r="F45" s="29"/>
    </row>
    <row r="46" spans="1:6" ht="15.75">
      <c r="A46" s="63"/>
      <c r="B46" s="64"/>
      <c r="C46" s="29"/>
      <c r="D46" s="65"/>
      <c r="E46" s="29"/>
      <c r="F46" s="29"/>
    </row>
    <row r="47" spans="1:6" ht="15.75">
      <c r="A47" s="29" t="s">
        <v>7</v>
      </c>
      <c r="B47" s="64"/>
      <c r="C47" s="29"/>
      <c r="D47" s="29"/>
      <c r="E47" s="29"/>
      <c r="F47" s="29"/>
    </row>
    <row r="48" spans="1:6" ht="15.75">
      <c r="A48" s="29">
        <v>1</v>
      </c>
      <c r="B48" s="50"/>
      <c r="C48" s="29"/>
      <c r="D48" s="29"/>
      <c r="E48" s="29"/>
      <c r="F48" s="29"/>
    </row>
    <row r="49" spans="1:6" ht="15.75">
      <c r="A49" s="29">
        <v>2</v>
      </c>
      <c r="B49" s="50"/>
      <c r="C49" s="29"/>
      <c r="D49" s="29"/>
      <c r="E49" s="29"/>
      <c r="F49" s="29"/>
    </row>
    <row r="50" spans="1:6" ht="15.75">
      <c r="A50" s="29">
        <v>3</v>
      </c>
      <c r="B50" s="50"/>
      <c r="C50" s="29"/>
      <c r="D50" s="29"/>
      <c r="E50" s="29"/>
      <c r="F50" s="29"/>
    </row>
    <row r="51" spans="1:6" ht="15.75">
      <c r="A51" s="29">
        <v>4</v>
      </c>
      <c r="B51" s="50"/>
      <c r="C51" s="29"/>
      <c r="D51" s="29"/>
      <c r="E51" s="29"/>
      <c r="F51" s="29"/>
    </row>
    <row r="52" spans="1:6" ht="15.75">
      <c r="A52" s="29">
        <v>5</v>
      </c>
      <c r="B52" s="50"/>
      <c r="C52" s="29"/>
      <c r="D52" s="29"/>
      <c r="E52" s="29"/>
      <c r="F52" s="29"/>
    </row>
    <row r="53" spans="1:6" ht="15.75">
      <c r="A53" s="29" t="s">
        <v>8</v>
      </c>
      <c r="B53" s="64"/>
      <c r="C53" s="29"/>
      <c r="D53" s="29"/>
      <c r="E53" s="29"/>
      <c r="F53" s="29"/>
    </row>
    <row r="54" spans="1:6" ht="15.75">
      <c r="A54" s="29">
        <v>1</v>
      </c>
      <c r="B54" s="50"/>
      <c r="C54" s="29"/>
      <c r="D54" s="29"/>
      <c r="E54" s="29"/>
      <c r="F54" s="29"/>
    </row>
    <row r="55" spans="1:6" ht="15.75">
      <c r="A55" s="29">
        <v>2</v>
      </c>
      <c r="B55" s="50"/>
      <c r="C55" s="29"/>
      <c r="D55" s="29"/>
      <c r="E55" s="29"/>
      <c r="F55" s="29"/>
    </row>
    <row r="56" spans="1:6" ht="15.75">
      <c r="A56" s="29">
        <v>3</v>
      </c>
      <c r="B56" s="50"/>
      <c r="C56" s="29"/>
      <c r="D56" s="29"/>
      <c r="E56" s="29"/>
      <c r="F56" s="29"/>
    </row>
    <row r="57" spans="1:6" ht="15.75">
      <c r="A57" s="29">
        <v>4</v>
      </c>
      <c r="B57" s="50"/>
      <c r="C57" s="29"/>
      <c r="D57" s="29"/>
      <c r="E57" s="29"/>
      <c r="F57" s="29"/>
    </row>
    <row r="58" spans="1:6" ht="15.75">
      <c r="A58" s="29">
        <v>5</v>
      </c>
      <c r="B58" s="50"/>
      <c r="C58" s="29"/>
      <c r="D58" s="29"/>
      <c r="E58" s="29"/>
      <c r="F58" s="29"/>
    </row>
    <row r="59" spans="1:6" ht="15.75">
      <c r="A59" s="29" t="s">
        <v>9</v>
      </c>
      <c r="B59" s="64"/>
      <c r="C59" s="29"/>
      <c r="D59" s="29"/>
      <c r="E59" s="29"/>
      <c r="F59" s="29"/>
    </row>
    <row r="60" spans="1:6" ht="15.75">
      <c r="A60" s="29">
        <v>1</v>
      </c>
      <c r="B60" s="50"/>
      <c r="C60" s="29"/>
      <c r="D60" s="29"/>
      <c r="E60" s="29"/>
      <c r="F60" s="29"/>
    </row>
    <row r="61" spans="1:6" ht="15.75">
      <c r="A61" s="29">
        <v>2</v>
      </c>
      <c r="B61" s="50"/>
      <c r="C61" s="29"/>
      <c r="D61" s="29"/>
      <c r="E61" s="29"/>
      <c r="F61" s="29"/>
    </row>
    <row r="62" spans="1:6" ht="15.75">
      <c r="A62" s="29">
        <v>3</v>
      </c>
      <c r="B62" s="50"/>
      <c r="C62" s="29"/>
      <c r="D62" s="29"/>
      <c r="E62" s="29"/>
      <c r="F62" s="29"/>
    </row>
    <row r="63" spans="1:6" ht="15.75">
      <c r="A63" s="29">
        <v>4</v>
      </c>
      <c r="B63" s="50"/>
      <c r="C63" s="29"/>
      <c r="D63" s="29"/>
      <c r="E63" s="29"/>
      <c r="F63" s="29"/>
    </row>
    <row r="64" spans="1:6" ht="15.75">
      <c r="A64" s="29">
        <v>5</v>
      </c>
      <c r="B64" s="50"/>
      <c r="C64" s="29"/>
      <c r="D64" s="29"/>
      <c r="E64" s="29"/>
      <c r="F64" s="29"/>
    </row>
    <row r="65" spans="1:6" ht="15.75">
      <c r="A65" s="29" t="s">
        <v>10</v>
      </c>
      <c r="B65" s="64"/>
      <c r="C65" s="29"/>
      <c r="D65" s="29"/>
      <c r="E65" s="29"/>
      <c r="F65" s="29"/>
    </row>
    <row r="66" spans="1:6" ht="15.75">
      <c r="A66" s="29">
        <v>1</v>
      </c>
      <c r="B66" s="50"/>
      <c r="C66" s="29"/>
      <c r="D66" s="29"/>
      <c r="E66" s="29"/>
      <c r="F66" s="29"/>
    </row>
    <row r="67" spans="1:6" ht="15.75">
      <c r="A67" s="29">
        <v>2</v>
      </c>
      <c r="B67" s="50"/>
      <c r="C67" s="29"/>
      <c r="D67" s="29"/>
      <c r="E67" s="29"/>
      <c r="F67" s="29"/>
    </row>
    <row r="68" spans="1:6" ht="15.75">
      <c r="A68" s="29">
        <v>3</v>
      </c>
      <c r="B68" s="50"/>
      <c r="C68" s="29"/>
      <c r="D68" s="29"/>
      <c r="E68" s="29"/>
      <c r="F68" s="29"/>
    </row>
    <row r="69" spans="1:6" ht="15.75">
      <c r="A69" s="29">
        <v>4</v>
      </c>
      <c r="B69" s="50"/>
      <c r="C69" s="29"/>
      <c r="D69" s="29"/>
      <c r="E69" s="29"/>
      <c r="F69" s="29"/>
    </row>
    <row r="70" spans="1:6" ht="15.75">
      <c r="A70" s="29">
        <v>5</v>
      </c>
      <c r="B70" s="50"/>
      <c r="C70" s="29"/>
      <c r="D70" s="29"/>
      <c r="E70" s="29"/>
      <c r="F70" s="29"/>
    </row>
    <row r="71" spans="1:6" ht="15.75">
      <c r="A71" s="55" t="str">
        <f>CONCATENATE("County's Final Assessed Valuation for ",C4-1," (November 1,",C4-2," Abstract):")</f>
        <v>County's Final Assessed Valuation for 2013 (November 1,2012 Abstract):</v>
      </c>
      <c r="B71" s="56"/>
      <c r="C71" s="56"/>
      <c r="D71" s="56"/>
      <c r="E71" s="61"/>
      <c r="F71" s="54">
        <v>31135536</v>
      </c>
    </row>
    <row r="72" spans="1:6" ht="15.75">
      <c r="A72" s="28"/>
      <c r="B72" s="29"/>
      <c r="C72" s="29"/>
      <c r="D72" s="29"/>
      <c r="E72" s="29"/>
      <c r="F72" s="29"/>
    </row>
    <row r="73" spans="1:6" ht="15.75">
      <c r="A73" s="29"/>
      <c r="B73" s="29"/>
      <c r="C73" s="29"/>
      <c r="D73" s="29"/>
      <c r="E73" s="29"/>
      <c r="F73" s="29"/>
    </row>
    <row r="74" spans="1:6" ht="15.75">
      <c r="A74" s="66" t="str">
        <f>CONCATENATE("From the ",C4-1," Budget:")</f>
        <v>From the 2013 Budget:</v>
      </c>
      <c r="B74" s="39"/>
      <c r="C74" s="29"/>
      <c r="D74" s="411" t="str">
        <f>CONCATENATE("",C4-3," Tax Rate (",C4-2," Column)")</f>
        <v>2011 Tax Rate (2012 Column)</v>
      </c>
      <c r="E74" s="67"/>
      <c r="F74" s="29"/>
    </row>
    <row r="75" spans="1:6" ht="15.75">
      <c r="A75" s="66" t="s">
        <v>25</v>
      </c>
      <c r="B75" s="68"/>
      <c r="C75" s="29"/>
      <c r="D75" s="412"/>
      <c r="E75" s="67"/>
      <c r="F75" s="29"/>
    </row>
    <row r="76" spans="1:6" ht="15.75">
      <c r="A76" s="29"/>
      <c r="B76" s="69" t="str">
        <f aca="true" t="shared" si="1" ref="B76:B86">B16</f>
        <v>MCO # 1</v>
      </c>
      <c r="C76" s="29"/>
      <c r="D76" s="50">
        <v>5.876</v>
      </c>
      <c r="E76" s="67"/>
      <c r="F76" s="29"/>
    </row>
    <row r="77" spans="1:6" ht="15.75">
      <c r="A77" s="29"/>
      <c r="B77" s="69" t="str">
        <f t="shared" si="1"/>
        <v>Tipton # 2</v>
      </c>
      <c r="C77" s="29"/>
      <c r="D77" s="50">
        <v>3.337</v>
      </c>
      <c r="E77" s="67"/>
      <c r="F77" s="29"/>
    </row>
    <row r="78" spans="1:6" ht="15.75">
      <c r="A78" s="29"/>
      <c r="B78" s="69" t="str">
        <f t="shared" si="1"/>
        <v>Solomon Rapids F.D. # 3</v>
      </c>
      <c r="C78" s="29"/>
      <c r="D78" s="50">
        <v>2.886</v>
      </c>
      <c r="E78" s="67"/>
      <c r="F78" s="29"/>
    </row>
    <row r="79" spans="1:6" ht="15.75">
      <c r="A79" s="29"/>
      <c r="B79" s="69">
        <f t="shared" si="1"/>
        <v>0</v>
      </c>
      <c r="C79" s="29"/>
      <c r="D79" s="50"/>
      <c r="E79" s="67"/>
      <c r="F79" s="29"/>
    </row>
    <row r="80" spans="1:6" ht="15.75">
      <c r="A80" s="29"/>
      <c r="B80" s="69">
        <f t="shared" si="1"/>
        <v>0</v>
      </c>
      <c r="C80" s="29"/>
      <c r="D80" s="50"/>
      <c r="E80" s="67"/>
      <c r="F80" s="29"/>
    </row>
    <row r="81" spans="1:6" ht="15.75">
      <c r="A81" s="29"/>
      <c r="B81" s="69">
        <f t="shared" si="1"/>
        <v>0</v>
      </c>
      <c r="C81" s="29"/>
      <c r="D81" s="50"/>
      <c r="E81" s="67"/>
      <c r="F81" s="29"/>
    </row>
    <row r="82" spans="1:6" ht="15.75">
      <c r="A82" s="29"/>
      <c r="B82" s="69">
        <f t="shared" si="1"/>
        <v>0</v>
      </c>
      <c r="C82" s="29"/>
      <c r="D82" s="50"/>
      <c r="E82" s="67"/>
      <c r="F82" s="29"/>
    </row>
    <row r="83" spans="1:6" ht="15.75">
      <c r="A83" s="29"/>
      <c r="B83" s="69">
        <f t="shared" si="1"/>
        <v>0</v>
      </c>
      <c r="C83" s="29"/>
      <c r="D83" s="50"/>
      <c r="E83" s="67"/>
      <c r="F83" s="29"/>
    </row>
    <row r="84" spans="1:6" ht="15.75">
      <c r="A84" s="29"/>
      <c r="B84" s="69">
        <f t="shared" si="1"/>
        <v>0</v>
      </c>
      <c r="C84" s="29"/>
      <c r="D84" s="50"/>
      <c r="E84" s="67"/>
      <c r="F84" s="29"/>
    </row>
    <row r="85" spans="1:6" ht="15.75">
      <c r="A85" s="29"/>
      <c r="B85" s="69">
        <f t="shared" si="1"/>
        <v>0</v>
      </c>
      <c r="C85" s="29"/>
      <c r="D85" s="50"/>
      <c r="E85" s="67"/>
      <c r="F85" s="29"/>
    </row>
    <row r="86" spans="1:6" ht="15.75">
      <c r="A86" s="29"/>
      <c r="B86" s="69">
        <f t="shared" si="1"/>
        <v>0</v>
      </c>
      <c r="C86" s="29"/>
      <c r="D86" s="50"/>
      <c r="E86" s="67"/>
      <c r="F86" s="29"/>
    </row>
    <row r="87" spans="1:6" ht="15.75">
      <c r="A87" s="29"/>
      <c r="B87" s="69">
        <f>B29</f>
        <v>0</v>
      </c>
      <c r="C87" s="29"/>
      <c r="D87" s="50"/>
      <c r="E87" s="67"/>
      <c r="F87" s="29"/>
    </row>
    <row r="88" spans="1:6" ht="15.75">
      <c r="A88" s="29"/>
      <c r="B88" s="69">
        <f>B30</f>
        <v>0</v>
      </c>
      <c r="C88" s="29"/>
      <c r="D88" s="50"/>
      <c r="E88" s="67"/>
      <c r="F88" s="29"/>
    </row>
    <row r="89" spans="1:6" ht="15.75">
      <c r="A89" s="29"/>
      <c r="B89" s="69">
        <f>B31</f>
        <v>0</v>
      </c>
      <c r="C89" s="29"/>
      <c r="D89" s="50"/>
      <c r="E89" s="67"/>
      <c r="F89" s="29"/>
    </row>
    <row r="90" spans="1:6" ht="15.75">
      <c r="A90" s="56" t="s">
        <v>27</v>
      </c>
      <c r="B90" s="56"/>
      <c r="C90" s="61"/>
      <c r="D90" s="59">
        <f>SUM(D76:D89)</f>
        <v>12.099</v>
      </c>
      <c r="E90" s="67"/>
      <c r="F90" s="29"/>
    </row>
    <row r="91" spans="1:6" ht="15.75">
      <c r="A91" s="29"/>
      <c r="B91" s="29"/>
      <c r="C91" s="29"/>
      <c r="D91" s="29"/>
      <c r="E91" s="29"/>
      <c r="F91" s="29"/>
    </row>
    <row r="92" spans="1:6" ht="15.75">
      <c r="A92" s="70" t="str">
        <f>CONCATENATE("Total Tax Levied (",C4-2," budget column)")</f>
        <v>Total Tax Levied (2012 budget column)</v>
      </c>
      <c r="B92" s="71"/>
      <c r="C92" s="56"/>
      <c r="D92" s="56"/>
      <c r="E92" s="61"/>
      <c r="F92" s="54">
        <v>138155</v>
      </c>
    </row>
    <row r="93" spans="1:6" ht="15.75">
      <c r="A93" s="72" t="str">
        <f>CONCATENATE("Assessed Valuation  (",C4-2," budget column)")</f>
        <v>Assessed Valuation  (2012 budget column)</v>
      </c>
      <c r="B93" s="73"/>
      <c r="C93" s="74"/>
      <c r="D93" s="74"/>
      <c r="E93" s="57"/>
      <c r="F93" s="54">
        <v>30142788</v>
      </c>
    </row>
    <row r="94" spans="1:6" ht="15.75">
      <c r="A94" s="63"/>
      <c r="B94" s="32"/>
      <c r="C94" s="32"/>
      <c r="D94" s="32"/>
      <c r="E94" s="32"/>
      <c r="F94" s="75"/>
    </row>
    <row r="95" spans="1:6" ht="15.75">
      <c r="A95" s="76" t="str">
        <f>CONCATENATE("From the ",C4-1," Budget, Budget Summary Page:")</f>
        <v>From the 2013 Budget, Budget Summary Page:</v>
      </c>
      <c r="B95" s="77"/>
      <c r="C95" s="67"/>
      <c r="D95" s="67"/>
      <c r="E95" s="67"/>
      <c r="F95" s="67"/>
    </row>
    <row r="96" spans="1:6" ht="15.75">
      <c r="A96" s="78" t="s">
        <v>0</v>
      </c>
      <c r="B96" s="78"/>
      <c r="C96" s="79"/>
      <c r="D96" s="80">
        <f>C4-3</f>
        <v>2011</v>
      </c>
      <c r="E96" s="81">
        <f>C4-2</f>
        <v>2012</v>
      </c>
      <c r="F96" s="67"/>
    </row>
    <row r="97" spans="1:6" ht="15.75">
      <c r="A97" s="82" t="s">
        <v>1</v>
      </c>
      <c r="B97" s="82"/>
      <c r="C97" s="83"/>
      <c r="D97" s="49"/>
      <c r="E97" s="49"/>
      <c r="F97" s="67"/>
    </row>
    <row r="98" spans="1:6" s="85" customFormat="1" ht="15.75">
      <c r="A98" s="84" t="s">
        <v>2</v>
      </c>
      <c r="B98" s="84"/>
      <c r="C98" s="83"/>
      <c r="D98" s="49"/>
      <c r="E98" s="49"/>
      <c r="F98" s="79"/>
    </row>
    <row r="99" spans="1:6" s="85" customFormat="1" ht="15.75">
      <c r="A99" s="84" t="s">
        <v>3</v>
      </c>
      <c r="B99" s="84"/>
      <c r="C99" s="83"/>
      <c r="D99" s="49"/>
      <c r="E99" s="49"/>
      <c r="F99" s="79"/>
    </row>
    <row r="100" spans="1:6" s="85" customFormat="1" ht="15.75">
      <c r="A100" s="84" t="s">
        <v>4</v>
      </c>
      <c r="B100" s="84"/>
      <c r="C100" s="83"/>
      <c r="D100" s="49">
        <v>96000</v>
      </c>
      <c r="E100" s="49">
        <v>86004</v>
      </c>
      <c r="F100" s="79"/>
    </row>
    <row r="101" s="85" customFormat="1" ht="15.75"/>
  </sheetData>
  <sheetProtection/>
  <mergeCells count="4">
    <mergeCell ref="D74:D75"/>
    <mergeCell ref="A9:F9"/>
    <mergeCell ref="A1:F1"/>
    <mergeCell ref="H6:I11"/>
  </mergeCells>
  <printOptions/>
  <pageMargins left="0.5" right="0.5" top="1" bottom="0.5" header="0.5" footer="0.25"/>
  <pageSetup blackAndWhite="1" fitToHeight="3" horizontalDpi="120" verticalDpi="120" orientation="portrait" scale="74" r:id="rId1"/>
  <rowBreaks count="1" manualBreakCount="1">
    <brk id="45" max="5" man="1"/>
  </rowBreaks>
</worksheet>
</file>

<file path=xl/worksheets/sheet10.xml><?xml version="1.0" encoding="utf-8"?>
<worksheet xmlns="http://schemas.openxmlformats.org/spreadsheetml/2006/main" xmlns:r="http://schemas.openxmlformats.org/officeDocument/2006/relationships">
  <sheetPr>
    <pageSetUpPr fitToPage="1"/>
  </sheetPr>
  <dimension ref="B1:J48"/>
  <sheetViews>
    <sheetView view="pageBreakPreview" zoomScale="102" zoomScaleNormal="75" zoomScaleSheetLayoutView="102" zoomScalePageLayoutView="0" workbookViewId="0" topLeftCell="B11">
      <selection activeCell="G11" sqref="G11"/>
    </sheetView>
  </sheetViews>
  <sheetFormatPr defaultColWidth="8.796875" defaultRowHeight="15"/>
  <cols>
    <col min="1" max="1" width="4.796875" style="26" customWidth="1"/>
    <col min="2" max="2" width="25.796875" style="26" customWidth="1"/>
    <col min="3" max="5" width="9.796875" style="26" customWidth="1"/>
    <col min="6" max="6" width="17.09765625" style="26" customWidth="1"/>
    <col min="7" max="9" width="15.796875" style="26" customWidth="1"/>
    <col min="10" max="16384" width="8.8984375" style="26" customWidth="1"/>
  </cols>
  <sheetData>
    <row r="1" spans="2:9" ht="15.75">
      <c r="B1" s="155" t="str">
        <f>inputPrYr!$C$2</f>
        <v>MITCHELL COUNTY</v>
      </c>
      <c r="C1" s="29"/>
      <c r="D1" s="29"/>
      <c r="E1" s="29"/>
      <c r="F1" s="29"/>
      <c r="G1" s="29"/>
      <c r="H1" s="29"/>
      <c r="I1" s="214">
        <f>inputPrYr!C4</f>
        <v>2014</v>
      </c>
    </row>
    <row r="2" spans="2:9" ht="15.75">
      <c r="B2" s="29"/>
      <c r="C2" s="29"/>
      <c r="D2" s="29"/>
      <c r="E2" s="29"/>
      <c r="F2" s="29"/>
      <c r="G2" s="29"/>
      <c r="H2" s="29"/>
      <c r="I2" s="167"/>
    </row>
    <row r="3" spans="2:9" ht="15.75">
      <c r="B3" s="29"/>
      <c r="C3" s="37"/>
      <c r="D3" s="37"/>
      <c r="E3" s="37"/>
      <c r="F3" s="37"/>
      <c r="G3" s="37"/>
      <c r="H3" s="37"/>
      <c r="I3" s="215"/>
    </row>
    <row r="4" spans="2:9" ht="15.75">
      <c r="B4" s="183" t="s">
        <v>103</v>
      </c>
      <c r="C4" s="37"/>
      <c r="D4" s="37"/>
      <c r="E4" s="37"/>
      <c r="F4" s="37"/>
      <c r="G4" s="37"/>
      <c r="H4" s="37"/>
      <c r="I4" s="37"/>
    </row>
    <row r="5" spans="2:9" ht="15.75">
      <c r="B5" s="56"/>
      <c r="C5" s="184"/>
      <c r="D5" s="184"/>
      <c r="E5" s="184"/>
      <c r="F5" s="184"/>
      <c r="G5" s="184"/>
      <c r="H5" s="184"/>
      <c r="I5" s="184"/>
    </row>
    <row r="6" spans="2:9" ht="15.75">
      <c r="B6" s="216"/>
      <c r="C6" s="217"/>
      <c r="D6" s="217"/>
      <c r="E6" s="217"/>
      <c r="F6" s="185" t="s">
        <v>27</v>
      </c>
      <c r="G6" s="217"/>
      <c r="H6" s="217"/>
      <c r="I6" s="217"/>
    </row>
    <row r="7" spans="2:9" ht="15.75">
      <c r="B7" s="216"/>
      <c r="C7" s="188"/>
      <c r="D7" s="188" t="s">
        <v>92</v>
      </c>
      <c r="E7" s="188" t="s">
        <v>93</v>
      </c>
      <c r="F7" s="188" t="s">
        <v>46</v>
      </c>
      <c r="G7" s="188" t="s">
        <v>94</v>
      </c>
      <c r="H7" s="188" t="s">
        <v>95</v>
      </c>
      <c r="I7" s="188" t="s">
        <v>95</v>
      </c>
    </row>
    <row r="8" spans="2:9" ht="15.75">
      <c r="B8" s="324" t="s">
        <v>222</v>
      </c>
      <c r="C8" s="188" t="s">
        <v>96</v>
      </c>
      <c r="D8" s="188" t="s">
        <v>97</v>
      </c>
      <c r="E8" s="188" t="s">
        <v>82</v>
      </c>
      <c r="F8" s="188" t="s">
        <v>98</v>
      </c>
      <c r="G8" s="188" t="s">
        <v>131</v>
      </c>
      <c r="H8" s="188" t="s">
        <v>99</v>
      </c>
      <c r="I8" s="188" t="s">
        <v>99</v>
      </c>
    </row>
    <row r="9" spans="2:9" ht="15.75">
      <c r="B9" s="323" t="s">
        <v>221</v>
      </c>
      <c r="C9" s="191" t="s">
        <v>79</v>
      </c>
      <c r="D9" s="219" t="s">
        <v>100</v>
      </c>
      <c r="E9" s="191" t="s">
        <v>60</v>
      </c>
      <c r="F9" s="219" t="s">
        <v>148</v>
      </c>
      <c r="G9" s="220" t="str">
        <f>CONCATENATE("Jan 1,",I1-1,"")</f>
        <v>Jan 1,2013</v>
      </c>
      <c r="H9" s="191">
        <f>I1-1</f>
        <v>2013</v>
      </c>
      <c r="I9" s="191">
        <f>I1</f>
        <v>2014</v>
      </c>
    </row>
    <row r="10" spans="2:9" ht="15.75">
      <c r="B10" s="221" t="s">
        <v>302</v>
      </c>
      <c r="C10" s="273">
        <v>40392</v>
      </c>
      <c r="D10" s="222">
        <v>120</v>
      </c>
      <c r="E10" s="223">
        <v>4.54</v>
      </c>
      <c r="F10" s="54">
        <v>96000</v>
      </c>
      <c r="G10" s="54">
        <v>78234</v>
      </c>
      <c r="H10" s="54">
        <v>12155</v>
      </c>
      <c r="I10" s="54">
        <v>12155</v>
      </c>
    </row>
    <row r="11" spans="2:9" ht="15.75">
      <c r="B11" s="221"/>
      <c r="C11" s="221"/>
      <c r="D11" s="222"/>
      <c r="E11" s="223"/>
      <c r="F11" s="54"/>
      <c r="G11" s="54"/>
      <c r="H11" s="54"/>
      <c r="I11" s="54"/>
    </row>
    <row r="12" spans="2:9" ht="15.75">
      <c r="B12" s="221"/>
      <c r="C12" s="273"/>
      <c r="D12" s="222"/>
      <c r="E12" s="223"/>
      <c r="F12" s="54"/>
      <c r="G12" s="54"/>
      <c r="H12" s="54"/>
      <c r="I12" s="54"/>
    </row>
    <row r="13" spans="2:9" ht="15.75">
      <c r="B13" s="221"/>
      <c r="C13" s="221"/>
      <c r="D13" s="222"/>
      <c r="E13" s="223"/>
      <c r="F13" s="54"/>
      <c r="G13" s="54"/>
      <c r="H13" s="54"/>
      <c r="I13" s="54"/>
    </row>
    <row r="14" spans="2:9" ht="15.75">
      <c r="B14" s="221"/>
      <c r="C14" s="221"/>
      <c r="D14" s="222"/>
      <c r="E14" s="223"/>
      <c r="F14" s="54"/>
      <c r="G14" s="54"/>
      <c r="H14" s="54"/>
      <c r="I14" s="54"/>
    </row>
    <row r="15" spans="2:9" ht="15.75">
      <c r="B15" s="221"/>
      <c r="C15" s="221"/>
      <c r="D15" s="222"/>
      <c r="E15" s="223"/>
      <c r="F15" s="54"/>
      <c r="G15" s="54"/>
      <c r="H15" s="54"/>
      <c r="I15" s="54"/>
    </row>
    <row r="16" spans="2:9" ht="15.75">
      <c r="B16" s="221"/>
      <c r="C16" s="221"/>
      <c r="D16" s="222"/>
      <c r="E16" s="223"/>
      <c r="F16" s="54"/>
      <c r="G16" s="54"/>
      <c r="H16" s="54"/>
      <c r="I16" s="54"/>
    </row>
    <row r="17" spans="2:9" ht="15.75">
      <c r="B17" s="221"/>
      <c r="C17" s="221"/>
      <c r="D17" s="222"/>
      <c r="E17" s="223"/>
      <c r="F17" s="54"/>
      <c r="G17" s="54"/>
      <c r="H17" s="54"/>
      <c r="I17" s="54"/>
    </row>
    <row r="18" spans="2:9" ht="15.75">
      <c r="B18" s="221"/>
      <c r="C18" s="221"/>
      <c r="D18" s="222"/>
      <c r="E18" s="223"/>
      <c r="F18" s="54"/>
      <c r="G18" s="54"/>
      <c r="H18" s="54"/>
      <c r="I18" s="54"/>
    </row>
    <row r="19" spans="2:9" ht="15.75">
      <c r="B19" s="221"/>
      <c r="C19" s="221"/>
      <c r="D19" s="222"/>
      <c r="E19" s="223"/>
      <c r="F19" s="54"/>
      <c r="G19" s="54"/>
      <c r="H19" s="54"/>
      <c r="I19" s="54"/>
    </row>
    <row r="20" spans="2:9" ht="15.75">
      <c r="B20" s="221"/>
      <c r="C20" s="221"/>
      <c r="D20" s="222"/>
      <c r="E20" s="223"/>
      <c r="F20" s="54"/>
      <c r="G20" s="54"/>
      <c r="H20" s="54"/>
      <c r="I20" s="54"/>
    </row>
    <row r="21" spans="2:9" ht="15.75">
      <c r="B21" s="221"/>
      <c r="C21" s="221"/>
      <c r="D21" s="222"/>
      <c r="E21" s="223"/>
      <c r="F21" s="54"/>
      <c r="G21" s="54"/>
      <c r="H21" s="54"/>
      <c r="I21" s="54"/>
    </row>
    <row r="22" spans="2:9" ht="15.75">
      <c r="B22" s="221"/>
      <c r="C22" s="221"/>
      <c r="D22" s="222"/>
      <c r="E22" s="223"/>
      <c r="F22" s="54"/>
      <c r="G22" s="54"/>
      <c r="H22" s="54"/>
      <c r="I22" s="54"/>
    </row>
    <row r="23" spans="2:9" ht="15.75">
      <c r="B23" s="221"/>
      <c r="C23" s="221"/>
      <c r="D23" s="222"/>
      <c r="E23" s="223"/>
      <c r="F23" s="54"/>
      <c r="G23" s="54"/>
      <c r="H23" s="54"/>
      <c r="I23" s="54"/>
    </row>
    <row r="24" spans="2:9" ht="15.75">
      <c r="B24" s="221"/>
      <c r="C24" s="221"/>
      <c r="D24" s="222"/>
      <c r="E24" s="223"/>
      <c r="F24" s="54"/>
      <c r="G24" s="54"/>
      <c r="H24" s="54"/>
      <c r="I24" s="54"/>
    </row>
    <row r="25" spans="2:9" ht="15.75">
      <c r="B25" s="221"/>
      <c r="C25" s="221"/>
      <c r="D25" s="222"/>
      <c r="E25" s="223"/>
      <c r="F25" s="54"/>
      <c r="G25" s="54"/>
      <c r="H25" s="54"/>
      <c r="I25" s="54"/>
    </row>
    <row r="26" spans="2:9" ht="15.75">
      <c r="B26" s="221"/>
      <c r="C26" s="221"/>
      <c r="D26" s="222"/>
      <c r="E26" s="223"/>
      <c r="F26" s="54"/>
      <c r="G26" s="54"/>
      <c r="H26" s="54"/>
      <c r="I26" s="54"/>
    </row>
    <row r="27" spans="2:9" ht="15.75">
      <c r="B27" s="221"/>
      <c r="C27" s="221"/>
      <c r="D27" s="222"/>
      <c r="E27" s="223"/>
      <c r="F27" s="54"/>
      <c r="G27" s="54"/>
      <c r="H27" s="54"/>
      <c r="I27" s="54"/>
    </row>
    <row r="28" spans="2:9" ht="15.75">
      <c r="B28" s="221"/>
      <c r="C28" s="221"/>
      <c r="D28" s="222"/>
      <c r="E28" s="223"/>
      <c r="F28" s="54"/>
      <c r="G28" s="54"/>
      <c r="H28" s="54"/>
      <c r="I28" s="54"/>
    </row>
    <row r="29" spans="2:9" ht="15.75">
      <c r="B29" s="221"/>
      <c r="C29" s="221"/>
      <c r="D29" s="222"/>
      <c r="E29" s="223"/>
      <c r="F29" s="54"/>
      <c r="G29" s="54"/>
      <c r="H29" s="54"/>
      <c r="I29" s="54"/>
    </row>
    <row r="30" spans="2:9" ht="15.75">
      <c r="B30" s="221"/>
      <c r="C30" s="221"/>
      <c r="D30" s="222"/>
      <c r="E30" s="223"/>
      <c r="F30" s="54"/>
      <c r="G30" s="54"/>
      <c r="H30" s="54"/>
      <c r="I30" s="54"/>
    </row>
    <row r="31" spans="2:9" ht="15.75">
      <c r="B31" s="221"/>
      <c r="C31" s="221"/>
      <c r="D31" s="222"/>
      <c r="E31" s="223"/>
      <c r="F31" s="54"/>
      <c r="G31" s="54"/>
      <c r="H31" s="54"/>
      <c r="I31" s="54"/>
    </row>
    <row r="32" spans="2:9" ht="15.75">
      <c r="B32" s="221"/>
      <c r="C32" s="221"/>
      <c r="D32" s="222"/>
      <c r="E32" s="223"/>
      <c r="F32" s="54"/>
      <c r="G32" s="54"/>
      <c r="H32" s="54"/>
      <c r="I32" s="54"/>
    </row>
    <row r="33" spans="2:9" ht="15.75">
      <c r="B33" s="221"/>
      <c r="C33" s="221"/>
      <c r="D33" s="222"/>
      <c r="E33" s="223"/>
      <c r="F33" s="54"/>
      <c r="G33" s="54"/>
      <c r="H33" s="54"/>
      <c r="I33" s="54"/>
    </row>
    <row r="34" spans="2:9" ht="15.75">
      <c r="B34" s="221"/>
      <c r="C34" s="221"/>
      <c r="D34" s="222"/>
      <c r="E34" s="223"/>
      <c r="F34" s="54"/>
      <c r="G34" s="54"/>
      <c r="H34" s="54"/>
      <c r="I34" s="54"/>
    </row>
    <row r="35" spans="2:9" ht="15.75">
      <c r="B35" s="221"/>
      <c r="C35" s="221"/>
      <c r="D35" s="222"/>
      <c r="E35" s="223"/>
      <c r="F35" s="54"/>
      <c r="G35" s="54"/>
      <c r="H35" s="54"/>
      <c r="I35" s="54"/>
    </row>
    <row r="36" spans="2:9" ht="15.75">
      <c r="B36" s="221"/>
      <c r="C36" s="221"/>
      <c r="D36" s="222"/>
      <c r="E36" s="223"/>
      <c r="F36" s="54"/>
      <c r="G36" s="54"/>
      <c r="H36" s="54"/>
      <c r="I36" s="54"/>
    </row>
    <row r="37" spans="2:10" ht="16.5" thickBot="1">
      <c r="B37" s="325"/>
      <c r="C37" s="29"/>
      <c r="D37" s="29"/>
      <c r="E37" s="29"/>
      <c r="F37" s="199" t="s">
        <v>47</v>
      </c>
      <c r="G37" s="224">
        <f>SUM(G10:G36)</f>
        <v>78234</v>
      </c>
      <c r="H37" s="224">
        <f>SUM(H10:H36)</f>
        <v>12155</v>
      </c>
      <c r="I37" s="224">
        <f>SUM(I10:I36)</f>
        <v>12155</v>
      </c>
      <c r="J37" s="225"/>
    </row>
    <row r="38" spans="2:9" ht="16.5" thickTop="1">
      <c r="B38" s="29"/>
      <c r="C38" s="29"/>
      <c r="D38" s="29"/>
      <c r="E38" s="29"/>
      <c r="F38" s="29"/>
      <c r="G38" s="29"/>
      <c r="H38" s="155"/>
      <c r="I38" s="155"/>
    </row>
    <row r="39" spans="2:9" ht="15.75">
      <c r="B39" s="226" t="s">
        <v>23</v>
      </c>
      <c r="C39" s="227"/>
      <c r="D39" s="227"/>
      <c r="E39" s="227"/>
      <c r="F39" s="227"/>
      <c r="G39" s="227"/>
      <c r="H39" s="155"/>
      <c r="I39" s="155"/>
    </row>
    <row r="40" spans="2:9" ht="15.75">
      <c r="B40" s="85"/>
      <c r="C40" s="85"/>
      <c r="D40" s="213"/>
      <c r="E40" s="85"/>
      <c r="F40" s="85"/>
      <c r="G40" s="85"/>
      <c r="H40" s="212"/>
      <c r="I40" s="212"/>
    </row>
    <row r="41" spans="2:9" ht="15.75">
      <c r="B41" s="85"/>
      <c r="C41" s="85"/>
      <c r="D41" s="85"/>
      <c r="E41" s="85"/>
      <c r="F41" s="85"/>
      <c r="G41" s="85"/>
      <c r="H41" s="85"/>
      <c r="I41" s="85"/>
    </row>
    <row r="42" spans="2:9" ht="15.75">
      <c r="B42" s="85"/>
      <c r="C42" s="85"/>
      <c r="D42" s="85"/>
      <c r="E42" s="85"/>
      <c r="F42" s="85"/>
      <c r="G42" s="85"/>
      <c r="H42" s="85"/>
      <c r="I42" s="85"/>
    </row>
    <row r="43" spans="2:9" ht="15.75">
      <c r="B43" s="85"/>
      <c r="C43" s="85"/>
      <c r="D43" s="85"/>
      <c r="E43" s="85"/>
      <c r="F43" s="85"/>
      <c r="G43" s="85"/>
      <c r="H43" s="85"/>
      <c r="I43" s="85"/>
    </row>
    <row r="44" spans="2:9" ht="15.75">
      <c r="B44" s="85"/>
      <c r="C44" s="85"/>
      <c r="D44" s="85"/>
      <c r="E44" s="85"/>
      <c r="F44" s="85"/>
      <c r="G44" s="85"/>
      <c r="H44" s="85"/>
      <c r="I44" s="85"/>
    </row>
    <row r="45" spans="2:9" ht="15.75">
      <c r="B45" s="85"/>
      <c r="C45" s="85"/>
      <c r="D45" s="85"/>
      <c r="E45" s="85"/>
      <c r="F45" s="85"/>
      <c r="G45" s="85"/>
      <c r="H45" s="85"/>
      <c r="I45" s="85"/>
    </row>
    <row r="46" spans="2:9" ht="15.75">
      <c r="B46" s="85"/>
      <c r="C46" s="85"/>
      <c r="D46" s="85"/>
      <c r="E46" s="85"/>
      <c r="F46" s="85"/>
      <c r="G46" s="85"/>
      <c r="H46" s="85"/>
      <c r="I46" s="85"/>
    </row>
    <row r="47" spans="2:9" ht="15.75">
      <c r="B47" s="85"/>
      <c r="C47" s="85"/>
      <c r="D47" s="85"/>
      <c r="E47" s="85"/>
      <c r="F47" s="85"/>
      <c r="G47" s="85"/>
      <c r="H47" s="85"/>
      <c r="I47" s="85"/>
    </row>
    <row r="48" spans="2:9" ht="15.75">
      <c r="B48" s="85"/>
      <c r="C48" s="85"/>
      <c r="D48" s="85"/>
      <c r="E48" s="85"/>
      <c r="F48" s="85"/>
      <c r="G48" s="85"/>
      <c r="H48" s="85"/>
      <c r="I48" s="85"/>
    </row>
  </sheetData>
  <sheetProtection sheet="1"/>
  <printOptions/>
  <pageMargins left="0.17" right="0.5" top="0.78" bottom="0.4" header="0.5" footer="0"/>
  <pageSetup blackAndWhite="1" fitToHeight="1" fitToWidth="1" horizontalDpi="120" verticalDpi="120" orientation="landscape" scale="82" r:id="rId1"/>
  <headerFooter alignWithMargins="0">
    <oddHeader>&amp;RState of Kansas
County
</oddHeader>
    <oddFooter>&amp;CPage No. 7
</oddFooter>
  </headerFooter>
</worksheet>
</file>

<file path=xl/worksheets/sheet11.xml><?xml version="1.0" encoding="utf-8"?>
<worksheet xmlns="http://schemas.openxmlformats.org/spreadsheetml/2006/main" xmlns:r="http://schemas.openxmlformats.org/officeDocument/2006/relationships">
  <dimension ref="B1:K84"/>
  <sheetViews>
    <sheetView view="pageBreakPreview" zoomScale="95" zoomScaleSheetLayoutView="95" zoomScalePageLayoutView="0" workbookViewId="0" topLeftCell="A46">
      <selection activeCell="B59" sqref="B59:B61"/>
    </sheetView>
  </sheetViews>
  <sheetFormatPr defaultColWidth="8.796875" defaultRowHeight="15"/>
  <cols>
    <col min="1" max="1" width="2.3984375" style="26" customWidth="1"/>
    <col min="2" max="2" width="31.09765625" style="26" customWidth="1"/>
    <col min="3" max="4" width="15.796875" style="26" customWidth="1"/>
    <col min="5" max="5" width="16.09765625" style="26" customWidth="1"/>
    <col min="6" max="6" width="7.3984375" style="26" customWidth="1"/>
    <col min="7" max="7" width="10.19921875" style="26" customWidth="1"/>
    <col min="8" max="8" width="8.8984375" style="26" customWidth="1"/>
    <col min="9" max="9" width="5" style="26" customWidth="1"/>
    <col min="10" max="10" width="10" style="26" customWidth="1"/>
    <col min="11" max="16384" width="8.8984375" style="26" customWidth="1"/>
  </cols>
  <sheetData>
    <row r="1" spans="2:5" ht="15.75">
      <c r="B1" s="155" t="str">
        <f>(inputPrYr!C2)</f>
        <v>MITCHELL COUNTY</v>
      </c>
      <c r="C1" s="29"/>
      <c r="D1" s="29"/>
      <c r="E1" s="214">
        <f>inputPrYr!C4</f>
        <v>2014</v>
      </c>
    </row>
    <row r="2" spans="2:5" ht="15.75">
      <c r="B2" s="29"/>
      <c r="C2" s="29"/>
      <c r="D2" s="29"/>
      <c r="E2" s="167"/>
    </row>
    <row r="3" spans="2:5" ht="15.75">
      <c r="B3" s="94" t="s">
        <v>106</v>
      </c>
      <c r="C3" s="242"/>
      <c r="D3" s="242"/>
      <c r="E3" s="243"/>
    </row>
    <row r="4" spans="2:5" ht="15.75">
      <c r="B4" s="28" t="s">
        <v>48</v>
      </c>
      <c r="C4" s="384" t="s">
        <v>242</v>
      </c>
      <c r="D4" s="385" t="s">
        <v>243</v>
      </c>
      <c r="E4" s="153" t="s">
        <v>244</v>
      </c>
    </row>
    <row r="5" spans="2:5" ht="15.75">
      <c r="B5" s="292" t="str">
        <f>inputPrYr!B16</f>
        <v>MCO # 1</v>
      </c>
      <c r="C5" s="278" t="str">
        <f>CONCATENATE("Actual for ",E1-2,"")</f>
        <v>Actual for 2012</v>
      </c>
      <c r="D5" s="278" t="str">
        <f>CONCATENATE("Estimate for ",E1-1,"")</f>
        <v>Estimate for 2013</v>
      </c>
      <c r="E5" s="228" t="str">
        <f>CONCATENATE("Year for ",E1,"")</f>
        <v>Year for 2014</v>
      </c>
    </row>
    <row r="6" spans="2:5" ht="15.75">
      <c r="B6" s="90" t="s">
        <v>143</v>
      </c>
      <c r="C6" s="275">
        <v>9278</v>
      </c>
      <c r="D6" s="279">
        <f>C30</f>
        <v>6869</v>
      </c>
      <c r="E6" s="193">
        <f>D30</f>
        <v>3040</v>
      </c>
    </row>
    <row r="7" spans="2:5" ht="15.75">
      <c r="B7" s="218" t="s">
        <v>145</v>
      </c>
      <c r="C7" s="231"/>
      <c r="D7" s="231"/>
      <c r="E7" s="69"/>
    </row>
    <row r="8" spans="2:5" ht="15.75">
      <c r="B8" s="90" t="s">
        <v>49</v>
      </c>
      <c r="C8" s="275">
        <v>35050</v>
      </c>
      <c r="D8" s="279">
        <v>39552</v>
      </c>
      <c r="E8" s="245" t="s">
        <v>42</v>
      </c>
    </row>
    <row r="9" spans="2:5" ht="15.75">
      <c r="B9" s="90" t="s">
        <v>50</v>
      </c>
      <c r="C9" s="275">
        <v>677</v>
      </c>
      <c r="D9" s="275">
        <v>100</v>
      </c>
      <c r="E9" s="54">
        <v>100</v>
      </c>
    </row>
    <row r="10" spans="2:5" ht="15.75">
      <c r="B10" s="90" t="s">
        <v>51</v>
      </c>
      <c r="C10" s="275">
        <v>2410</v>
      </c>
      <c r="D10" s="275">
        <v>3113</v>
      </c>
      <c r="E10" s="193">
        <v>3000</v>
      </c>
    </row>
    <row r="11" spans="2:5" ht="15.75">
      <c r="B11" s="90" t="s">
        <v>52</v>
      </c>
      <c r="C11" s="275">
        <v>19</v>
      </c>
      <c r="D11" s="275">
        <v>36</v>
      </c>
      <c r="E11" s="193">
        <v>30</v>
      </c>
    </row>
    <row r="12" spans="2:5" ht="15.75">
      <c r="B12" s="231" t="s">
        <v>101</v>
      </c>
      <c r="C12" s="275">
        <v>706</v>
      </c>
      <c r="D12" s="275">
        <v>1391</v>
      </c>
      <c r="E12" s="193">
        <v>1300</v>
      </c>
    </row>
    <row r="13" spans="2:5" ht="15.75">
      <c r="B13" s="237" t="s">
        <v>279</v>
      </c>
      <c r="C13" s="275">
        <v>77903</v>
      </c>
      <c r="D13" s="275">
        <v>8979</v>
      </c>
      <c r="E13" s="54">
        <v>7500</v>
      </c>
    </row>
    <row r="14" spans="2:5" ht="15.75">
      <c r="B14" s="237"/>
      <c r="C14" s="275"/>
      <c r="D14" s="275"/>
      <c r="E14" s="54"/>
    </row>
    <row r="15" spans="2:5" ht="15.75">
      <c r="B15" s="232" t="s">
        <v>53</v>
      </c>
      <c r="C15" s="275"/>
      <c r="D15" s="275"/>
      <c r="E15" s="54"/>
    </row>
    <row r="16" spans="2:5" ht="15.75">
      <c r="B16" s="233" t="s">
        <v>21</v>
      </c>
      <c r="C16" s="275">
        <v>8154</v>
      </c>
      <c r="D16" s="275"/>
      <c r="E16" s="54"/>
    </row>
    <row r="17" spans="2:5" ht="15.75">
      <c r="B17" s="233" t="s">
        <v>211</v>
      </c>
      <c r="C17" s="276">
        <f>IF(C18*0.1&lt;C16,"Exceed 10% Rule","")</f>
      </c>
      <c r="D17" s="276">
        <f>IF(D18*0.1&lt;D16,"Exceed 10% Rule","")</f>
      </c>
      <c r="E17" s="246">
        <f>IF(E18*0.1+E36&lt;E16,"Exceed 10% Rule","")</f>
      </c>
    </row>
    <row r="18" spans="2:5" ht="15.75">
      <c r="B18" s="235" t="s">
        <v>54</v>
      </c>
      <c r="C18" s="277">
        <f>SUM(C8:C16)</f>
        <v>124919</v>
      </c>
      <c r="D18" s="277">
        <f>SUM(D8:D16)</f>
        <v>53171</v>
      </c>
      <c r="E18" s="249">
        <f>SUM(E8:E16)</f>
        <v>11930</v>
      </c>
    </row>
    <row r="19" spans="2:5" ht="15.75">
      <c r="B19" s="235" t="s">
        <v>55</v>
      </c>
      <c r="C19" s="277">
        <f>C6+C18</f>
        <v>134197</v>
      </c>
      <c r="D19" s="277">
        <f>D6+D18</f>
        <v>60040</v>
      </c>
      <c r="E19" s="249">
        <f>E6+E18</f>
        <v>14970</v>
      </c>
    </row>
    <row r="20" spans="2:5" ht="15.75">
      <c r="B20" s="90" t="s">
        <v>57</v>
      </c>
      <c r="C20" s="233"/>
      <c r="D20" s="233"/>
      <c r="E20" s="51"/>
    </row>
    <row r="21" spans="2:5" ht="15.75">
      <c r="B21" s="237" t="s">
        <v>267</v>
      </c>
      <c r="C21" s="275">
        <v>51645</v>
      </c>
      <c r="D21" s="275">
        <v>45000</v>
      </c>
      <c r="E21" s="54">
        <v>45000</v>
      </c>
    </row>
    <row r="22" spans="2:10" ht="15.75">
      <c r="B22" s="237" t="s">
        <v>268</v>
      </c>
      <c r="C22" s="275">
        <v>75683</v>
      </c>
      <c r="D22" s="275">
        <v>7500</v>
      </c>
      <c r="E22" s="54">
        <v>7500</v>
      </c>
      <c r="G22" s="454" t="str">
        <f>CONCATENATE("Desired Carryover Into ",E1+1,"")</f>
        <v>Desired Carryover Into 2015</v>
      </c>
      <c r="H22" s="455"/>
      <c r="I22" s="455"/>
      <c r="J22" s="456"/>
    </row>
    <row r="23" spans="2:10" ht="15.75">
      <c r="B23" s="237" t="s">
        <v>269</v>
      </c>
      <c r="C23" s="275"/>
      <c r="D23" s="275">
        <v>4500</v>
      </c>
      <c r="E23" s="54">
        <v>4500</v>
      </c>
      <c r="G23" s="336"/>
      <c r="H23" s="337"/>
      <c r="I23" s="338"/>
      <c r="J23" s="339"/>
    </row>
    <row r="24" spans="2:10" ht="15.75">
      <c r="B24" s="237"/>
      <c r="C24" s="275"/>
      <c r="D24" s="275"/>
      <c r="E24" s="54"/>
      <c r="G24" s="340" t="s">
        <v>215</v>
      </c>
      <c r="H24" s="338"/>
      <c r="I24" s="338"/>
      <c r="J24" s="341">
        <v>0</v>
      </c>
    </row>
    <row r="25" spans="2:10" ht="15.75">
      <c r="B25" s="237"/>
      <c r="C25" s="275"/>
      <c r="D25" s="275"/>
      <c r="E25" s="54"/>
      <c r="G25" s="347" t="s">
        <v>240</v>
      </c>
      <c r="H25" s="348"/>
      <c r="I25" s="348"/>
      <c r="J25" s="349">
        <f>IF(J24&gt;0,#REF!-E33,0)</f>
        <v>0</v>
      </c>
    </row>
    <row r="26" spans="2:10" ht="15.75">
      <c r="B26" s="233" t="s">
        <v>22</v>
      </c>
      <c r="C26" s="275"/>
      <c r="D26" s="275"/>
      <c r="E26" s="62"/>
      <c r="G26" s="1"/>
      <c r="H26" s="1"/>
      <c r="I26" s="1"/>
      <c r="J26" s="1"/>
    </row>
    <row r="27" spans="2:10" ht="15.75">
      <c r="B27" s="233" t="s">
        <v>21</v>
      </c>
      <c r="C27" s="275"/>
      <c r="D27" s="275"/>
      <c r="E27" s="54"/>
      <c r="G27" s="454" t="str">
        <f>CONCATENATE("Projected Carryover Into ",E1+1,"")</f>
        <v>Projected Carryover Into 2015</v>
      </c>
      <c r="H27" s="457"/>
      <c r="I27" s="457"/>
      <c r="J27" s="458"/>
    </row>
    <row r="28" spans="2:10" ht="15.75">
      <c r="B28" s="233" t="s">
        <v>210</v>
      </c>
      <c r="C28" s="276">
        <f>IF(C29*0.1&lt;C27,"Exceed 10% Rule","")</f>
      </c>
      <c r="D28" s="276">
        <f>IF(D29*0.1&lt;D27,"Exceed 10% Rule","")</f>
      </c>
      <c r="E28" s="246">
        <f>IF(E29*0.1&lt;E27,"Exceed 10% Rule","")</f>
      </c>
      <c r="G28" s="336"/>
      <c r="H28" s="338"/>
      <c r="I28" s="338"/>
      <c r="J28" s="361"/>
    </row>
    <row r="29" spans="2:10" ht="15.75">
      <c r="B29" s="235" t="s">
        <v>58</v>
      </c>
      <c r="C29" s="277">
        <f>SUM(C21:C27)</f>
        <v>127328</v>
      </c>
      <c r="D29" s="277">
        <f>SUM(D21:D27)</f>
        <v>57000</v>
      </c>
      <c r="E29" s="249">
        <f>SUM(E21:E27)</f>
        <v>57000</v>
      </c>
      <c r="G29" s="362">
        <f>D30</f>
        <v>3040</v>
      </c>
      <c r="H29" s="352" t="str">
        <f>CONCATENATE("",E1-1," Ending Cash Balance (est.)")</f>
        <v>2013 Ending Cash Balance (est.)</v>
      </c>
      <c r="I29" s="363"/>
      <c r="J29" s="361"/>
    </row>
    <row r="30" spans="2:10" ht="15.75">
      <c r="B30" s="90" t="s">
        <v>144</v>
      </c>
      <c r="C30" s="280">
        <f>C19-C29</f>
        <v>6869</v>
      </c>
      <c r="D30" s="280">
        <f>D19-D29</f>
        <v>3040</v>
      </c>
      <c r="E30" s="245" t="s">
        <v>42</v>
      </c>
      <c r="G30" s="362">
        <f>E18</f>
        <v>11930</v>
      </c>
      <c r="H30" s="338" t="str">
        <f>CONCATENATE("",E1," Non-AV Receipts (est.)")</f>
        <v>2014 Non-AV Receipts (est.)</v>
      </c>
      <c r="I30" s="363"/>
      <c r="J30" s="361"/>
    </row>
    <row r="31" spans="2:11" ht="15.75">
      <c r="B31" s="215" t="str">
        <f>CONCATENATE("",E$1-2,"/",E$1-1," Budget Authority Amount:")</f>
        <v>2012/2013 Budget Authority Amount:</v>
      </c>
      <c r="C31" s="207">
        <f>inputOth!D32</f>
        <v>127403</v>
      </c>
      <c r="D31" s="207">
        <f>inputPrYr!D16</f>
        <v>57000</v>
      </c>
      <c r="E31" s="245" t="s">
        <v>42</v>
      </c>
      <c r="F31" s="238"/>
      <c r="G31" s="364">
        <f>IF(E35&gt;0,E34,E36)</f>
        <v>42030</v>
      </c>
      <c r="H31" s="338" t="str">
        <f>CONCATENATE("",E1," Ad Valorem Tax (est.)")</f>
        <v>2014 Ad Valorem Tax (est.)</v>
      </c>
      <c r="I31" s="363"/>
      <c r="J31" s="361"/>
      <c r="K31" s="350" t="str">
        <f>IF(G31=E36,"","Note: Does not include Delinquent Taxes")</f>
        <v>Note: Does not include Delinquent Taxes</v>
      </c>
    </row>
    <row r="32" spans="2:10" ht="15.75">
      <c r="B32" s="215"/>
      <c r="C32" s="448" t="s">
        <v>212</v>
      </c>
      <c r="D32" s="449"/>
      <c r="E32" s="54"/>
      <c r="F32" s="293">
        <f>IF(E29/0.95-E29&lt;E32,"Exceeds 5%","")</f>
      </c>
      <c r="G32" s="362">
        <f>SUM(G29:G31)</f>
        <v>57000</v>
      </c>
      <c r="H32" s="338" t="str">
        <f>CONCATENATE("Total ",E1," Resources Available")</f>
        <v>Total 2014 Resources Available</v>
      </c>
      <c r="I32" s="363"/>
      <c r="J32" s="361"/>
    </row>
    <row r="33" spans="2:10" ht="15.75">
      <c r="B33" s="296" t="str">
        <f>CONCATENATE(C81,"     ",D81)</f>
        <v>     </v>
      </c>
      <c r="C33" s="450" t="s">
        <v>213</v>
      </c>
      <c r="D33" s="451"/>
      <c r="E33" s="193">
        <f>E29+E32</f>
        <v>57000</v>
      </c>
      <c r="G33" s="365"/>
      <c r="H33" s="338"/>
      <c r="I33" s="338"/>
      <c r="J33" s="361"/>
    </row>
    <row r="34" spans="2:10" ht="15.75">
      <c r="B34" s="296" t="str">
        <f>CONCATENATE(C82,"     ",D82)</f>
        <v>     </v>
      </c>
      <c r="C34" s="239"/>
      <c r="D34" s="167" t="s">
        <v>59</v>
      </c>
      <c r="E34" s="62">
        <f>IF(E33-E19&gt;0,E33-E19,0)</f>
        <v>42030</v>
      </c>
      <c r="G34" s="364">
        <f>ROUND(C29*0.05+C29,0)</f>
        <v>133694</v>
      </c>
      <c r="H34" s="338" t="str">
        <f>CONCATENATE("Less ",E1-2," Expenditures + 5%")</f>
        <v>Less 2012 Expenditures + 5%</v>
      </c>
      <c r="I34" s="363"/>
      <c r="J34" s="366"/>
    </row>
    <row r="35" spans="2:10" ht="15.75">
      <c r="B35" s="167"/>
      <c r="C35" s="294" t="s">
        <v>214</v>
      </c>
      <c r="D35" s="335">
        <f>inputOth!$E$23</f>
        <v>0.05</v>
      </c>
      <c r="E35" s="193">
        <f>ROUND(IF(D35&gt;0,($E$34*D35),0),0)</f>
        <v>2102</v>
      </c>
      <c r="G35" s="367">
        <f>G32-G34</f>
        <v>-76694</v>
      </c>
      <c r="H35" s="368" t="str">
        <f>CONCATENATE("Projected ",E1+1," carryover (est.)")</f>
        <v>Projected 2015 carryover (est.)</v>
      </c>
      <c r="I35" s="369"/>
      <c r="J35" s="370"/>
    </row>
    <row r="36" spans="2:10" ht="15.75">
      <c r="B36" s="29"/>
      <c r="C36" s="452" t="str">
        <f>CONCATENATE("Amount of  ",$E$1-1," Ad Valorem Tax")</f>
        <v>Amount of  2013 Ad Valorem Tax</v>
      </c>
      <c r="D36" s="453"/>
      <c r="E36" s="247">
        <f>E34+E35</f>
        <v>44132</v>
      </c>
      <c r="G36" s="1"/>
      <c r="H36" s="1"/>
      <c r="I36" s="1"/>
      <c r="J36" s="1"/>
    </row>
    <row r="37" spans="2:10" ht="15.75">
      <c r="B37" s="29"/>
      <c r="C37" s="241"/>
      <c r="D37" s="241"/>
      <c r="E37" s="241"/>
      <c r="G37" s="459" t="s">
        <v>241</v>
      </c>
      <c r="H37" s="460"/>
      <c r="I37" s="460"/>
      <c r="J37" s="461"/>
    </row>
    <row r="38" spans="2:10" ht="15.75">
      <c r="B38" s="28" t="s">
        <v>48</v>
      </c>
      <c r="C38" s="384" t="str">
        <f aca="true" t="shared" si="0" ref="C38:E39">C4</f>
        <v>Prior Year </v>
      </c>
      <c r="D38" s="385" t="str">
        <f t="shared" si="0"/>
        <v>Current Year </v>
      </c>
      <c r="E38" s="153" t="str">
        <f t="shared" si="0"/>
        <v>Proposed Budget </v>
      </c>
      <c r="G38" s="351"/>
      <c r="H38" s="352"/>
      <c r="I38" s="353"/>
      <c r="J38" s="354"/>
    </row>
    <row r="39" spans="2:10" ht="15.75">
      <c r="B39" s="291" t="str">
        <f>(inputPrYr!B17)</f>
        <v>Tipton # 2</v>
      </c>
      <c r="C39" s="278" t="str">
        <f t="shared" si="0"/>
        <v>Actual for 2012</v>
      </c>
      <c r="D39" s="278" t="str">
        <f t="shared" si="0"/>
        <v>Estimate for 2013</v>
      </c>
      <c r="E39" s="228" t="str">
        <f t="shared" si="0"/>
        <v>Year for 2014</v>
      </c>
      <c r="G39" s="355">
        <f>summ!H16</f>
        <v>5.293</v>
      </c>
      <c r="H39" s="352" t="str">
        <f>CONCATENATE("",E1," Fund Mill Rate")</f>
        <v>2014 Fund Mill Rate</v>
      </c>
      <c r="I39" s="353"/>
      <c r="J39" s="354"/>
    </row>
    <row r="40" spans="2:10" ht="15.75">
      <c r="B40" s="90" t="s">
        <v>143</v>
      </c>
      <c r="C40" s="275">
        <v>1559</v>
      </c>
      <c r="D40" s="279">
        <f>C64</f>
        <v>8442</v>
      </c>
      <c r="E40" s="193">
        <f>D64</f>
        <v>9164</v>
      </c>
      <c r="G40" s="356">
        <f>summ!E16</f>
        <v>5.295</v>
      </c>
      <c r="H40" s="352" t="str">
        <f>CONCATENATE("",E1-1," Fund Mill Rate")</f>
        <v>2013 Fund Mill Rate</v>
      </c>
      <c r="I40" s="353"/>
      <c r="J40" s="354"/>
    </row>
    <row r="41" spans="2:10" ht="15.75">
      <c r="B41" s="229" t="s">
        <v>145</v>
      </c>
      <c r="C41" s="231"/>
      <c r="D41" s="231"/>
      <c r="E41" s="69"/>
      <c r="G41" s="357">
        <f>summ!H30</f>
        <v>8.931000000000001</v>
      </c>
      <c r="H41" s="352" t="str">
        <f>CONCATENATE("Total ",E1," Mill Rate")</f>
        <v>Total 2014 Mill Rate</v>
      </c>
      <c r="I41" s="353"/>
      <c r="J41" s="354"/>
    </row>
    <row r="42" spans="2:10" ht="15.75">
      <c r="B42" s="90" t="s">
        <v>49</v>
      </c>
      <c r="C42" s="275">
        <v>13729</v>
      </c>
      <c r="D42" s="279">
        <v>18207</v>
      </c>
      <c r="E42" s="245" t="s">
        <v>42</v>
      </c>
      <c r="G42" s="356">
        <f>summ!E30</f>
        <v>11.102</v>
      </c>
      <c r="H42" s="358" t="str">
        <f>CONCATENATE("Total ",E1-1," Mill Rate")</f>
        <v>Total 2013 Mill Rate</v>
      </c>
      <c r="I42" s="359"/>
      <c r="J42" s="360"/>
    </row>
    <row r="43" spans="2:10" ht="15.75">
      <c r="B43" s="90" t="s">
        <v>50</v>
      </c>
      <c r="C43" s="275">
        <v>155</v>
      </c>
      <c r="D43" s="275">
        <v>50</v>
      </c>
      <c r="E43" s="54">
        <v>50</v>
      </c>
      <c r="G43" s="1"/>
      <c r="H43" s="1"/>
      <c r="I43" s="1"/>
      <c r="J43" s="1"/>
    </row>
    <row r="44" spans="2:10" ht="15.75">
      <c r="B44" s="90" t="s">
        <v>51</v>
      </c>
      <c r="C44" s="275">
        <v>1120</v>
      </c>
      <c r="D44" s="275">
        <v>1917</v>
      </c>
      <c r="E44" s="193">
        <v>1900</v>
      </c>
      <c r="G44" s="401" t="s">
        <v>247</v>
      </c>
      <c r="H44" s="400"/>
      <c r="I44" s="399" t="str">
        <f>cert!E37</f>
        <v>Yes</v>
      </c>
      <c r="J44" s="1"/>
    </row>
    <row r="45" spans="2:10" ht="15.75">
      <c r="B45" s="90" t="s">
        <v>52</v>
      </c>
      <c r="C45" s="275">
        <v>15</v>
      </c>
      <c r="D45" s="275">
        <v>26</v>
      </c>
      <c r="E45" s="193">
        <v>25</v>
      </c>
      <c r="G45" s="1"/>
      <c r="H45" s="1"/>
      <c r="I45" s="1"/>
      <c r="J45" s="1"/>
    </row>
    <row r="46" spans="2:10" ht="15.75">
      <c r="B46" s="231" t="s">
        <v>101</v>
      </c>
      <c r="C46" s="275">
        <v>284</v>
      </c>
      <c r="D46" s="275">
        <v>215</v>
      </c>
      <c r="E46" s="193">
        <v>200</v>
      </c>
      <c r="G46" s="1"/>
      <c r="H46" s="1"/>
      <c r="I46" s="1"/>
      <c r="J46" s="1"/>
    </row>
    <row r="47" spans="2:10" ht="15.75">
      <c r="B47" s="237" t="s">
        <v>266</v>
      </c>
      <c r="C47" s="275">
        <v>4305</v>
      </c>
      <c r="D47" s="275">
        <v>4307</v>
      </c>
      <c r="E47" s="54">
        <v>3500</v>
      </c>
      <c r="G47" s="1"/>
      <c r="H47" s="1"/>
      <c r="I47" s="1"/>
      <c r="J47" s="1"/>
    </row>
    <row r="48" spans="2:10" ht="15.75">
      <c r="B48" s="237"/>
      <c r="C48" s="275"/>
      <c r="D48" s="275"/>
      <c r="E48" s="54"/>
      <c r="G48" s="1"/>
      <c r="H48" s="1"/>
      <c r="I48" s="1"/>
      <c r="J48" s="1"/>
    </row>
    <row r="49" spans="2:10" ht="15.75">
      <c r="B49" s="237"/>
      <c r="C49" s="275"/>
      <c r="D49" s="275"/>
      <c r="E49" s="54"/>
      <c r="G49" s="1"/>
      <c r="H49" s="1"/>
      <c r="I49" s="1"/>
      <c r="J49" s="1"/>
    </row>
    <row r="50" spans="2:10" ht="15.75">
      <c r="B50" s="232" t="s">
        <v>53</v>
      </c>
      <c r="C50" s="275"/>
      <c r="D50" s="275"/>
      <c r="E50" s="54"/>
      <c r="G50" s="1"/>
      <c r="H50" s="1"/>
      <c r="I50" s="1"/>
      <c r="J50" s="1"/>
    </row>
    <row r="51" spans="2:10" ht="15.75">
      <c r="B51" s="233" t="s">
        <v>21</v>
      </c>
      <c r="C51" s="275"/>
      <c r="D51" s="275"/>
      <c r="E51" s="54"/>
      <c r="G51" s="1"/>
      <c r="H51" s="1"/>
      <c r="I51" s="1"/>
      <c r="J51" s="1"/>
    </row>
    <row r="52" spans="2:10" ht="15.75">
      <c r="B52" s="233" t="s">
        <v>211</v>
      </c>
      <c r="C52" s="276">
        <f>IF(C53*0.1&lt;C51,"Exceed 10% Rule","")</f>
      </c>
      <c r="D52" s="276">
        <f>IF(D53*0.1&lt;D51,"Exceed 10% Rule","")</f>
      </c>
      <c r="E52" s="246">
        <f>IF(E53*0.1+E70&lt;E51,"Exceed 10% Rule","")</f>
      </c>
      <c r="G52" s="1"/>
      <c r="H52" s="1"/>
      <c r="I52" s="1"/>
      <c r="J52" s="1"/>
    </row>
    <row r="53" spans="2:10" ht="15.75">
      <c r="B53" s="235" t="s">
        <v>54</v>
      </c>
      <c r="C53" s="277">
        <f>SUM(C42:C51)</f>
        <v>19608</v>
      </c>
      <c r="D53" s="277">
        <f>SUM(D42:D51)</f>
        <v>24722</v>
      </c>
      <c r="E53" s="249">
        <f>SUM(E42:E51)</f>
        <v>5675</v>
      </c>
      <c r="G53" s="1"/>
      <c r="H53" s="1"/>
      <c r="I53" s="1"/>
      <c r="J53" s="1"/>
    </row>
    <row r="54" spans="2:10" ht="15.75">
      <c r="B54" s="235" t="s">
        <v>55</v>
      </c>
      <c r="C54" s="277">
        <f>C40+C53</f>
        <v>21167</v>
      </c>
      <c r="D54" s="277">
        <f>D40+D53</f>
        <v>33164</v>
      </c>
      <c r="E54" s="249">
        <f>E40+E53</f>
        <v>14839</v>
      </c>
      <c r="G54" s="1"/>
      <c r="H54" s="1"/>
      <c r="I54" s="1"/>
      <c r="J54" s="1"/>
    </row>
    <row r="55" spans="2:10" ht="15.75">
      <c r="B55" s="90" t="s">
        <v>57</v>
      </c>
      <c r="C55" s="233"/>
      <c r="D55" s="233"/>
      <c r="E55" s="51"/>
      <c r="G55" s="1"/>
      <c r="H55" s="1"/>
      <c r="I55" s="1"/>
      <c r="J55" s="1"/>
    </row>
    <row r="56" spans="2:10" ht="15.75">
      <c r="B56" s="237" t="s">
        <v>267</v>
      </c>
      <c r="C56" s="275">
        <v>7725</v>
      </c>
      <c r="D56" s="275">
        <v>24000</v>
      </c>
      <c r="E56" s="54">
        <v>24000</v>
      </c>
      <c r="G56" s="1"/>
      <c r="H56" s="1"/>
      <c r="I56" s="1"/>
      <c r="J56" s="1"/>
    </row>
    <row r="57" spans="2:10" ht="15.75">
      <c r="B57" s="237" t="s">
        <v>280</v>
      </c>
      <c r="C57" s="275">
        <v>5000</v>
      </c>
      <c r="D57" s="275"/>
      <c r="E57" s="54"/>
      <c r="G57" s="454" t="str">
        <f>CONCATENATE("Desired Carryover Into ",E1+1,"")</f>
        <v>Desired Carryover Into 2015</v>
      </c>
      <c r="H57" s="455"/>
      <c r="I57" s="455"/>
      <c r="J57" s="456"/>
    </row>
    <row r="58" spans="2:10" ht="15.75">
      <c r="B58" s="237"/>
      <c r="C58" s="275"/>
      <c r="D58" s="275"/>
      <c r="E58" s="54"/>
      <c r="G58" s="336"/>
      <c r="H58" s="337"/>
      <c r="I58" s="338"/>
      <c r="J58" s="339"/>
    </row>
    <row r="59" spans="2:10" ht="15.75">
      <c r="B59" s="237"/>
      <c r="C59" s="275"/>
      <c r="D59" s="275"/>
      <c r="E59" s="54"/>
      <c r="G59" s="347" t="s">
        <v>240</v>
      </c>
      <c r="H59" s="348"/>
      <c r="I59" s="348"/>
      <c r="J59" s="349" t="e">
        <f>IF(#REF!&gt;0,#REF!-E67,0)</f>
        <v>#REF!</v>
      </c>
    </row>
    <row r="60" spans="2:10" ht="15.75">
      <c r="B60" s="233" t="s">
        <v>22</v>
      </c>
      <c r="C60" s="275"/>
      <c r="D60" s="275"/>
      <c r="E60" s="62"/>
      <c r="G60" s="1"/>
      <c r="H60" s="1"/>
      <c r="I60" s="1"/>
      <c r="J60" s="1"/>
    </row>
    <row r="61" spans="2:10" ht="15.75">
      <c r="B61" s="233" t="s">
        <v>21</v>
      </c>
      <c r="C61" s="275"/>
      <c r="D61" s="275"/>
      <c r="E61" s="54"/>
      <c r="G61" s="454" t="str">
        <f>CONCATENATE("Projected Carryover Into ",E1+1,"")</f>
        <v>Projected Carryover Into 2015</v>
      </c>
      <c r="H61" s="462"/>
      <c r="I61" s="462"/>
      <c r="J61" s="458"/>
    </row>
    <row r="62" spans="2:10" ht="15.75">
      <c r="B62" s="233" t="s">
        <v>210</v>
      </c>
      <c r="C62" s="276">
        <f>IF(C63*0.1&lt;C61,"Exceed 10% Rule","")</f>
      </c>
      <c r="D62" s="276">
        <f>IF(D63*0.1&lt;D61,"Exceed 10% Rule","")</f>
      </c>
      <c r="E62" s="246">
        <f>IF(E63*0.1&lt;E61,"Exceed 10% Rule","")</f>
      </c>
      <c r="G62" s="371"/>
      <c r="H62" s="337"/>
      <c r="I62" s="337"/>
      <c r="J62" s="366"/>
    </row>
    <row r="63" spans="2:10" ht="15.75">
      <c r="B63" s="235" t="s">
        <v>58</v>
      </c>
      <c r="C63" s="277">
        <f>SUM(C56:C61)</f>
        <v>12725</v>
      </c>
      <c r="D63" s="277">
        <f>SUM(D56:D61)</f>
        <v>24000</v>
      </c>
      <c r="E63" s="249">
        <f>SUM(E56:E61)</f>
        <v>24000</v>
      </c>
      <c r="G63" s="362">
        <f>D64</f>
        <v>9164</v>
      </c>
      <c r="H63" s="352" t="str">
        <f>CONCATENATE("",E1-1," Ending Cash Balance (est.)")</f>
        <v>2013 Ending Cash Balance (est.)</v>
      </c>
      <c r="I63" s="363"/>
      <c r="J63" s="366"/>
    </row>
    <row r="64" spans="2:10" ht="15.75">
      <c r="B64" s="90" t="s">
        <v>144</v>
      </c>
      <c r="C64" s="280">
        <f>C54-C63</f>
        <v>8442</v>
      </c>
      <c r="D64" s="280">
        <f>D54-D63</f>
        <v>9164</v>
      </c>
      <c r="E64" s="245" t="s">
        <v>42</v>
      </c>
      <c r="G64" s="362">
        <f>E53</f>
        <v>5675</v>
      </c>
      <c r="H64" s="338" t="str">
        <f>CONCATENATE("",E1," Non-AV Receipts (est.)")</f>
        <v>2014 Non-AV Receipts (est.)</v>
      </c>
      <c r="I64" s="363"/>
      <c r="J64" s="366"/>
    </row>
    <row r="65" spans="2:11" ht="15.75">
      <c r="B65" s="215" t="str">
        <f>CONCATENATE("",E$1-2,"/",E$1-1," Budget Authority Amount:")</f>
        <v>2012/2013 Budget Authority Amount:</v>
      </c>
      <c r="C65" s="207">
        <f>inputOth!B33</f>
        <v>24000</v>
      </c>
      <c r="D65" s="207">
        <f>inputPrYr!D17</f>
        <v>24000</v>
      </c>
      <c r="E65" s="245" t="s">
        <v>42</v>
      </c>
      <c r="F65" s="238"/>
      <c r="G65" s="364">
        <f>IF(E69&gt;0,E68,E70)</f>
        <v>9161</v>
      </c>
      <c r="H65" s="338" t="str">
        <f>CONCATENATE("",E1," Ad Valorem Tax (est.)")</f>
        <v>2014 Ad Valorem Tax (est.)</v>
      </c>
      <c r="I65" s="363"/>
      <c r="J65" s="366"/>
      <c r="K65" s="350" t="str">
        <f>IF(G65=E70,"","Note: Does not include Delinquent Taxes")</f>
        <v>Note: Does not include Delinquent Taxes</v>
      </c>
    </row>
    <row r="66" spans="2:10" ht="15.75">
      <c r="B66" s="215"/>
      <c r="C66" s="448" t="s">
        <v>212</v>
      </c>
      <c r="D66" s="449"/>
      <c r="E66" s="54"/>
      <c r="F66" s="293">
        <f>IF(E63/0.95-E63&lt;E66,"Exceeds 5%","")</f>
      </c>
      <c r="G66" s="372">
        <f>SUM(G63:G65)</f>
        <v>24000</v>
      </c>
      <c r="H66" s="338" t="str">
        <f>CONCATENATE("Total ",E1," Resources Available")</f>
        <v>Total 2014 Resources Available</v>
      </c>
      <c r="I66" s="373"/>
      <c r="J66" s="366"/>
    </row>
    <row r="67" spans="2:10" ht="15.75">
      <c r="B67" s="295" t="str">
        <f>CONCATENATE(C83,"     ",D83)</f>
        <v>     </v>
      </c>
      <c r="C67" s="450" t="s">
        <v>213</v>
      </c>
      <c r="D67" s="451"/>
      <c r="E67" s="193">
        <f>E63+E66</f>
        <v>24000</v>
      </c>
      <c r="G67" s="374"/>
      <c r="H67" s="375"/>
      <c r="I67" s="337"/>
      <c r="J67" s="366"/>
    </row>
    <row r="68" spans="2:10" ht="15.75">
      <c r="B68" s="295" t="str">
        <f>CONCATENATE(C84,"     ",D84)</f>
        <v>     </v>
      </c>
      <c r="C68" s="239"/>
      <c r="D68" s="167" t="s">
        <v>59</v>
      </c>
      <c r="E68" s="62">
        <f>IF(E67-E54&gt;0,E67-E54,0)</f>
        <v>9161</v>
      </c>
      <c r="G68" s="376">
        <f>ROUND(C63*0.05+C63,0)</f>
        <v>13361</v>
      </c>
      <c r="H68" s="338" t="str">
        <f>CONCATENATE("Less ",E1-2," Expenditures + 5%")</f>
        <v>Less 2012 Expenditures + 5%</v>
      </c>
      <c r="I68" s="373"/>
      <c r="J68" s="366"/>
    </row>
    <row r="69" spans="2:10" ht="15.75">
      <c r="B69" s="167"/>
      <c r="C69" s="294" t="s">
        <v>214</v>
      </c>
      <c r="D69" s="335">
        <f>inputOth!$E$23</f>
        <v>0.05</v>
      </c>
      <c r="E69" s="193">
        <f>ROUND(IF(D69&gt;0,($E$68*D69),0),0)</f>
        <v>458</v>
      </c>
      <c r="G69" s="377">
        <f>G66-G68</f>
        <v>10639</v>
      </c>
      <c r="H69" s="368" t="str">
        <f>CONCATENATE("Projected ",E1+1," carryover (est.)")</f>
        <v>Projected 2015 carryover (est.)</v>
      </c>
      <c r="I69" s="378"/>
      <c r="J69" s="379"/>
    </row>
    <row r="70" spans="2:10" ht="15.75">
      <c r="B70" s="29"/>
      <c r="C70" s="452" t="str">
        <f>CONCATENATE("Amount of  ",$E$1-1," Ad Valorem Tax")</f>
        <v>Amount of  2013 Ad Valorem Tax</v>
      </c>
      <c r="D70" s="453"/>
      <c r="E70" s="247">
        <f>E68+E69</f>
        <v>9619</v>
      </c>
      <c r="G70" s="1"/>
      <c r="H70" s="1"/>
      <c r="I70" s="1"/>
      <c r="J70" s="1"/>
    </row>
    <row r="71" spans="2:10" ht="15.75">
      <c r="B71" s="215" t="s">
        <v>62</v>
      </c>
      <c r="C71" s="248">
        <v>8</v>
      </c>
      <c r="D71" s="29"/>
      <c r="E71" s="29"/>
      <c r="G71" s="459" t="s">
        <v>241</v>
      </c>
      <c r="H71" s="460"/>
      <c r="I71" s="460"/>
      <c r="J71" s="461"/>
    </row>
    <row r="72" spans="7:10" ht="15.75">
      <c r="G72" s="351"/>
      <c r="H72" s="352"/>
      <c r="I72" s="353"/>
      <c r="J72" s="354"/>
    </row>
    <row r="73" spans="7:10" ht="15.75">
      <c r="G73" s="355">
        <f>summ!H17</f>
        <v>1.578</v>
      </c>
      <c r="H73" s="352" t="str">
        <f>CONCATENATE("",E1," Fund Mill Rate")</f>
        <v>2014 Fund Mill Rate</v>
      </c>
      <c r="I73" s="353"/>
      <c r="J73" s="354"/>
    </row>
    <row r="74" spans="7:10" ht="15.75">
      <c r="G74" s="356">
        <f>summ!E17</f>
        <v>3.305</v>
      </c>
      <c r="H74" s="352" t="str">
        <f>CONCATENATE("",E1-1," Fund Mill Rate")</f>
        <v>2013 Fund Mill Rate</v>
      </c>
      <c r="I74" s="353"/>
      <c r="J74" s="354"/>
    </row>
    <row r="75" spans="7:10" ht="15.75">
      <c r="G75" s="357">
        <f>summ!H30</f>
        <v>8.931000000000001</v>
      </c>
      <c r="H75" s="352" t="str">
        <f>CONCATENATE("Total ",E1," Mill Rate")</f>
        <v>Total 2014 Mill Rate</v>
      </c>
      <c r="I75" s="353"/>
      <c r="J75" s="354"/>
    </row>
    <row r="76" spans="7:10" ht="15.75">
      <c r="G76" s="356">
        <f>summ!E30</f>
        <v>11.102</v>
      </c>
      <c r="H76" s="358" t="str">
        <f>CONCATENATE("Total ",E1-1," Mill Rate")</f>
        <v>Total 2013 Mill Rate</v>
      </c>
      <c r="I76" s="359"/>
      <c r="J76" s="360"/>
    </row>
    <row r="78" spans="7:9" ht="15.75">
      <c r="G78" s="401" t="s">
        <v>247</v>
      </c>
      <c r="H78" s="400"/>
      <c r="I78" s="399" t="str">
        <f>cert!E37</f>
        <v>Yes</v>
      </c>
    </row>
    <row r="81" spans="3:4" ht="15.75" hidden="1">
      <c r="C81" s="26">
        <f>IF(C29&gt;C31,"See Tab A","")</f>
      </c>
      <c r="D81" s="26">
        <f>IF(D29&gt;D31,"See Tab C","")</f>
      </c>
    </row>
    <row r="82" spans="3:4" ht="15.75" hidden="1">
      <c r="C82" s="26">
        <f>IF(C30&lt;0,"See Tab B","")</f>
      </c>
      <c r="D82" s="26">
        <f>IF(D30&lt;0,"See Tab D","")</f>
      </c>
    </row>
    <row r="83" spans="3:4" ht="15.75" hidden="1">
      <c r="C83" s="26">
        <f>IF(C63&gt;C65,"See Tab A","")</f>
      </c>
      <c r="D83" s="26">
        <f>IF(D63&gt;D65,"See Tab C","")</f>
      </c>
    </row>
    <row r="84" spans="3:4" ht="15.75" hidden="1">
      <c r="C84" s="26">
        <f>IF(C64&lt;0,"See Tab B","")</f>
      </c>
      <c r="D84" s="26">
        <f>IF(D64&lt;0,"See Tab D","")</f>
      </c>
    </row>
  </sheetData>
  <sheetProtection/>
  <mergeCells count="12">
    <mergeCell ref="G22:J22"/>
    <mergeCell ref="G27:J27"/>
    <mergeCell ref="G37:J37"/>
    <mergeCell ref="G57:J57"/>
    <mergeCell ref="G61:J61"/>
    <mergeCell ref="G71:J71"/>
    <mergeCell ref="C32:D32"/>
    <mergeCell ref="C33:D33"/>
    <mergeCell ref="C66:D66"/>
    <mergeCell ref="C67:D67"/>
    <mergeCell ref="C70:D70"/>
    <mergeCell ref="C36:D36"/>
  </mergeCells>
  <conditionalFormatting sqref="E61">
    <cfRule type="cellIs" priority="4" dxfId="82" operator="greaterThan" stopIfTrue="1">
      <formula>$E$63*0.1</formula>
    </cfRule>
  </conditionalFormatting>
  <conditionalFormatting sqref="E66">
    <cfRule type="cellIs" priority="5" dxfId="82" operator="greaterThan" stopIfTrue="1">
      <formula>$E$63/0.95-$E$63</formula>
    </cfRule>
  </conditionalFormatting>
  <conditionalFormatting sqref="E32">
    <cfRule type="cellIs" priority="6" dxfId="82" operator="greaterThan" stopIfTrue="1">
      <formula>$E$29/0.95-$E$29</formula>
    </cfRule>
  </conditionalFormatting>
  <conditionalFormatting sqref="E27">
    <cfRule type="cellIs" priority="7" dxfId="82" operator="greaterThan" stopIfTrue="1">
      <formula>$E$29*0.1</formula>
    </cfRule>
  </conditionalFormatting>
  <conditionalFormatting sqref="C29">
    <cfRule type="cellIs" priority="8" dxfId="2" operator="greaterThan" stopIfTrue="1">
      <formula>$C$31</formula>
    </cfRule>
  </conditionalFormatting>
  <conditionalFormatting sqref="C64 C30">
    <cfRule type="cellIs" priority="9" dxfId="2" operator="lessThan" stopIfTrue="1">
      <formula>0</formula>
    </cfRule>
  </conditionalFormatting>
  <conditionalFormatting sqref="D29">
    <cfRule type="cellIs" priority="10" dxfId="2" operator="greaterThan" stopIfTrue="1">
      <formula>$D$31</formula>
    </cfRule>
  </conditionalFormatting>
  <conditionalFormatting sqref="C63">
    <cfRule type="cellIs" priority="11" dxfId="2" operator="greaterThan" stopIfTrue="1">
      <formula>$C$65</formula>
    </cfRule>
  </conditionalFormatting>
  <conditionalFormatting sqref="D63">
    <cfRule type="cellIs" priority="12" dxfId="2" operator="greaterThan" stopIfTrue="1">
      <formula>$D$65</formula>
    </cfRule>
  </conditionalFormatting>
  <conditionalFormatting sqref="C61">
    <cfRule type="cellIs" priority="13" dxfId="2" operator="greaterThan" stopIfTrue="1">
      <formula>$C$63*0.1</formula>
    </cfRule>
  </conditionalFormatting>
  <conditionalFormatting sqref="D61">
    <cfRule type="cellIs" priority="14" dxfId="2" operator="greaterThan" stopIfTrue="1">
      <formula>$D$63*0.1</formula>
    </cfRule>
  </conditionalFormatting>
  <conditionalFormatting sqref="E51">
    <cfRule type="cellIs" priority="15" dxfId="82" operator="greaterThan" stopIfTrue="1">
      <formula>$E$53*0.1+E70</formula>
    </cfRule>
  </conditionalFormatting>
  <conditionalFormatting sqref="C51">
    <cfRule type="cellIs" priority="16" dxfId="2" operator="greaterThan" stopIfTrue="1">
      <formula>$C$53*0.1</formula>
    </cfRule>
  </conditionalFormatting>
  <conditionalFormatting sqref="D51">
    <cfRule type="cellIs" priority="17" dxfId="2" operator="greaterThan" stopIfTrue="1">
      <formula>$D$53*0.1</formula>
    </cfRule>
  </conditionalFormatting>
  <conditionalFormatting sqref="C27">
    <cfRule type="cellIs" priority="18" dxfId="2" operator="greaterThan" stopIfTrue="1">
      <formula>$C$29*0.1</formula>
    </cfRule>
  </conditionalFormatting>
  <conditionalFormatting sqref="D27">
    <cfRule type="cellIs" priority="19" dxfId="2" operator="greaterThan" stopIfTrue="1">
      <formula>$D$29*0.1</formula>
    </cfRule>
  </conditionalFormatting>
  <conditionalFormatting sqref="E16">
    <cfRule type="cellIs" priority="20" dxfId="82" operator="greaterThan" stopIfTrue="1">
      <formula>$E$18*0.1+E36</formula>
    </cfRule>
  </conditionalFormatting>
  <conditionalFormatting sqref="C16">
    <cfRule type="cellIs" priority="21" dxfId="2" operator="greaterThan" stopIfTrue="1">
      <formula>$C$18*0.1</formula>
    </cfRule>
  </conditionalFormatting>
  <conditionalFormatting sqref="D16">
    <cfRule type="cellIs" priority="22" dxfId="2" operator="greaterThan" stopIfTrue="1">
      <formula>$D$18*0.1</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4">
    <cfRule type="cellIs" priority="1" dxfId="0" operator="lessThan" stopIfTrue="1">
      <formula>0</formula>
    </cfRule>
  </conditionalFormatting>
  <printOptions/>
  <pageMargins left="1.12" right="0.5" top="0.74" bottom="0.34" header="0.5" footer="0"/>
  <pageSetup blackAndWhite="1" horizontalDpi="120" verticalDpi="120" orientation="portrait" scale="61" r:id="rId1"/>
  <headerFooter alignWithMargins="0">
    <oddHeader>&amp;RState of Kansas
County
</oddHeader>
  </headerFooter>
</worksheet>
</file>

<file path=xl/worksheets/sheet12.xml><?xml version="1.0" encoding="utf-8"?>
<worksheet xmlns="http://schemas.openxmlformats.org/spreadsheetml/2006/main" xmlns:r="http://schemas.openxmlformats.org/officeDocument/2006/relationships">
  <dimension ref="B1:K85"/>
  <sheetViews>
    <sheetView view="pageBreakPreview" zoomScale="98" zoomScaleSheetLayoutView="98" zoomScalePageLayoutView="0" workbookViewId="0" topLeftCell="A49">
      <selection activeCell="B59" sqref="B59:B62"/>
    </sheetView>
  </sheetViews>
  <sheetFormatPr defaultColWidth="8.796875" defaultRowHeight="15"/>
  <cols>
    <col min="1" max="1" width="2.3984375" style="26" customWidth="1"/>
    <col min="2" max="2" width="31.09765625" style="26" customWidth="1"/>
    <col min="3" max="4" width="15.796875" style="26" customWidth="1"/>
    <col min="5" max="5" width="16.09765625" style="26" customWidth="1"/>
    <col min="6" max="6" width="7.3984375" style="26" customWidth="1"/>
    <col min="7" max="7" width="10.19921875" style="26" customWidth="1"/>
    <col min="8" max="8" width="8.8984375" style="26" customWidth="1"/>
    <col min="9" max="9" width="5" style="26" customWidth="1"/>
    <col min="10" max="10" width="10" style="26" customWidth="1"/>
    <col min="11" max="16384" width="8.8984375" style="26" customWidth="1"/>
  </cols>
  <sheetData>
    <row r="1" spans="2:5" ht="15.75">
      <c r="B1" s="155" t="str">
        <f>(inputPrYr!C2)</f>
        <v>MITCHELL COUNTY</v>
      </c>
      <c r="C1" s="29"/>
      <c r="D1" s="29"/>
      <c r="E1" s="214">
        <f>inputPrYr!C4</f>
        <v>2014</v>
      </c>
    </row>
    <row r="2" spans="2:5" ht="15.75">
      <c r="B2" s="29"/>
      <c r="C2" s="29"/>
      <c r="D2" s="29"/>
      <c r="E2" s="167"/>
    </row>
    <row r="3" spans="2:5" ht="15.75">
      <c r="B3" s="94" t="s">
        <v>106</v>
      </c>
      <c r="C3" s="242"/>
      <c r="D3" s="242"/>
      <c r="E3" s="243"/>
    </row>
    <row r="4" spans="2:5" ht="15.75">
      <c r="B4" s="28" t="s">
        <v>48</v>
      </c>
      <c r="C4" s="384" t="s">
        <v>242</v>
      </c>
      <c r="D4" s="385" t="s">
        <v>243</v>
      </c>
      <c r="E4" s="153" t="s">
        <v>244</v>
      </c>
    </row>
    <row r="5" spans="2:5" ht="15.75">
      <c r="B5" s="292" t="str">
        <f>inputPrYr!B18</f>
        <v>Solomon Rapids F.D. # 3</v>
      </c>
      <c r="C5" s="278" t="str">
        <f>CONCATENATE("Actual for ",E1-2,"")</f>
        <v>Actual for 2012</v>
      </c>
      <c r="D5" s="278" t="str">
        <f>CONCATENATE("Estimate for ",E1-1,"")</f>
        <v>Estimate for 2013</v>
      </c>
      <c r="E5" s="228" t="str">
        <f>CONCATENATE("Year for ",E1,"")</f>
        <v>Year for 2014</v>
      </c>
    </row>
    <row r="6" spans="2:5" ht="15.75">
      <c r="B6" s="90" t="s">
        <v>143</v>
      </c>
      <c r="C6" s="275">
        <v>9970</v>
      </c>
      <c r="D6" s="279">
        <f>C33</f>
        <v>12600</v>
      </c>
      <c r="E6" s="193">
        <f>D33</f>
        <v>9317</v>
      </c>
    </row>
    <row r="7" spans="2:5" ht="15.75">
      <c r="B7" s="218" t="s">
        <v>145</v>
      </c>
      <c r="C7" s="231"/>
      <c r="D7" s="231"/>
      <c r="E7" s="69"/>
    </row>
    <row r="8" spans="2:5" ht="15.75">
      <c r="B8" s="90" t="s">
        <v>49</v>
      </c>
      <c r="C8" s="275">
        <v>48896</v>
      </c>
      <c r="D8" s="279">
        <v>45148</v>
      </c>
      <c r="E8" s="245" t="s">
        <v>42</v>
      </c>
    </row>
    <row r="9" spans="2:5" ht="15.75">
      <c r="B9" s="90" t="s">
        <v>50</v>
      </c>
      <c r="C9" s="275">
        <v>847</v>
      </c>
      <c r="D9" s="275">
        <v>500</v>
      </c>
      <c r="E9" s="54">
        <v>500</v>
      </c>
    </row>
    <row r="10" spans="2:5" ht="15.75">
      <c r="B10" s="90" t="s">
        <v>51</v>
      </c>
      <c r="C10" s="275">
        <v>2803</v>
      </c>
      <c r="D10" s="275">
        <v>3545</v>
      </c>
      <c r="E10" s="193">
        <v>3500</v>
      </c>
    </row>
    <row r="11" spans="2:5" ht="15.75">
      <c r="B11" s="90" t="s">
        <v>52</v>
      </c>
      <c r="C11" s="275">
        <v>49</v>
      </c>
      <c r="D11" s="275">
        <v>63</v>
      </c>
      <c r="E11" s="193">
        <v>60</v>
      </c>
    </row>
    <row r="12" spans="2:5" ht="15.75">
      <c r="B12" s="231" t="s">
        <v>101</v>
      </c>
      <c r="C12" s="275">
        <v>975</v>
      </c>
      <c r="D12" s="275">
        <v>1148</v>
      </c>
      <c r="E12" s="193">
        <v>1000</v>
      </c>
    </row>
    <row r="13" spans="2:5" ht="15.75">
      <c r="B13" s="237" t="s">
        <v>266</v>
      </c>
      <c r="C13" s="275">
        <v>3013</v>
      </c>
      <c r="D13" s="275">
        <v>3313</v>
      </c>
      <c r="E13" s="54">
        <v>2500</v>
      </c>
    </row>
    <row r="14" spans="2:5" ht="15.75">
      <c r="B14" s="237"/>
      <c r="C14" s="275"/>
      <c r="D14" s="275"/>
      <c r="E14" s="54"/>
    </row>
    <row r="15" spans="2:5" ht="15.75">
      <c r="B15" s="232" t="s">
        <v>53</v>
      </c>
      <c r="C15" s="275"/>
      <c r="D15" s="275"/>
      <c r="E15" s="54"/>
    </row>
    <row r="16" spans="2:5" ht="15.75">
      <c r="B16" s="233" t="s">
        <v>21</v>
      </c>
      <c r="C16" s="275"/>
      <c r="D16" s="275"/>
      <c r="E16" s="54"/>
    </row>
    <row r="17" spans="2:5" ht="15.75">
      <c r="B17" s="233" t="s">
        <v>211</v>
      </c>
      <c r="C17" s="276">
        <f>IF(C18*0.1&lt;C16,"Exceed 10% Rule","")</f>
      </c>
      <c r="D17" s="276">
        <f>IF(D18*0.1&lt;D16,"Exceed 10% Rule","")</f>
      </c>
      <c r="E17" s="246">
        <f>IF(E18*0.1+E39&lt;E16,"Exceed 10% Rule","")</f>
      </c>
    </row>
    <row r="18" spans="2:5" ht="15.75">
      <c r="B18" s="235" t="s">
        <v>54</v>
      </c>
      <c r="C18" s="277">
        <f>SUM(C8:C16)</f>
        <v>56583</v>
      </c>
      <c r="D18" s="277">
        <f>SUM(D8:D16)</f>
        <v>53717</v>
      </c>
      <c r="E18" s="249">
        <f>SUM(E8:E16)</f>
        <v>7560</v>
      </c>
    </row>
    <row r="19" spans="2:5" ht="15.75">
      <c r="B19" s="235" t="s">
        <v>55</v>
      </c>
      <c r="C19" s="277">
        <f>C6+C18</f>
        <v>66553</v>
      </c>
      <c r="D19" s="277">
        <f>D6+D18</f>
        <v>66317</v>
      </c>
      <c r="E19" s="249">
        <f>E6+E18</f>
        <v>16877</v>
      </c>
    </row>
    <row r="20" spans="2:5" ht="15.75">
      <c r="B20" s="90" t="s">
        <v>57</v>
      </c>
      <c r="C20" s="233"/>
      <c r="D20" s="233"/>
      <c r="E20" s="51"/>
    </row>
    <row r="21" spans="2:5" ht="15.75">
      <c r="B21" s="237" t="s">
        <v>267</v>
      </c>
      <c r="C21" s="275">
        <v>39963</v>
      </c>
      <c r="D21" s="275">
        <v>32000</v>
      </c>
      <c r="E21" s="54">
        <v>32000</v>
      </c>
    </row>
    <row r="22" spans="2:5" ht="15.75">
      <c r="B22" s="237" t="s">
        <v>282</v>
      </c>
      <c r="C22" s="275">
        <v>1835</v>
      </c>
      <c r="D22" s="275"/>
      <c r="E22" s="54"/>
    </row>
    <row r="23" spans="2:10" ht="15.75">
      <c r="B23" s="237" t="s">
        <v>268</v>
      </c>
      <c r="C23" s="275"/>
      <c r="D23" s="275">
        <v>4500</v>
      </c>
      <c r="E23" s="54">
        <v>4500</v>
      </c>
      <c r="G23" s="454" t="str">
        <f>CONCATENATE("Desired Carryover Into ",E1+1,"")</f>
        <v>Desired Carryover Into 2015</v>
      </c>
      <c r="H23" s="455"/>
      <c r="I23" s="455"/>
      <c r="J23" s="456"/>
    </row>
    <row r="24" spans="2:10" ht="15.75">
      <c r="B24" s="237" t="s">
        <v>270</v>
      </c>
      <c r="C24" s="275"/>
      <c r="D24" s="275">
        <v>7000</v>
      </c>
      <c r="E24" s="54">
        <v>7000</v>
      </c>
      <c r="G24" s="336"/>
      <c r="H24" s="337"/>
      <c r="I24" s="338"/>
      <c r="J24" s="339"/>
    </row>
    <row r="25" spans="2:10" ht="15.75">
      <c r="B25" s="237" t="s">
        <v>271</v>
      </c>
      <c r="C25" s="275">
        <v>12155</v>
      </c>
      <c r="D25" s="275">
        <v>12500</v>
      </c>
      <c r="E25" s="54">
        <v>12500</v>
      </c>
      <c r="G25" s="340" t="s">
        <v>215</v>
      </c>
      <c r="H25" s="338"/>
      <c r="I25" s="338"/>
      <c r="J25" s="341">
        <v>0</v>
      </c>
    </row>
    <row r="26" spans="2:10" ht="15.75">
      <c r="B26" s="237" t="s">
        <v>272</v>
      </c>
      <c r="C26" s="275"/>
      <c r="D26" s="275">
        <v>1000</v>
      </c>
      <c r="E26" s="54">
        <v>1000</v>
      </c>
      <c r="G26" s="336" t="s">
        <v>216</v>
      </c>
      <c r="H26" s="337"/>
      <c r="I26" s="337"/>
      <c r="J26" s="342">
        <f>IF(J25=0,"",ROUND((J25+E39-G38)/inputOth!E6*1000,3)-G43)</f>
      </c>
    </row>
    <row r="27" spans="2:10" ht="15.75">
      <c r="B27" s="237"/>
      <c r="C27" s="275"/>
      <c r="D27" s="275"/>
      <c r="E27" s="54"/>
      <c r="G27" s="343" t="str">
        <f>CONCATENATE("",E1," Tot Exp/Non-Appr Must Be:")</f>
        <v>2014 Tot Exp/Non-Appr Must Be:</v>
      </c>
      <c r="H27" s="344"/>
      <c r="I27" s="345"/>
      <c r="J27" s="346">
        <f>IF(J25&gt;0,IF(E36&lt;E19,IF(J25=G38,E36,((J25-G38)*(1-D38))+E19),E36+(J25-G38)),0)</f>
        <v>0</v>
      </c>
    </row>
    <row r="28" spans="2:10" ht="15.75">
      <c r="B28" s="237"/>
      <c r="C28" s="275"/>
      <c r="D28" s="275"/>
      <c r="E28" s="54"/>
      <c r="G28" s="347" t="s">
        <v>240</v>
      </c>
      <c r="H28" s="348"/>
      <c r="I28" s="348"/>
      <c r="J28" s="349">
        <f>IF(J25&gt;0,J27-E36,0)</f>
        <v>0</v>
      </c>
    </row>
    <row r="29" spans="2:10" ht="15.75">
      <c r="B29" s="233" t="s">
        <v>22</v>
      </c>
      <c r="C29" s="275"/>
      <c r="D29" s="275"/>
      <c r="E29" s="62"/>
      <c r="G29" s="1"/>
      <c r="H29" s="1"/>
      <c r="I29" s="1"/>
      <c r="J29" s="1"/>
    </row>
    <row r="30" spans="2:10" ht="15.75">
      <c r="B30" s="233" t="s">
        <v>21</v>
      </c>
      <c r="C30" s="275"/>
      <c r="D30" s="275"/>
      <c r="E30" s="54"/>
      <c r="G30" s="454" t="str">
        <f>CONCATENATE("Projected Carryover Into ",E1+1,"")</f>
        <v>Projected Carryover Into 2015</v>
      </c>
      <c r="H30" s="457"/>
      <c r="I30" s="457"/>
      <c r="J30" s="458"/>
    </row>
    <row r="31" spans="2:10" ht="15.75">
      <c r="B31" s="233" t="s">
        <v>210</v>
      </c>
      <c r="C31" s="276">
        <f>IF(C32*0.1&lt;C30,"Exceed 10% Rule","")</f>
      </c>
      <c r="D31" s="276">
        <f>IF(D32*0.1&lt;D30,"Exceed 10% Rule","")</f>
      </c>
      <c r="E31" s="246">
        <f>IF(E32*0.1&lt;E30,"Exceed 10% Rule","")</f>
      </c>
      <c r="G31" s="336"/>
      <c r="H31" s="338"/>
      <c r="I31" s="338"/>
      <c r="J31" s="361"/>
    </row>
    <row r="32" spans="2:10" ht="15.75">
      <c r="B32" s="235" t="s">
        <v>58</v>
      </c>
      <c r="C32" s="277">
        <f>SUM(C21:C30)</f>
        <v>53953</v>
      </c>
      <c r="D32" s="277">
        <f>SUM(D21:D30)</f>
        <v>57000</v>
      </c>
      <c r="E32" s="249">
        <f>SUM(E21:E30)</f>
        <v>57000</v>
      </c>
      <c r="G32" s="362">
        <f>D33</f>
        <v>9317</v>
      </c>
      <c r="H32" s="352" t="str">
        <f>CONCATENATE("",E1-1," Ending Cash Balance (est.)")</f>
        <v>2013 Ending Cash Balance (est.)</v>
      </c>
      <c r="I32" s="363"/>
      <c r="J32" s="361"/>
    </row>
    <row r="33" spans="2:10" ht="15.75">
      <c r="B33" s="90" t="s">
        <v>144</v>
      </c>
      <c r="C33" s="280">
        <f>C19-C32</f>
        <v>12600</v>
      </c>
      <c r="D33" s="280">
        <f>D19-D32</f>
        <v>9317</v>
      </c>
      <c r="E33" s="245" t="s">
        <v>42</v>
      </c>
      <c r="G33" s="362">
        <f>E18</f>
        <v>7560</v>
      </c>
      <c r="H33" s="338" t="str">
        <f>CONCATENATE("",E1," Non-AV Receipts (est.)")</f>
        <v>2014 Non-AV Receipts (est.)</v>
      </c>
      <c r="I33" s="363"/>
      <c r="J33" s="361"/>
    </row>
    <row r="34" spans="2:11" ht="15.75">
      <c r="B34" s="215" t="str">
        <f>CONCATENATE("",E$1-2,"/",E$1-1," Budget Authority Amount:")</f>
        <v>2012/2013 Budget Authority Amount:</v>
      </c>
      <c r="C34" s="207">
        <f>inputOth!B34</f>
        <v>56655</v>
      </c>
      <c r="D34" s="207">
        <f>inputPrYr!D18</f>
        <v>57000</v>
      </c>
      <c r="E34" s="245" t="s">
        <v>42</v>
      </c>
      <c r="F34" s="238"/>
      <c r="G34" s="364">
        <f>IF(E38&gt;0,E37,E39)</f>
        <v>40123</v>
      </c>
      <c r="H34" s="338" t="str">
        <f>CONCATENATE("",E1," Ad Valorem Tax (est.)")</f>
        <v>2014 Ad Valorem Tax (est.)</v>
      </c>
      <c r="I34" s="363"/>
      <c r="J34" s="361"/>
      <c r="K34" s="350" t="str">
        <f>IF(G34=E39,"","Note: Does not include Delinquent Taxes")</f>
        <v>Note: Does not include Delinquent Taxes</v>
      </c>
    </row>
    <row r="35" spans="2:10" ht="15.75">
      <c r="B35" s="215"/>
      <c r="C35" s="448" t="s">
        <v>212</v>
      </c>
      <c r="D35" s="449"/>
      <c r="E35" s="221"/>
      <c r="F35" s="293">
        <f>IF(E32/0.95-E32&lt;E35,"Exceeds 5%","")</f>
      </c>
      <c r="G35" s="362">
        <f>SUM(G32:G34)</f>
        <v>57000</v>
      </c>
      <c r="H35" s="338" t="str">
        <f>CONCATENATE("Total ",E1," Resources Available")</f>
        <v>Total 2014 Resources Available</v>
      </c>
      <c r="I35" s="363"/>
      <c r="J35" s="361"/>
    </row>
    <row r="36" spans="2:10" ht="15.75">
      <c r="B36" s="296" t="str">
        <f>CONCATENATE(C82,"     ",D82)</f>
        <v>     </v>
      </c>
      <c r="C36" s="450" t="s">
        <v>213</v>
      </c>
      <c r="D36" s="451"/>
      <c r="E36" s="193">
        <f>E32+E35</f>
        <v>57000</v>
      </c>
      <c r="G36" s="365"/>
      <c r="H36" s="338"/>
      <c r="I36" s="338"/>
      <c r="J36" s="361"/>
    </row>
    <row r="37" spans="2:10" ht="15.75">
      <c r="B37" s="296" t="str">
        <f>CONCATENATE(C83,"     ",D83)</f>
        <v>     </v>
      </c>
      <c r="C37" s="239"/>
      <c r="D37" s="167" t="s">
        <v>59</v>
      </c>
      <c r="E37" s="62">
        <f>IF(E36-E19&gt;0,E36-E19,0)</f>
        <v>40123</v>
      </c>
      <c r="G37" s="364">
        <f>ROUND(C32*0.05+C32,0)</f>
        <v>56651</v>
      </c>
      <c r="H37" s="338" t="str">
        <f>CONCATENATE("Less ",E1-2," Expenditures + 5%")</f>
        <v>Less 2012 Expenditures + 5%</v>
      </c>
      <c r="I37" s="363"/>
      <c r="J37" s="366"/>
    </row>
    <row r="38" spans="2:10" ht="15.75">
      <c r="B38" s="167"/>
      <c r="C38" s="294" t="s">
        <v>214</v>
      </c>
      <c r="D38" s="335">
        <f>inputOth!$E$23</f>
        <v>0.05</v>
      </c>
      <c r="E38" s="193">
        <f>ROUND(IF(D38&gt;0,($E$37*D38),0),0)</f>
        <v>2006</v>
      </c>
      <c r="G38" s="367">
        <f>G35-G37</f>
        <v>349</v>
      </c>
      <c r="H38" s="368" t="str">
        <f>CONCATENATE("Projected ",E1+1," carryover (est.)")</f>
        <v>Projected 2015 carryover (est.)</v>
      </c>
      <c r="I38" s="369"/>
      <c r="J38" s="370"/>
    </row>
    <row r="39" spans="2:10" ht="15.75">
      <c r="B39" s="29"/>
      <c r="C39" s="452" t="str">
        <f>CONCATENATE("Amount of  ",$E$1-1," Ad Valorem Tax")</f>
        <v>Amount of  2013 Ad Valorem Tax</v>
      </c>
      <c r="D39" s="453"/>
      <c r="E39" s="247">
        <f>E37+E38</f>
        <v>42129</v>
      </c>
      <c r="G39" s="1"/>
      <c r="H39" s="1"/>
      <c r="I39" s="1"/>
      <c r="J39" s="1"/>
    </row>
    <row r="40" spans="2:10" ht="15.75">
      <c r="B40" s="28" t="s">
        <v>48</v>
      </c>
      <c r="C40" s="241"/>
      <c r="D40" s="241"/>
      <c r="E40" s="241"/>
      <c r="G40" s="459" t="s">
        <v>241</v>
      </c>
      <c r="H40" s="460"/>
      <c r="I40" s="460"/>
      <c r="J40" s="461"/>
    </row>
    <row r="41" spans="2:10" ht="15.75">
      <c r="B41" s="29"/>
      <c r="C41" s="384" t="str">
        <f aca="true" t="shared" si="0" ref="C41:E42">C4</f>
        <v>Prior Year </v>
      </c>
      <c r="D41" s="385" t="str">
        <f t="shared" si="0"/>
        <v>Current Year </v>
      </c>
      <c r="E41" s="153" t="str">
        <f t="shared" si="0"/>
        <v>Proposed Budget </v>
      </c>
      <c r="G41" s="351"/>
      <c r="H41" s="352"/>
      <c r="I41" s="353"/>
      <c r="J41" s="354"/>
    </row>
    <row r="42" spans="2:10" ht="15.75">
      <c r="B42" s="291">
        <f>inputPrYr!B19</f>
        <v>0</v>
      </c>
      <c r="C42" s="278" t="str">
        <f t="shared" si="0"/>
        <v>Actual for 2012</v>
      </c>
      <c r="D42" s="278" t="str">
        <f t="shared" si="0"/>
        <v>Estimate for 2013</v>
      </c>
      <c r="E42" s="228" t="str">
        <f t="shared" si="0"/>
        <v>Year for 2014</v>
      </c>
      <c r="G42" s="355">
        <f>summ!H18</f>
        <v>2.06</v>
      </c>
      <c r="H42" s="352" t="str">
        <f>CONCATENATE("",E1," Fund Mill Rate")</f>
        <v>2014 Fund Mill Rate</v>
      </c>
      <c r="I42" s="353"/>
      <c r="J42" s="354"/>
    </row>
    <row r="43" spans="2:10" ht="15.75">
      <c r="B43" s="90" t="s">
        <v>143</v>
      </c>
      <c r="C43" s="275"/>
      <c r="D43" s="279">
        <f>C65</f>
        <v>0</v>
      </c>
      <c r="E43" s="193">
        <f>D65</f>
        <v>0</v>
      </c>
      <c r="G43" s="356">
        <f>summ!E18</f>
        <v>2.502</v>
      </c>
      <c r="H43" s="352" t="str">
        <f>CONCATENATE("",E1-1," Fund Mill Rate")</f>
        <v>2013 Fund Mill Rate</v>
      </c>
      <c r="I43" s="353"/>
      <c r="J43" s="354"/>
    </row>
    <row r="44" spans="2:10" ht="15.75">
      <c r="B44" s="229" t="s">
        <v>145</v>
      </c>
      <c r="C44" s="231"/>
      <c r="D44" s="231"/>
      <c r="E44" s="69"/>
      <c r="G44" s="357">
        <f>summ!H30</f>
        <v>8.931000000000001</v>
      </c>
      <c r="H44" s="352" t="str">
        <f>CONCATENATE("Total ",E1," Mill Rate")</f>
        <v>Total 2014 Mill Rate</v>
      </c>
      <c r="I44" s="353"/>
      <c r="J44" s="354"/>
    </row>
    <row r="45" spans="2:10" ht="15.75">
      <c r="B45" s="90" t="s">
        <v>49</v>
      </c>
      <c r="C45" s="275"/>
      <c r="D45" s="279">
        <f>IF(inputPrYr!H19&gt;0,inputPrYr!H19,inputPrYr!E19)</f>
        <v>0</v>
      </c>
      <c r="E45" s="245" t="s">
        <v>42</v>
      </c>
      <c r="G45" s="356">
        <f>summ!E30</f>
        <v>11.102</v>
      </c>
      <c r="H45" s="358" t="str">
        <f>CONCATENATE("Total ",E1-1," Mill Rate")</f>
        <v>Total 2013 Mill Rate</v>
      </c>
      <c r="I45" s="359"/>
      <c r="J45" s="360"/>
    </row>
    <row r="46" spans="2:10" ht="15.75">
      <c r="B46" s="90" t="s">
        <v>50</v>
      </c>
      <c r="C46" s="275"/>
      <c r="D46" s="275"/>
      <c r="E46" s="54"/>
      <c r="G46" s="1"/>
      <c r="H46" s="1"/>
      <c r="I46" s="1"/>
      <c r="J46" s="1"/>
    </row>
    <row r="47" spans="2:10" ht="15.75">
      <c r="B47" s="90" t="s">
        <v>51</v>
      </c>
      <c r="C47" s="275"/>
      <c r="D47" s="275"/>
      <c r="E47" s="193" t="e">
        <f>#REF!</f>
        <v>#REF!</v>
      </c>
      <c r="G47" s="401" t="s">
        <v>247</v>
      </c>
      <c r="H47" s="400"/>
      <c r="I47" s="399" t="str">
        <f>cert!E37</f>
        <v>Yes</v>
      </c>
      <c r="J47" s="1"/>
    </row>
    <row r="48" spans="2:10" ht="15.75">
      <c r="B48" s="90" t="s">
        <v>52</v>
      </c>
      <c r="C48" s="275"/>
      <c r="D48" s="275"/>
      <c r="E48" s="193" t="e">
        <f>#REF!</f>
        <v>#REF!</v>
      </c>
      <c r="G48" s="1"/>
      <c r="H48" s="1"/>
      <c r="I48" s="1"/>
      <c r="J48" s="1"/>
    </row>
    <row r="49" spans="2:10" ht="15.75">
      <c r="B49" s="231" t="s">
        <v>101</v>
      </c>
      <c r="C49" s="275"/>
      <c r="D49" s="275"/>
      <c r="E49" s="193" t="e">
        <f>#REF!</f>
        <v>#REF!</v>
      </c>
      <c r="G49" s="1"/>
      <c r="H49" s="1"/>
      <c r="I49" s="1"/>
      <c r="J49" s="1"/>
    </row>
    <row r="50" spans="2:10" ht="15.75">
      <c r="B50" s="237"/>
      <c r="C50" s="275"/>
      <c r="D50" s="275"/>
      <c r="E50" s="54"/>
      <c r="G50" s="1"/>
      <c r="H50" s="1"/>
      <c r="I50" s="1"/>
      <c r="J50" s="1"/>
    </row>
    <row r="51" spans="2:10" ht="15.75">
      <c r="B51" s="237"/>
      <c r="C51" s="275"/>
      <c r="D51" s="275"/>
      <c r="E51" s="54"/>
      <c r="G51" s="1"/>
      <c r="H51" s="1"/>
      <c r="I51" s="1"/>
      <c r="J51" s="1"/>
    </row>
    <row r="52" spans="2:10" ht="15.75">
      <c r="B52" s="232" t="s">
        <v>53</v>
      </c>
      <c r="C52" s="275"/>
      <c r="D52" s="275"/>
      <c r="E52" s="54"/>
      <c r="G52" s="1"/>
      <c r="H52" s="1"/>
      <c r="I52" s="1"/>
      <c r="J52" s="1"/>
    </row>
    <row r="53" spans="2:10" ht="15.75">
      <c r="B53" s="233" t="s">
        <v>21</v>
      </c>
      <c r="C53" s="275"/>
      <c r="D53" s="275"/>
      <c r="E53" s="54"/>
      <c r="G53" s="1"/>
      <c r="H53" s="1"/>
      <c r="I53" s="1"/>
      <c r="J53" s="1"/>
    </row>
    <row r="54" spans="2:10" ht="15.75">
      <c r="B54" s="233" t="s">
        <v>211</v>
      </c>
      <c r="C54" s="276">
        <f>IF(C55*0.1&lt;C53,"Exceed 10% Rule","")</f>
      </c>
      <c r="D54" s="276">
        <f>IF(D55*0.1&lt;D53,"Exceed 10% Rule","")</f>
      </c>
      <c r="E54" s="246" t="e">
        <f>IF(E55*0.1+E71&lt;E53,"Exceed 10% Rule","")</f>
        <v>#REF!</v>
      </c>
      <c r="G54" s="1"/>
      <c r="H54" s="1"/>
      <c r="I54" s="1"/>
      <c r="J54" s="1"/>
    </row>
    <row r="55" spans="2:10" ht="15.75">
      <c r="B55" s="235" t="s">
        <v>54</v>
      </c>
      <c r="C55" s="277">
        <f>SUM(C45:C53)</f>
        <v>0</v>
      </c>
      <c r="D55" s="277">
        <f>SUM(D45:D53)</f>
        <v>0</v>
      </c>
      <c r="E55" s="249" t="e">
        <f>SUM(E46:E53)</f>
        <v>#REF!</v>
      </c>
      <c r="G55" s="1"/>
      <c r="H55" s="1"/>
      <c r="I55" s="1"/>
      <c r="J55" s="1"/>
    </row>
    <row r="56" spans="2:10" ht="15.75">
      <c r="B56" s="235" t="s">
        <v>55</v>
      </c>
      <c r="C56" s="277">
        <f>C43+C55</f>
        <v>0</v>
      </c>
      <c r="D56" s="277">
        <f>D43+D55</f>
        <v>0</v>
      </c>
      <c r="E56" s="249" t="e">
        <f>E43+E55</f>
        <v>#REF!</v>
      </c>
      <c r="G56" s="1"/>
      <c r="H56" s="1"/>
      <c r="I56" s="1"/>
      <c r="J56" s="1"/>
    </row>
    <row r="57" spans="2:10" ht="15.75">
      <c r="B57" s="90" t="s">
        <v>57</v>
      </c>
      <c r="C57" s="233"/>
      <c r="D57" s="233"/>
      <c r="E57" s="51"/>
      <c r="G57" s="1"/>
      <c r="H57" s="1"/>
      <c r="I57" s="1"/>
      <c r="J57" s="1"/>
    </row>
    <row r="58" spans="2:10" ht="15.75">
      <c r="B58" s="237"/>
      <c r="C58" s="275"/>
      <c r="D58" s="275"/>
      <c r="E58" s="54"/>
      <c r="G58" s="1"/>
      <c r="H58" s="1"/>
      <c r="I58" s="1"/>
      <c r="J58" s="1"/>
    </row>
    <row r="59" spans="2:10" ht="15.75">
      <c r="B59" s="237"/>
      <c r="C59" s="275"/>
      <c r="D59" s="275"/>
      <c r="E59" s="54"/>
      <c r="G59" s="343" t="str">
        <f>CONCATENATE("",E1," Tot Exp/Non-Appr Must Be:")</f>
        <v>2014 Tot Exp/Non-Appr Must Be:</v>
      </c>
      <c r="H59" s="344"/>
      <c r="I59" s="345"/>
      <c r="J59" s="346" t="e">
        <f>IF(#REF!&gt;0,IF(E68&lt;E56,IF(#REF!=G70,E68,((#REF!-G70)*(1-D70))+E56),E68+(#REF!-G70)),0)</f>
        <v>#REF!</v>
      </c>
    </row>
    <row r="60" spans="2:10" ht="15.75">
      <c r="B60" s="237"/>
      <c r="C60" s="275"/>
      <c r="D60" s="275"/>
      <c r="E60" s="54"/>
      <c r="G60" s="347" t="s">
        <v>240</v>
      </c>
      <c r="H60" s="348"/>
      <c r="I60" s="348"/>
      <c r="J60" s="349" t="e">
        <f>IF(#REF!&gt;0,J59-E68,0)</f>
        <v>#REF!</v>
      </c>
    </row>
    <row r="61" spans="2:10" ht="15.75">
      <c r="B61" s="233" t="s">
        <v>22</v>
      </c>
      <c r="C61" s="275"/>
      <c r="D61" s="275"/>
      <c r="E61" s="62" t="e">
        <f>#REF!</f>
        <v>#REF!</v>
      </c>
      <c r="G61" s="1"/>
      <c r="H61" s="1"/>
      <c r="I61" s="1"/>
      <c r="J61" s="1"/>
    </row>
    <row r="62" spans="2:10" ht="15.75">
      <c r="B62" s="233" t="s">
        <v>21</v>
      </c>
      <c r="C62" s="275"/>
      <c r="D62" s="275"/>
      <c r="E62" s="54"/>
      <c r="G62" s="454" t="str">
        <f>CONCATENATE("Projected Carryover Into ",E1+1,"")</f>
        <v>Projected Carryover Into 2015</v>
      </c>
      <c r="H62" s="462"/>
      <c r="I62" s="462"/>
      <c r="J62" s="458"/>
    </row>
    <row r="63" spans="2:10" ht="15.75">
      <c r="B63" s="233" t="s">
        <v>210</v>
      </c>
      <c r="C63" s="276">
        <f>IF(C64*0.1&lt;C62,"Exceed 10% Rule","")</f>
      </c>
      <c r="D63" s="276">
        <f>IF(D64*0.1&lt;D62,"Exceed 10% Rule","")</f>
      </c>
      <c r="E63" s="246" t="e">
        <f>IF(E64*0.1&lt;E62,"Exceed 10% Rule","")</f>
        <v>#REF!</v>
      </c>
      <c r="G63" s="371"/>
      <c r="H63" s="337"/>
      <c r="I63" s="337"/>
      <c r="J63" s="366"/>
    </row>
    <row r="64" spans="2:10" ht="15.75">
      <c r="B64" s="235" t="s">
        <v>58</v>
      </c>
      <c r="C64" s="277">
        <f>SUM(C58:C62)</f>
        <v>0</v>
      </c>
      <c r="D64" s="277">
        <f>SUM(D58:D62)</f>
        <v>0</v>
      </c>
      <c r="E64" s="249" t="e">
        <f>SUM(E58:E62)</f>
        <v>#REF!</v>
      </c>
      <c r="G64" s="362">
        <f>D65</f>
        <v>0</v>
      </c>
      <c r="H64" s="352" t="str">
        <f>CONCATENATE("",E1-1," Ending Cash Balance (est.)")</f>
        <v>2013 Ending Cash Balance (est.)</v>
      </c>
      <c r="I64" s="363"/>
      <c r="J64" s="366"/>
    </row>
    <row r="65" spans="2:10" ht="15.75">
      <c r="B65" s="90" t="s">
        <v>144</v>
      </c>
      <c r="C65" s="280">
        <f>C56-C64</f>
        <v>0</v>
      </c>
      <c r="D65" s="280">
        <f>D56-D64</f>
        <v>0</v>
      </c>
      <c r="E65" s="245" t="s">
        <v>42</v>
      </c>
      <c r="G65" s="362" t="e">
        <f>E55</f>
        <v>#REF!</v>
      </c>
      <c r="H65" s="338" t="str">
        <f>CONCATENATE("",E1," Non-AV Receipts (est.)")</f>
        <v>2014 Non-AV Receipts (est.)</v>
      </c>
      <c r="I65" s="363"/>
      <c r="J65" s="366"/>
    </row>
    <row r="66" spans="2:11" ht="15.75">
      <c r="B66" s="215" t="str">
        <f>CONCATENATE("",E$1-2,"/",E$1-1," Budget Authority Amount:")</f>
        <v>2012/2013 Budget Authority Amount:</v>
      </c>
      <c r="C66" s="207">
        <f>inputOth!B35</f>
        <v>0</v>
      </c>
      <c r="D66" s="207">
        <f>inputPrYr!D19</f>
        <v>0</v>
      </c>
      <c r="E66" s="245" t="s">
        <v>42</v>
      </c>
      <c r="F66" s="238"/>
      <c r="G66" s="364" t="e">
        <f>IF(E70&gt;0,E69,E71)</f>
        <v>#REF!</v>
      </c>
      <c r="H66" s="338" t="str">
        <f>CONCATENATE("",E1," Ad Valorem Tax (est.)")</f>
        <v>2014 Ad Valorem Tax (est.)</v>
      </c>
      <c r="I66" s="363"/>
      <c r="J66" s="366"/>
      <c r="K66" s="350" t="e">
        <f>IF(G66=E71,"","Note: Does not include Delinquent Taxes")</f>
        <v>#REF!</v>
      </c>
    </row>
    <row r="67" spans="2:10" ht="15.75">
      <c r="B67" s="215"/>
      <c r="C67" s="448" t="s">
        <v>212</v>
      </c>
      <c r="D67" s="449"/>
      <c r="E67" s="54"/>
      <c r="F67" s="293" t="e">
        <f>IF(E64/0.95-E64&lt;E67,"Exceeds 5%","")</f>
        <v>#REF!</v>
      </c>
      <c r="G67" s="372" t="e">
        <f>SUM(G64:G66)</f>
        <v>#REF!</v>
      </c>
      <c r="H67" s="338" t="str">
        <f>CONCATENATE("Total ",E1," Resources Available")</f>
        <v>Total 2014 Resources Available</v>
      </c>
      <c r="I67" s="373"/>
      <c r="J67" s="366"/>
    </row>
    <row r="68" spans="2:10" ht="15.75">
      <c r="B68" s="295" t="str">
        <f>CONCATENATE(C84,"     ",D84)</f>
        <v>     </v>
      </c>
      <c r="C68" s="450" t="s">
        <v>213</v>
      </c>
      <c r="D68" s="451"/>
      <c r="E68" s="193" t="e">
        <f>E64+E67</f>
        <v>#REF!</v>
      </c>
      <c r="G68" s="374"/>
      <c r="H68" s="375"/>
      <c r="I68" s="337"/>
      <c r="J68" s="366"/>
    </row>
    <row r="69" spans="2:10" ht="15.75">
      <c r="B69" s="295" t="str">
        <f>CONCATENATE(C85,"     ",D85)</f>
        <v>     </v>
      </c>
      <c r="C69" s="239"/>
      <c r="D69" s="167" t="s">
        <v>59</v>
      </c>
      <c r="E69" s="62" t="e">
        <f>IF(E68-E56&gt;0,E68-E56,0)</f>
        <v>#REF!</v>
      </c>
      <c r="G69" s="376">
        <f>ROUND(C64*0.05+C64,0)</f>
        <v>0</v>
      </c>
      <c r="H69" s="338" t="str">
        <f>CONCATENATE("Less ",E1-2," Expenditures + 5%")</f>
        <v>Less 2012 Expenditures + 5%</v>
      </c>
      <c r="I69" s="373"/>
      <c r="J69" s="366"/>
    </row>
    <row r="70" spans="2:10" ht="15.75">
      <c r="B70" s="167"/>
      <c r="C70" s="294" t="s">
        <v>214</v>
      </c>
      <c r="D70" s="335">
        <f>inputOth!$E$23</f>
        <v>0.05</v>
      </c>
      <c r="E70" s="193" t="e">
        <f>ROUND(IF(D70&gt;0,($E$69*D70),0),0)</f>
        <v>#REF!</v>
      </c>
      <c r="G70" s="377" t="e">
        <f>G67-G69</f>
        <v>#REF!</v>
      </c>
      <c r="H70" s="368" t="str">
        <f>CONCATENATE("Projected ",E1+1," carryover (est.)")</f>
        <v>Projected 2015 carryover (est.)</v>
      </c>
      <c r="I70" s="378"/>
      <c r="J70" s="379"/>
    </row>
    <row r="71" spans="2:10" ht="15.75">
      <c r="B71" s="29"/>
      <c r="C71" s="452" t="str">
        <f>CONCATENATE("Amount of  ",$E$1-1," Ad Valorem Tax")</f>
        <v>Amount of  2013 Ad Valorem Tax</v>
      </c>
      <c r="D71" s="453"/>
      <c r="E71" s="247" t="e">
        <f>E69+E70</f>
        <v>#REF!</v>
      </c>
      <c r="G71" s="1"/>
      <c r="H71" s="1"/>
      <c r="I71" s="1"/>
      <c r="J71" s="1"/>
    </row>
    <row r="72" spans="2:10" ht="15.75">
      <c r="B72" s="215" t="s">
        <v>62</v>
      </c>
      <c r="C72" s="248">
        <v>9</v>
      </c>
      <c r="D72" s="29"/>
      <c r="E72" s="29"/>
      <c r="G72" s="459" t="s">
        <v>241</v>
      </c>
      <c r="H72" s="460"/>
      <c r="I72" s="460"/>
      <c r="J72" s="461"/>
    </row>
    <row r="73" spans="7:10" ht="15.75">
      <c r="G73" s="351"/>
      <c r="H73" s="352"/>
      <c r="I73" s="353"/>
      <c r="J73" s="354"/>
    </row>
    <row r="74" spans="7:10" ht="15.75">
      <c r="G74" s="355">
        <f>summ!H19</f>
        <v>0</v>
      </c>
      <c r="H74" s="352" t="str">
        <f>CONCATENATE("",E1," Fund Mill Rate")</f>
        <v>2014 Fund Mill Rate</v>
      </c>
      <c r="I74" s="353"/>
      <c r="J74" s="354"/>
    </row>
    <row r="75" spans="7:10" ht="15.75">
      <c r="G75" s="356" t="str">
        <f>summ!E19</f>
        <v>  </v>
      </c>
      <c r="H75" s="352" t="str">
        <f>CONCATENATE("",E1-1," Fund Mill Rate")</f>
        <v>2013 Fund Mill Rate</v>
      </c>
      <c r="I75" s="353"/>
      <c r="J75" s="354"/>
    </row>
    <row r="76" spans="7:10" ht="15.75">
      <c r="G76" s="357">
        <f>summ!H30</f>
        <v>8.931000000000001</v>
      </c>
      <c r="H76" s="352" t="str">
        <f>CONCATENATE("Total ",E1," Mill Rate")</f>
        <v>Total 2014 Mill Rate</v>
      </c>
      <c r="I76" s="353"/>
      <c r="J76" s="354"/>
    </row>
    <row r="77" spans="7:10" ht="15.75">
      <c r="G77" s="356">
        <f>summ!E30</f>
        <v>11.102</v>
      </c>
      <c r="H77" s="358" t="str">
        <f>CONCATENATE("Total ",E1-1," Mill Rate")</f>
        <v>Total 2013 Mill Rate</v>
      </c>
      <c r="I77" s="359"/>
      <c r="J77" s="360"/>
    </row>
    <row r="79" spans="7:9" ht="15.75">
      <c r="G79" s="401" t="s">
        <v>247</v>
      </c>
      <c r="H79" s="400"/>
      <c r="I79" s="399" t="str">
        <f>cert!E37</f>
        <v>Yes</v>
      </c>
    </row>
    <row r="82" spans="3:4" ht="15.75" hidden="1">
      <c r="C82" s="26">
        <f>IF(C32&gt;C34,"See Tab A","")</f>
      </c>
      <c r="D82" s="26">
        <f>IF(D32&gt;D34,"See Tab C","")</f>
      </c>
    </row>
    <row r="83" spans="3:4" ht="15.75" hidden="1">
      <c r="C83" s="26">
        <f>IF(C33&lt;0,"See Tab B","")</f>
      </c>
      <c r="D83" s="26">
        <f>IF(D33&lt;0,"See Tab D","")</f>
      </c>
    </row>
    <row r="84" spans="3:4" ht="15.75" hidden="1">
      <c r="C84" s="26">
        <f>IF(C64&gt;C66,"See Tab A","")</f>
      </c>
      <c r="D84" s="26">
        <f>IF(D64&gt;D66,"See Tab C","")</f>
      </c>
    </row>
    <row r="85" spans="3:4" ht="15.75" hidden="1">
      <c r="C85" s="26">
        <f>IF(C65&lt;0,"See Tab B","")</f>
      </c>
      <c r="D85" s="26">
        <f>IF(D65&lt;0,"See Tab D","")</f>
      </c>
    </row>
  </sheetData>
  <sheetProtection/>
  <mergeCells count="11">
    <mergeCell ref="C71:D71"/>
    <mergeCell ref="C39:D39"/>
    <mergeCell ref="G23:J23"/>
    <mergeCell ref="G30:J30"/>
    <mergeCell ref="G40:J40"/>
    <mergeCell ref="G62:J62"/>
    <mergeCell ref="G72:J72"/>
    <mergeCell ref="C35:D35"/>
    <mergeCell ref="C36:D36"/>
    <mergeCell ref="C67:D67"/>
    <mergeCell ref="C68:D68"/>
  </mergeCells>
  <conditionalFormatting sqref="E62">
    <cfRule type="cellIs" priority="3" dxfId="82" operator="greaterThan" stopIfTrue="1">
      <formula>$E$64*0.1</formula>
    </cfRule>
  </conditionalFormatting>
  <conditionalFormatting sqref="E67">
    <cfRule type="cellIs" priority="4" dxfId="82" operator="greaterThan" stopIfTrue="1">
      <formula>$E$64/0.95-$E$64</formula>
    </cfRule>
  </conditionalFormatting>
  <conditionalFormatting sqref="E35">
    <cfRule type="cellIs" priority="5" dxfId="82" operator="greaterThan" stopIfTrue="1">
      <formula>$E$32/0.95-$E$32</formula>
    </cfRule>
  </conditionalFormatting>
  <conditionalFormatting sqref="E30">
    <cfRule type="cellIs" priority="6" dxfId="82" operator="greaterThan" stopIfTrue="1">
      <formula>$E$32*0.1</formula>
    </cfRule>
  </conditionalFormatting>
  <conditionalFormatting sqref="C32">
    <cfRule type="cellIs" priority="7" dxfId="2" operator="greaterThan" stopIfTrue="1">
      <formula>$C$34</formula>
    </cfRule>
  </conditionalFormatting>
  <conditionalFormatting sqref="C65 C33">
    <cfRule type="cellIs" priority="8" dxfId="2" operator="lessThan" stopIfTrue="1">
      <formula>0</formula>
    </cfRule>
  </conditionalFormatting>
  <conditionalFormatting sqref="D32">
    <cfRule type="cellIs" priority="9" dxfId="2" operator="greaterThan" stopIfTrue="1">
      <formula>$D$34</formula>
    </cfRule>
  </conditionalFormatting>
  <conditionalFormatting sqref="C64">
    <cfRule type="cellIs" priority="10" dxfId="2" operator="greaterThan" stopIfTrue="1">
      <formula>$C$66</formula>
    </cfRule>
  </conditionalFormatting>
  <conditionalFormatting sqref="D64">
    <cfRule type="cellIs" priority="11" dxfId="2" operator="greaterThan" stopIfTrue="1">
      <formula>$D$66</formula>
    </cfRule>
  </conditionalFormatting>
  <conditionalFormatting sqref="C62">
    <cfRule type="cellIs" priority="12" dxfId="2" operator="greaterThan" stopIfTrue="1">
      <formula>$C$64*0.1</formula>
    </cfRule>
  </conditionalFormatting>
  <conditionalFormatting sqref="D62">
    <cfRule type="cellIs" priority="13" dxfId="2" operator="greaterThan" stopIfTrue="1">
      <formula>$D$64*0.1</formula>
    </cfRule>
  </conditionalFormatting>
  <conditionalFormatting sqref="E53">
    <cfRule type="cellIs" priority="14" dxfId="82" operator="greaterThan" stopIfTrue="1">
      <formula>$E$55*0.1+E71</formula>
    </cfRule>
  </conditionalFormatting>
  <conditionalFormatting sqref="C53">
    <cfRule type="cellIs" priority="15" dxfId="2" operator="greaterThan" stopIfTrue="1">
      <formula>$C$55*0.1</formula>
    </cfRule>
  </conditionalFormatting>
  <conditionalFormatting sqref="D53">
    <cfRule type="cellIs" priority="16" dxfId="2" operator="greaterThan" stopIfTrue="1">
      <formula>$D$55*0.1</formula>
    </cfRule>
  </conditionalFormatting>
  <conditionalFormatting sqref="C30">
    <cfRule type="cellIs" priority="17" dxfId="2" operator="greaterThan" stopIfTrue="1">
      <formula>$C$32*0.1</formula>
    </cfRule>
  </conditionalFormatting>
  <conditionalFormatting sqref="D30">
    <cfRule type="cellIs" priority="18" dxfId="2" operator="greaterThan" stopIfTrue="1">
      <formula>$D$32*0.1</formula>
    </cfRule>
  </conditionalFormatting>
  <conditionalFormatting sqref="E16">
    <cfRule type="cellIs" priority="19" dxfId="82" operator="greaterThan" stopIfTrue="1">
      <formula>$E$18*0.1+E39</formula>
    </cfRule>
  </conditionalFormatting>
  <conditionalFormatting sqref="C16">
    <cfRule type="cellIs" priority="20" dxfId="2" operator="greaterThan" stopIfTrue="1">
      <formula>$C$18*0.1</formula>
    </cfRule>
  </conditionalFormatting>
  <conditionalFormatting sqref="D16">
    <cfRule type="cellIs" priority="21" dxfId="2" operator="greaterThan" stopIfTrue="1">
      <formula>$D$18*0.1</formula>
    </cfRule>
  </conditionalFormatting>
  <conditionalFormatting sqref="D65 D33">
    <cfRule type="cellIs" priority="2" dxfId="0" operator="lessThan" stopIfTrue="1">
      <formula>0</formula>
    </cfRule>
  </conditionalFormatting>
  <printOptions/>
  <pageMargins left="1.12" right="0.5" top="0.74" bottom="0.34" header="0.5" footer="0"/>
  <pageSetup blackAndWhite="1" horizontalDpi="120" verticalDpi="120" orientation="portrait" scale="60" r:id="rId1"/>
  <headerFooter alignWithMargins="0">
    <oddHeader>&amp;RState of Kansas
County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view="pageBreakPreview" zoomScale="96" zoomScaleSheetLayoutView="96" zoomScalePageLayoutView="0" workbookViewId="0" topLeftCell="A43">
      <selection activeCell="C67" sqref="C67"/>
    </sheetView>
  </sheetViews>
  <sheetFormatPr defaultColWidth="8.796875" defaultRowHeight="15"/>
  <cols>
    <col min="1" max="1" width="2.3984375" style="26" customWidth="1"/>
    <col min="2" max="2" width="31.09765625" style="26" customWidth="1"/>
    <col min="3" max="4" width="15.796875" style="26" customWidth="1"/>
    <col min="5" max="5" width="16.09765625" style="26" customWidth="1"/>
    <col min="6" max="16384" width="8.8984375" style="26" customWidth="1"/>
  </cols>
  <sheetData>
    <row r="1" spans="2:5" ht="15.75">
      <c r="B1" s="155" t="str">
        <f>(inputPrYr!C2)</f>
        <v>MITCHELL COUNTY</v>
      </c>
      <c r="C1" s="29"/>
      <c r="D1" s="29"/>
      <c r="E1" s="214">
        <f>inputPrYr!C4</f>
        <v>2014</v>
      </c>
    </row>
    <row r="2" spans="2:5" ht="15.75">
      <c r="B2" s="29"/>
      <c r="C2" s="29"/>
      <c r="D2" s="29"/>
      <c r="E2" s="167"/>
    </row>
    <row r="3" spans="2:5" ht="15.75">
      <c r="B3" s="94" t="s">
        <v>107</v>
      </c>
      <c r="C3" s="242"/>
      <c r="D3" s="242"/>
      <c r="E3" s="243"/>
    </row>
    <row r="4" spans="2:5" ht="15.75">
      <c r="B4" s="29"/>
      <c r="C4" s="241"/>
      <c r="D4" s="241"/>
      <c r="E4" s="241"/>
    </row>
    <row r="5" spans="2:5" ht="15.75">
      <c r="B5" s="28" t="s">
        <v>48</v>
      </c>
      <c r="C5" s="384" t="s">
        <v>242</v>
      </c>
      <c r="D5" s="385" t="s">
        <v>243</v>
      </c>
      <c r="E5" s="153" t="s">
        <v>244</v>
      </c>
    </row>
    <row r="6" spans="2:5" ht="15.75">
      <c r="B6" s="292" t="str">
        <f>inputPrYr!B34</f>
        <v>MCO F.D.  # 1 Spec. Equip.</v>
      </c>
      <c r="C6" s="278" t="s">
        <v>276</v>
      </c>
      <c r="D6" s="278" t="s">
        <v>277</v>
      </c>
      <c r="E6" s="228" t="s">
        <v>278</v>
      </c>
    </row>
    <row r="7" spans="2:5" ht="15.75">
      <c r="B7" s="90" t="s">
        <v>143</v>
      </c>
      <c r="C7" s="54">
        <v>4630</v>
      </c>
      <c r="D7" s="193">
        <f>C30</f>
        <v>36</v>
      </c>
      <c r="E7" s="193">
        <f>D30</f>
        <v>13182</v>
      </c>
    </row>
    <row r="8" spans="2:5" ht="15.75">
      <c r="B8" s="244" t="s">
        <v>145</v>
      </c>
      <c r="C8" s="51"/>
      <c r="D8" s="51"/>
      <c r="E8" s="51"/>
    </row>
    <row r="9" spans="2:5" ht="15.75">
      <c r="B9" s="237" t="s">
        <v>274</v>
      </c>
      <c r="C9" s="54"/>
      <c r="D9" s="54">
        <v>4500</v>
      </c>
      <c r="E9" s="54">
        <v>4500</v>
      </c>
    </row>
    <row r="10" spans="2:5" ht="15.75">
      <c r="B10" s="237" t="s">
        <v>295</v>
      </c>
      <c r="C10" s="54"/>
      <c r="D10" s="54">
        <v>14646</v>
      </c>
      <c r="E10" s="54"/>
    </row>
    <row r="11" spans="2:5" ht="15.75">
      <c r="B11" s="237"/>
      <c r="C11" s="54"/>
      <c r="D11" s="54"/>
      <c r="E11" s="54"/>
    </row>
    <row r="12" spans="2:5" ht="15.75">
      <c r="B12" s="232" t="s">
        <v>53</v>
      </c>
      <c r="C12" s="54"/>
      <c r="D12" s="54"/>
      <c r="E12" s="54"/>
    </row>
    <row r="13" spans="2:5" ht="15.75">
      <c r="B13" s="233" t="s">
        <v>21</v>
      </c>
      <c r="C13" s="54"/>
      <c r="D13" s="230"/>
      <c r="E13" s="230"/>
    </row>
    <row r="14" spans="2:5" ht="15.75">
      <c r="B14" s="233" t="s">
        <v>211</v>
      </c>
      <c r="C14" s="290">
        <f>IF(C15*0.1&lt;C13,"Exceed 10% Rule","")</f>
      </c>
      <c r="D14" s="234">
        <f>IF(D15*0.1&lt;D13,"Exceed 10% Rule","")</f>
      </c>
      <c r="E14" s="234">
        <f>IF(E15*0.1&lt;E13,"Exceed 10% Rule","")</f>
      </c>
    </row>
    <row r="15" spans="2:5" ht="15.75">
      <c r="B15" s="235" t="s">
        <v>54</v>
      </c>
      <c r="C15" s="249">
        <f>SUM(C9:C13)</f>
        <v>0</v>
      </c>
      <c r="D15" s="249">
        <f>SUM(D9:D13)</f>
        <v>19146</v>
      </c>
      <c r="E15" s="249">
        <f>SUM(E9:E13)</f>
        <v>4500</v>
      </c>
    </row>
    <row r="16" spans="2:5" ht="15.75">
      <c r="B16" s="235" t="s">
        <v>55</v>
      </c>
      <c r="C16" s="249">
        <f>C15+C7</f>
        <v>4630</v>
      </c>
      <c r="D16" s="249">
        <f>D15+D7</f>
        <v>19182</v>
      </c>
      <c r="E16" s="249">
        <f>E15+E7</f>
        <v>17682</v>
      </c>
    </row>
    <row r="17" spans="2:5" ht="15.75">
      <c r="B17" s="90" t="s">
        <v>57</v>
      </c>
      <c r="C17" s="193"/>
      <c r="D17" s="193"/>
      <c r="E17" s="193"/>
    </row>
    <row r="18" spans="2:5" ht="15.75">
      <c r="B18" s="237" t="s">
        <v>273</v>
      </c>
      <c r="C18" s="54">
        <v>4594</v>
      </c>
      <c r="D18" s="54">
        <v>6000</v>
      </c>
      <c r="E18" s="54">
        <v>17682</v>
      </c>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7"/>
      <c r="C25" s="54"/>
      <c r="D25" s="54"/>
      <c r="E25" s="54"/>
    </row>
    <row r="26" spans="2:5" ht="15.75">
      <c r="B26" s="237"/>
      <c r="C26" s="54"/>
      <c r="D26" s="54"/>
      <c r="E26" s="54"/>
    </row>
    <row r="27" spans="2:5" ht="15.75">
      <c r="B27" s="233" t="s">
        <v>21</v>
      </c>
      <c r="C27" s="54"/>
      <c r="D27" s="230"/>
      <c r="E27" s="230"/>
    </row>
    <row r="28" spans="2:5" ht="15.75">
      <c r="B28" s="233" t="s">
        <v>210</v>
      </c>
      <c r="C28" s="290">
        <f>IF(C29*0.1&lt;C27,"Exceed 10% Rule","")</f>
      </c>
      <c r="D28" s="234">
        <f>IF(D29*0.1&lt;D27,"Exceed 10% Rule","")</f>
      </c>
      <c r="E28" s="234">
        <f>IF(E29*0.1&lt;E27,"Exceed 10% Rule","")</f>
      </c>
    </row>
    <row r="29" spans="2:5" ht="15.75">
      <c r="B29" s="235" t="s">
        <v>58</v>
      </c>
      <c r="C29" s="249">
        <f>SUM(C18:C27)</f>
        <v>4594</v>
      </c>
      <c r="D29" s="249">
        <f>SUM(D18:D27)</f>
        <v>6000</v>
      </c>
      <c r="E29" s="249">
        <f>SUM(E18:E27)</f>
        <v>17682</v>
      </c>
    </row>
    <row r="30" spans="2:5" ht="15.75">
      <c r="B30" s="90" t="s">
        <v>144</v>
      </c>
      <c r="C30" s="62">
        <f>C16-C29</f>
        <v>36</v>
      </c>
      <c r="D30" s="62">
        <f>D16-D29</f>
        <v>13182</v>
      </c>
      <c r="E30" s="62">
        <f>E16-E29</f>
        <v>0</v>
      </c>
    </row>
    <row r="31" spans="2:5" ht="15.75">
      <c r="B31" s="215" t="str">
        <f>CONCATENATE("",E$1-2,"/",E$1-1," Budget Authority Amount:")</f>
        <v>2012/2013 Budget Authority Amount:</v>
      </c>
      <c r="C31" s="207">
        <f>inputOth!B43</f>
        <v>7130</v>
      </c>
      <c r="D31" s="207">
        <f>inputPrYr!D34</f>
        <v>11630</v>
      </c>
      <c r="E31" s="289">
        <f>IF(E30&lt;0,"See Tab E","")</f>
      </c>
    </row>
    <row r="32" spans="2:5" ht="15.75">
      <c r="B32" s="215"/>
      <c r="C32" s="239">
        <f>IF(C29&gt;C31,"See Tab A","")</f>
      </c>
      <c r="D32" s="239">
        <f>IF(D29&gt;D31,"See Tab C","")</f>
      </c>
      <c r="E32" s="87"/>
    </row>
    <row r="33" spans="2:5" ht="15.75">
      <c r="B33" s="215"/>
      <c r="C33" s="239">
        <f>IF(C30&lt;0,"See Tab B","")</f>
      </c>
      <c r="D33" s="239">
        <f>IF(D30&lt;0,"See Tab D","")</f>
      </c>
      <c r="E33" s="87"/>
    </row>
    <row r="34" spans="2:5" ht="15.75">
      <c r="B34" s="29"/>
      <c r="C34" s="87"/>
      <c r="D34" s="87"/>
      <c r="E34" s="87"/>
    </row>
    <row r="35" spans="2:5" ht="15.75">
      <c r="B35" s="28" t="s">
        <v>48</v>
      </c>
      <c r="C35" s="241"/>
      <c r="D35" s="241"/>
      <c r="E35" s="241"/>
    </row>
    <row r="36" spans="2:5" ht="15.75">
      <c r="B36" s="29"/>
      <c r="C36" s="240" t="str">
        <f aca="true" t="shared" si="0" ref="C36:E37">C5</f>
        <v>Prior Year </v>
      </c>
      <c r="D36" s="153" t="str">
        <f t="shared" si="0"/>
        <v>Current Year </v>
      </c>
      <c r="E36" s="153" t="str">
        <f t="shared" si="0"/>
        <v>Proposed Budget </v>
      </c>
    </row>
    <row r="37" spans="2:5" ht="15.75">
      <c r="B37" s="291" t="str">
        <f>inputPrYr!B35</f>
        <v>Tipton F.D.  # 2 Spec. Equip.</v>
      </c>
      <c r="C37" s="236" t="str">
        <f t="shared" si="0"/>
        <v>Actual for 2012</v>
      </c>
      <c r="D37" s="236" t="str">
        <f t="shared" si="0"/>
        <v>Estimate for 2013</v>
      </c>
      <c r="E37" s="228" t="str">
        <f t="shared" si="0"/>
        <v>Year for 2014</v>
      </c>
    </row>
    <row r="38" spans="2:5" ht="15.75">
      <c r="B38" s="90" t="s">
        <v>143</v>
      </c>
      <c r="C38" s="54">
        <v>2818</v>
      </c>
      <c r="D38" s="193">
        <f>C61</f>
        <v>7818</v>
      </c>
      <c r="E38" s="193">
        <f>D61</f>
        <v>6000</v>
      </c>
    </row>
    <row r="39" spans="2:5" ht="15.75">
      <c r="B39" s="90" t="s">
        <v>145</v>
      </c>
      <c r="C39" s="51"/>
      <c r="D39" s="51"/>
      <c r="E39" s="51"/>
    </row>
    <row r="40" spans="2:5" ht="15.75">
      <c r="B40" s="237" t="s">
        <v>281</v>
      </c>
      <c r="C40" s="54">
        <v>5000</v>
      </c>
      <c r="D40" s="54"/>
      <c r="E40" s="54"/>
    </row>
    <row r="41" spans="2:5" ht="15.75">
      <c r="B41" s="237"/>
      <c r="C41" s="54"/>
      <c r="D41" s="54"/>
      <c r="E41" s="54"/>
    </row>
    <row r="42" spans="2:5" ht="15.75">
      <c r="B42" s="237"/>
      <c r="C42" s="54"/>
      <c r="D42" s="54"/>
      <c r="E42" s="54"/>
    </row>
    <row r="43" spans="2:5" ht="15.75">
      <c r="B43" s="232" t="s">
        <v>53</v>
      </c>
      <c r="C43" s="54"/>
      <c r="D43" s="54"/>
      <c r="E43" s="54"/>
    </row>
    <row r="44" spans="2:5" ht="15.75">
      <c r="B44" s="233" t="s">
        <v>21</v>
      </c>
      <c r="C44" s="54"/>
      <c r="D44" s="230"/>
      <c r="E44" s="230"/>
    </row>
    <row r="45" spans="2:5" ht="15.75">
      <c r="B45" s="233" t="s">
        <v>211</v>
      </c>
      <c r="C45" s="290">
        <f>IF(C46*0.1&lt;C44,"Exceed 10% Rule","")</f>
      </c>
      <c r="D45" s="234">
        <f>IF(D46*0.1&lt;D44,"Exceed 10% Rule","")</f>
      </c>
      <c r="E45" s="234">
        <f>IF(E46*0.1&lt;E44,"Exceed 10% Rule","")</f>
      </c>
    </row>
    <row r="46" spans="2:5" ht="15.75">
      <c r="B46" s="235" t="s">
        <v>54</v>
      </c>
      <c r="C46" s="249">
        <f>SUM(C40:C44)</f>
        <v>5000</v>
      </c>
      <c r="D46" s="249">
        <f>SUM(D40:D44)</f>
        <v>0</v>
      </c>
      <c r="E46" s="249">
        <f>SUM(E40:E44)</f>
        <v>0</v>
      </c>
    </row>
    <row r="47" spans="2:5" ht="15.75">
      <c r="B47" s="235" t="s">
        <v>55</v>
      </c>
      <c r="C47" s="249">
        <f>C38+C46</f>
        <v>7818</v>
      </c>
      <c r="D47" s="249">
        <f>D38+D46</f>
        <v>7818</v>
      </c>
      <c r="E47" s="249">
        <f>E38+E46</f>
        <v>6000</v>
      </c>
    </row>
    <row r="48" spans="2:5" ht="15.75">
      <c r="B48" s="90" t="s">
        <v>57</v>
      </c>
      <c r="C48" s="193"/>
      <c r="D48" s="193"/>
      <c r="E48" s="193"/>
    </row>
    <row r="49" spans="2:5" ht="15.75">
      <c r="B49" s="237" t="s">
        <v>273</v>
      </c>
      <c r="C49" s="54"/>
      <c r="D49" s="54">
        <v>1818</v>
      </c>
      <c r="E49" s="54">
        <v>6000</v>
      </c>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7"/>
      <c r="C56" s="54"/>
      <c r="D56" s="54"/>
      <c r="E56" s="54"/>
    </row>
    <row r="57" spans="2:5" ht="15.75">
      <c r="B57" s="237"/>
      <c r="C57" s="54"/>
      <c r="D57" s="54"/>
      <c r="E57" s="54"/>
    </row>
    <row r="58" spans="2:5" ht="15.75">
      <c r="B58" s="233" t="s">
        <v>21</v>
      </c>
      <c r="C58" s="54"/>
      <c r="D58" s="230"/>
      <c r="E58" s="230"/>
    </row>
    <row r="59" spans="2:5" ht="15.75">
      <c r="B59" s="233" t="s">
        <v>210</v>
      </c>
      <c r="C59" s="290">
        <f>IF(C60*0.1&lt;C58,"Exceed 10% Rule","")</f>
      </c>
      <c r="D59" s="234">
        <f>IF(D60*0.1&lt;D58,"Exceed 10% Rule","")</f>
      </c>
      <c r="E59" s="234">
        <f>IF(E60*0.1&lt;E58,"Exceed 10% Rule","")</f>
      </c>
    </row>
    <row r="60" spans="2:5" ht="15.75">
      <c r="B60" s="235" t="s">
        <v>58</v>
      </c>
      <c r="C60" s="249">
        <f>SUM(C49:C58)</f>
        <v>0</v>
      </c>
      <c r="D60" s="249">
        <f>SUM(D49:D58)</f>
        <v>1818</v>
      </c>
      <c r="E60" s="249">
        <f>SUM(E49:E58)</f>
        <v>6000</v>
      </c>
    </row>
    <row r="61" spans="2:5" ht="15.75">
      <c r="B61" s="90" t="s">
        <v>144</v>
      </c>
      <c r="C61" s="62">
        <f>C47-C60</f>
        <v>7818</v>
      </c>
      <c r="D61" s="62">
        <f>D47-D60</f>
        <v>6000</v>
      </c>
      <c r="E61" s="62">
        <f>E47-E60</f>
        <v>0</v>
      </c>
    </row>
    <row r="62" spans="2:5" ht="15.75">
      <c r="B62" s="215" t="str">
        <f>CONCATENATE("",E$1-2,"/",E$1-1," Budget Authority Amount:")</f>
        <v>2012/2013 Budget Authority Amount:</v>
      </c>
      <c r="C62" s="207">
        <f>inputOth!B44</f>
        <v>1818</v>
      </c>
      <c r="D62" s="207">
        <f>inputPrYr!D35</f>
        <v>1818</v>
      </c>
      <c r="E62" s="288">
        <f>IF(E61&lt;0,"See Tab E","")</f>
      </c>
    </row>
    <row r="63" spans="2:5" ht="15.75">
      <c r="B63" s="215"/>
      <c r="C63" s="239">
        <f>IF(C60&gt;C62,"See Tab A","")</f>
      </c>
      <c r="D63" s="239">
        <f>IF(D60&gt;D62,"See Tab C","")</f>
      </c>
      <c r="E63" s="29"/>
    </row>
    <row r="64" spans="2:5" ht="15.75">
      <c r="B64" s="215"/>
      <c r="C64" s="239">
        <f>IF(C61&lt;0,"See Tab B","")</f>
      </c>
      <c r="D64" s="239">
        <f>IF(D61&lt;0,"See Tab D","")</f>
      </c>
      <c r="E64" s="29"/>
    </row>
    <row r="65" spans="2:5" ht="15.75">
      <c r="B65" s="29"/>
      <c r="C65" s="29"/>
      <c r="D65" s="29"/>
      <c r="E65" s="29"/>
    </row>
    <row r="66" spans="2:5" ht="15.75">
      <c r="B66" s="215" t="s">
        <v>62</v>
      </c>
      <c r="C66" s="248">
        <v>10</v>
      </c>
      <c r="D66" s="29"/>
      <c r="E66" s="29"/>
    </row>
  </sheetData>
  <sheetProtection/>
  <conditionalFormatting sqref="C27">
    <cfRule type="cellIs" priority="7" dxfId="82" operator="greaterThan" stopIfTrue="1">
      <formula>$C$29*0.1</formula>
    </cfRule>
  </conditionalFormatting>
  <conditionalFormatting sqref="D27">
    <cfRule type="cellIs" priority="8" dxfId="82" operator="greaterThan" stopIfTrue="1">
      <formula>$D$29*0.1</formula>
    </cfRule>
  </conditionalFormatting>
  <conditionalFormatting sqref="E27">
    <cfRule type="cellIs" priority="9" dxfId="82" operator="greaterThan" stopIfTrue="1">
      <formula>$E$29*0.1</formula>
    </cfRule>
  </conditionalFormatting>
  <conditionalFormatting sqref="C13">
    <cfRule type="cellIs" priority="10" dxfId="82" operator="greaterThan" stopIfTrue="1">
      <formula>$C$15*0.1</formula>
    </cfRule>
  </conditionalFormatting>
  <conditionalFormatting sqref="D13">
    <cfRule type="cellIs" priority="11" dxfId="82" operator="greaterThan" stopIfTrue="1">
      <formula>$D$15*0.1</formula>
    </cfRule>
  </conditionalFormatting>
  <conditionalFormatting sqref="E13">
    <cfRule type="cellIs" priority="12" dxfId="82" operator="greaterThan" stopIfTrue="1">
      <formula>$E$15*0.1</formula>
    </cfRule>
  </conditionalFormatting>
  <conditionalFormatting sqref="C44">
    <cfRule type="cellIs" priority="13" dxfId="82" operator="greaterThan" stopIfTrue="1">
      <formula>$C$46*0.1</formula>
    </cfRule>
  </conditionalFormatting>
  <conditionalFormatting sqref="D44">
    <cfRule type="cellIs" priority="14" dxfId="82" operator="greaterThan" stopIfTrue="1">
      <formula>$D$46*0.1</formula>
    </cfRule>
  </conditionalFormatting>
  <conditionalFormatting sqref="E44">
    <cfRule type="cellIs" priority="15" dxfId="82" operator="greaterThan" stopIfTrue="1">
      <formula>$E$46*0.1</formula>
    </cfRule>
  </conditionalFormatting>
  <conditionalFormatting sqref="C58">
    <cfRule type="cellIs" priority="16" dxfId="82" operator="greaterThan" stopIfTrue="1">
      <formula>$C$60*0.1</formula>
    </cfRule>
  </conditionalFormatting>
  <conditionalFormatting sqref="D58">
    <cfRule type="cellIs" priority="17" dxfId="82" operator="greaterThan" stopIfTrue="1">
      <formula>$D$60*0.1</formula>
    </cfRule>
  </conditionalFormatting>
  <conditionalFormatting sqref="E58">
    <cfRule type="cellIs" priority="18" dxfId="82"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view="pageBreakPreview" zoomScale="98" zoomScaleSheetLayoutView="98" zoomScalePageLayoutView="0" workbookViewId="0" topLeftCell="A48">
      <selection activeCell="C67" sqref="C67"/>
    </sheetView>
  </sheetViews>
  <sheetFormatPr defaultColWidth="8.796875" defaultRowHeight="15"/>
  <cols>
    <col min="1" max="1" width="2.3984375" style="26" customWidth="1"/>
    <col min="2" max="2" width="31.09765625" style="26" customWidth="1"/>
    <col min="3" max="4" width="15.796875" style="26" customWidth="1"/>
    <col min="5" max="5" width="16.09765625" style="26" customWidth="1"/>
    <col min="6" max="16384" width="8.8984375" style="26" customWidth="1"/>
  </cols>
  <sheetData>
    <row r="1" spans="2:5" ht="15.75">
      <c r="B1" s="155" t="str">
        <f>(inputPrYr!C2)</f>
        <v>MITCHELL COUNTY</v>
      </c>
      <c r="C1" s="29"/>
      <c r="D1" s="29"/>
      <c r="E1" s="214">
        <f>inputPrYr!C4</f>
        <v>2014</v>
      </c>
    </row>
    <row r="2" spans="2:5" ht="15.75">
      <c r="B2" s="29"/>
      <c r="C2" s="29"/>
      <c r="D2" s="29"/>
      <c r="E2" s="167"/>
    </row>
    <row r="3" spans="2:5" ht="15.75">
      <c r="B3" s="94" t="s">
        <v>107</v>
      </c>
      <c r="C3" s="242"/>
      <c r="D3" s="242"/>
      <c r="E3" s="243"/>
    </row>
    <row r="4" spans="2:5" ht="15.75">
      <c r="B4" s="29"/>
      <c r="C4" s="241"/>
      <c r="D4" s="241"/>
      <c r="E4" s="241"/>
    </row>
    <row r="5" spans="2:5" ht="15.75">
      <c r="B5" s="28" t="s">
        <v>48</v>
      </c>
      <c r="C5" s="384" t="s">
        <v>242</v>
      </c>
      <c r="D5" s="385" t="s">
        <v>243</v>
      </c>
      <c r="E5" s="153" t="s">
        <v>244</v>
      </c>
    </row>
    <row r="6" spans="2:5" ht="15.75">
      <c r="B6" s="292" t="str">
        <f>inputPrYr!B36</f>
        <v>Solomon Rapids F.D.  # 3 Spec. Equip.</v>
      </c>
      <c r="C6" s="278" t="s">
        <v>276</v>
      </c>
      <c r="D6" s="278" t="s">
        <v>277</v>
      </c>
      <c r="E6" s="228" t="s">
        <v>278</v>
      </c>
    </row>
    <row r="7" spans="2:5" ht="15.75">
      <c r="B7" s="90" t="s">
        <v>143</v>
      </c>
      <c r="C7" s="54">
        <v>53022</v>
      </c>
      <c r="D7" s="193">
        <f>C30</f>
        <v>9125</v>
      </c>
      <c r="E7" s="193">
        <f>D30</f>
        <v>11125</v>
      </c>
    </row>
    <row r="8" spans="2:5" ht="15.75">
      <c r="B8" s="244" t="s">
        <v>145</v>
      </c>
      <c r="C8" s="51"/>
      <c r="D8" s="51"/>
      <c r="E8" s="51"/>
    </row>
    <row r="9" spans="2:5" ht="15.75">
      <c r="B9" s="237" t="s">
        <v>275</v>
      </c>
      <c r="C9" s="54"/>
      <c r="D9" s="54">
        <v>7000</v>
      </c>
      <c r="E9" s="54">
        <v>7000</v>
      </c>
    </row>
    <row r="10" spans="2:5" ht="15.75">
      <c r="B10" s="237"/>
      <c r="C10" s="54"/>
      <c r="D10" s="54"/>
      <c r="E10" s="54"/>
    </row>
    <row r="11" spans="2:5" ht="15.75">
      <c r="B11" s="237"/>
      <c r="C11" s="54"/>
      <c r="D11" s="54"/>
      <c r="E11" s="54"/>
    </row>
    <row r="12" spans="2:5" ht="15.75">
      <c r="B12" s="232" t="s">
        <v>53</v>
      </c>
      <c r="C12" s="54"/>
      <c r="D12" s="54"/>
      <c r="E12" s="54"/>
    </row>
    <row r="13" spans="2:5" ht="15.75">
      <c r="B13" s="233" t="s">
        <v>21</v>
      </c>
      <c r="C13" s="54"/>
      <c r="D13" s="230"/>
      <c r="E13" s="230"/>
    </row>
    <row r="14" spans="2:5" ht="15.75">
      <c r="B14" s="233" t="s">
        <v>211</v>
      </c>
      <c r="C14" s="290">
        <f>IF(C15*0.1&lt;C13,"Exceed 10% Rule","")</f>
      </c>
      <c r="D14" s="234">
        <f>IF(D15*0.1&lt;D13,"Exceed 10% Rule","")</f>
      </c>
      <c r="E14" s="234">
        <f>IF(E15*0.1&lt;E13,"Exceed 10% Rule","")</f>
      </c>
    </row>
    <row r="15" spans="2:5" ht="15.75">
      <c r="B15" s="235" t="s">
        <v>54</v>
      </c>
      <c r="C15" s="249">
        <f>SUM(C9:C13)</f>
        <v>0</v>
      </c>
      <c r="D15" s="249">
        <f>SUM(D9:D13)</f>
        <v>7000</v>
      </c>
      <c r="E15" s="249">
        <f>SUM(E9:E13)</f>
        <v>7000</v>
      </c>
    </row>
    <row r="16" spans="2:5" ht="15.75">
      <c r="B16" s="235" t="s">
        <v>55</v>
      </c>
      <c r="C16" s="249">
        <f>C15+C7</f>
        <v>53022</v>
      </c>
      <c r="D16" s="249">
        <f>D15+D7</f>
        <v>16125</v>
      </c>
      <c r="E16" s="249">
        <f>E15+E7</f>
        <v>18125</v>
      </c>
    </row>
    <row r="17" spans="2:5" ht="15.75">
      <c r="B17" s="90" t="s">
        <v>57</v>
      </c>
      <c r="C17" s="193"/>
      <c r="D17" s="193"/>
      <c r="E17" s="193"/>
    </row>
    <row r="18" spans="2:5" ht="15.75">
      <c r="B18" s="237" t="s">
        <v>273</v>
      </c>
      <c r="C18" s="54">
        <v>43897</v>
      </c>
      <c r="D18" s="54">
        <v>5000</v>
      </c>
      <c r="E18" s="54">
        <v>18125</v>
      </c>
    </row>
    <row r="19" spans="2:5" ht="15.75">
      <c r="B19" s="237"/>
      <c r="C19" s="54"/>
      <c r="D19" s="54"/>
      <c r="E19" s="54"/>
    </row>
    <row r="20" spans="2:5" ht="15.75">
      <c r="B20" s="237"/>
      <c r="C20" s="54"/>
      <c r="D20" s="54"/>
      <c r="E20" s="54"/>
    </row>
    <row r="21" spans="2:5" ht="15.75">
      <c r="B21" s="237"/>
      <c r="C21" s="54"/>
      <c r="D21" s="54"/>
      <c r="E21" s="54"/>
    </row>
    <row r="22" spans="2:5" ht="15.75">
      <c r="B22" s="237"/>
      <c r="C22" s="54"/>
      <c r="D22" s="54"/>
      <c r="E22" s="54"/>
    </row>
    <row r="23" spans="2:5" ht="15.75">
      <c r="B23" s="237"/>
      <c r="C23" s="54"/>
      <c r="D23" s="54"/>
      <c r="E23" s="54"/>
    </row>
    <row r="24" spans="2:5" ht="15.75">
      <c r="B24" s="237"/>
      <c r="C24" s="54"/>
      <c r="D24" s="54"/>
      <c r="E24" s="54"/>
    </row>
    <row r="25" spans="2:5" ht="15.75">
      <c r="B25" s="237"/>
      <c r="C25" s="54"/>
      <c r="D25" s="54"/>
      <c r="E25" s="54"/>
    </row>
    <row r="26" spans="2:5" ht="15.75">
      <c r="B26" s="237"/>
      <c r="C26" s="54"/>
      <c r="D26" s="54"/>
      <c r="E26" s="54"/>
    </row>
    <row r="27" spans="2:5" ht="15.75">
      <c r="B27" s="233" t="s">
        <v>21</v>
      </c>
      <c r="C27" s="54"/>
      <c r="D27" s="230"/>
      <c r="E27" s="230"/>
    </row>
    <row r="28" spans="2:5" ht="15.75">
      <c r="B28" s="233" t="s">
        <v>210</v>
      </c>
      <c r="C28" s="290">
        <f>IF(C29*0.1&lt;C27,"Exceed 10% Rule","")</f>
      </c>
      <c r="D28" s="234">
        <f>IF(D29*0.1&lt;D27,"Exceed 10% Rule","")</f>
      </c>
      <c r="E28" s="234">
        <f>IF(E29*0.1&lt;E27,"Exceed 10% Rule","")</f>
      </c>
    </row>
    <row r="29" spans="2:5" ht="15.75">
      <c r="B29" s="235" t="s">
        <v>58</v>
      </c>
      <c r="C29" s="249">
        <f>SUM(C18:C27)</f>
        <v>43897</v>
      </c>
      <c r="D29" s="249">
        <f>SUM(D18:D27)</f>
        <v>5000</v>
      </c>
      <c r="E29" s="249">
        <f>SUM(E18:E27)</f>
        <v>18125</v>
      </c>
    </row>
    <row r="30" spans="2:5" ht="15.75">
      <c r="B30" s="90" t="s">
        <v>144</v>
      </c>
      <c r="C30" s="62">
        <f>C16-C29</f>
        <v>9125</v>
      </c>
      <c r="D30" s="62">
        <f>D16-D29</f>
        <v>11125</v>
      </c>
      <c r="E30" s="62">
        <f>E16-E29</f>
        <v>0</v>
      </c>
    </row>
    <row r="31" spans="2:5" ht="15.75">
      <c r="B31" s="215" t="str">
        <f>CONCATENATE("",E$1-2,"/",E$1-1," Budget Authority Amount:")</f>
        <v>2012/2013 Budget Authority Amount:</v>
      </c>
      <c r="C31" s="207">
        <f>inputOth!B45</f>
        <v>66252</v>
      </c>
      <c r="D31" s="207">
        <f>inputPrYr!D36</f>
        <v>51022</v>
      </c>
      <c r="E31" s="289">
        <f>IF(E30&lt;0,"See Tab E","")</f>
      </c>
    </row>
    <row r="32" spans="2:5" ht="15.75">
      <c r="B32" s="215"/>
      <c r="C32" s="239">
        <f>IF(C29&gt;C31,"See Tab A","")</f>
      </c>
      <c r="D32" s="239">
        <f>IF(D29&gt;D31,"See Tab C","")</f>
      </c>
      <c r="E32" s="87"/>
    </row>
    <row r="33" spans="2:5" ht="15.75">
      <c r="B33" s="215"/>
      <c r="C33" s="239">
        <f>IF(C30&lt;0,"See Tab B","")</f>
      </c>
      <c r="D33" s="239">
        <f>IF(D30&lt;0,"See Tab D","")</f>
      </c>
      <c r="E33" s="87"/>
    </row>
    <row r="34" spans="2:5" ht="15.75">
      <c r="B34" s="29"/>
      <c r="C34" s="87"/>
      <c r="D34" s="87"/>
      <c r="E34" s="87"/>
    </row>
    <row r="35" spans="2:5" ht="15.75">
      <c r="B35" s="28" t="s">
        <v>48</v>
      </c>
      <c r="C35" s="241"/>
      <c r="D35" s="241"/>
      <c r="E35" s="241"/>
    </row>
    <row r="36" spans="2:5" ht="15.75">
      <c r="B36" s="29"/>
      <c r="C36" s="240" t="str">
        <f aca="true" t="shared" si="0" ref="C36:E37">C5</f>
        <v>Prior Year </v>
      </c>
      <c r="D36" s="153" t="str">
        <f t="shared" si="0"/>
        <v>Current Year </v>
      </c>
      <c r="E36" s="153" t="str">
        <f t="shared" si="0"/>
        <v>Proposed Budget </v>
      </c>
    </row>
    <row r="37" spans="2:5" ht="15.75">
      <c r="B37" s="291">
        <f>inputPrYr!B37</f>
        <v>0</v>
      </c>
      <c r="C37" s="236" t="str">
        <f t="shared" si="0"/>
        <v>Actual for 2012</v>
      </c>
      <c r="D37" s="236" t="str">
        <f t="shared" si="0"/>
        <v>Estimate for 2013</v>
      </c>
      <c r="E37" s="236" t="str">
        <f t="shared" si="0"/>
        <v>Year for 2014</v>
      </c>
    </row>
    <row r="38" spans="2:5" ht="15.75">
      <c r="B38" s="90" t="s">
        <v>143</v>
      </c>
      <c r="C38" s="54"/>
      <c r="D38" s="193">
        <f>C61</f>
        <v>0</v>
      </c>
      <c r="E38" s="193">
        <f>D61</f>
        <v>0</v>
      </c>
    </row>
    <row r="39" spans="2:5" ht="15.75">
      <c r="B39" s="90" t="s">
        <v>145</v>
      </c>
      <c r="C39" s="51"/>
      <c r="D39" s="51"/>
      <c r="E39" s="51"/>
    </row>
    <row r="40" spans="2:5" ht="15.75">
      <c r="B40" s="237"/>
      <c r="C40" s="54"/>
      <c r="D40" s="54"/>
      <c r="E40" s="54"/>
    </row>
    <row r="41" spans="2:5" ht="15.75">
      <c r="B41" s="237"/>
      <c r="C41" s="54"/>
      <c r="D41" s="54"/>
      <c r="E41" s="54"/>
    </row>
    <row r="42" spans="2:5" ht="15.75">
      <c r="B42" s="237"/>
      <c r="C42" s="54"/>
      <c r="D42" s="54"/>
      <c r="E42" s="54"/>
    </row>
    <row r="43" spans="2:5" ht="15.75">
      <c r="B43" s="232" t="s">
        <v>53</v>
      </c>
      <c r="C43" s="54"/>
      <c r="D43" s="54"/>
      <c r="E43" s="54"/>
    </row>
    <row r="44" spans="2:5" ht="15.75">
      <c r="B44" s="233" t="s">
        <v>21</v>
      </c>
      <c r="C44" s="54"/>
      <c r="D44" s="230"/>
      <c r="E44" s="230"/>
    </row>
    <row r="45" spans="2:5" ht="15.75">
      <c r="B45" s="233" t="s">
        <v>211</v>
      </c>
      <c r="C45" s="290">
        <f>IF(C46*0.1&lt;C44,"Exceed 10% Rule","")</f>
      </c>
      <c r="D45" s="234">
        <f>IF(D46*0.1&lt;D44,"Exceed 10% Rule","")</f>
      </c>
      <c r="E45" s="234">
        <f>IF(E46*0.1&lt;E44,"Exceed 10% Rule","")</f>
      </c>
    </row>
    <row r="46" spans="2:5" ht="15.75">
      <c r="B46" s="235" t="s">
        <v>54</v>
      </c>
      <c r="C46" s="249">
        <f>SUM(C40:C44)</f>
        <v>0</v>
      </c>
      <c r="D46" s="249">
        <f>SUM(D40:D44)</f>
        <v>0</v>
      </c>
      <c r="E46" s="249">
        <f>SUM(E40:E44)</f>
        <v>0</v>
      </c>
    </row>
    <row r="47" spans="2:5" ht="15.75">
      <c r="B47" s="235" t="s">
        <v>55</v>
      </c>
      <c r="C47" s="249">
        <f>C38+C46</f>
        <v>0</v>
      </c>
      <c r="D47" s="249">
        <f>D38+D46</f>
        <v>0</v>
      </c>
      <c r="E47" s="249">
        <f>E38+E46</f>
        <v>0</v>
      </c>
    </row>
    <row r="48" spans="2:5" ht="15.75">
      <c r="B48" s="90" t="s">
        <v>57</v>
      </c>
      <c r="C48" s="193"/>
      <c r="D48" s="193"/>
      <c r="E48" s="193"/>
    </row>
    <row r="49" spans="2:5" ht="15.75">
      <c r="B49" s="237"/>
      <c r="C49" s="54"/>
      <c r="D49" s="54"/>
      <c r="E49" s="54"/>
    </row>
    <row r="50" spans="2:5" ht="15.75">
      <c r="B50" s="237"/>
      <c r="C50" s="54"/>
      <c r="D50" s="54"/>
      <c r="E50" s="54"/>
    </row>
    <row r="51" spans="2:5" ht="15.75">
      <c r="B51" s="237"/>
      <c r="C51" s="54"/>
      <c r="D51" s="54"/>
      <c r="E51" s="54"/>
    </row>
    <row r="52" spans="2:5" ht="15.75">
      <c r="B52" s="237"/>
      <c r="C52" s="54"/>
      <c r="D52" s="54"/>
      <c r="E52" s="54"/>
    </row>
    <row r="53" spans="2:5" ht="15.75">
      <c r="B53" s="237"/>
      <c r="C53" s="54"/>
      <c r="D53" s="54"/>
      <c r="E53" s="54"/>
    </row>
    <row r="54" spans="2:5" ht="15.75">
      <c r="B54" s="237"/>
      <c r="C54" s="54"/>
      <c r="D54" s="54"/>
      <c r="E54" s="54"/>
    </row>
    <row r="55" spans="2:5" ht="15.75">
      <c r="B55" s="237"/>
      <c r="C55" s="54"/>
      <c r="D55" s="54"/>
      <c r="E55" s="54"/>
    </row>
    <row r="56" spans="2:5" ht="15.75">
      <c r="B56" s="237"/>
      <c r="C56" s="54"/>
      <c r="D56" s="54"/>
      <c r="E56" s="54"/>
    </row>
    <row r="57" spans="2:5" ht="15.75">
      <c r="B57" s="237"/>
      <c r="C57" s="54"/>
      <c r="D57" s="54"/>
      <c r="E57" s="54"/>
    </row>
    <row r="58" spans="2:5" ht="15.75">
      <c r="B58" s="233" t="s">
        <v>21</v>
      </c>
      <c r="C58" s="54"/>
      <c r="D58" s="230"/>
      <c r="E58" s="230"/>
    </row>
    <row r="59" spans="2:5" ht="15.75">
      <c r="B59" s="233" t="s">
        <v>210</v>
      </c>
      <c r="C59" s="290">
        <f>IF(C60*0.1&lt;C58,"Exceed 10% Rule","")</f>
      </c>
      <c r="D59" s="234">
        <f>IF(D60*0.1&lt;D58,"Exceed 10% Rule","")</f>
      </c>
      <c r="E59" s="234">
        <f>IF(E60*0.1&lt;E58,"Exceed 10% Rule","")</f>
      </c>
    </row>
    <row r="60" spans="2:5" ht="15.75">
      <c r="B60" s="235" t="s">
        <v>58</v>
      </c>
      <c r="C60" s="249">
        <f>SUM(C49:C58)</f>
        <v>0</v>
      </c>
      <c r="D60" s="249">
        <f>SUM(D49:D58)</f>
        <v>0</v>
      </c>
      <c r="E60" s="249">
        <f>SUM(E49:E58)</f>
        <v>0</v>
      </c>
    </row>
    <row r="61" spans="2:5" ht="15.75">
      <c r="B61" s="90" t="s">
        <v>144</v>
      </c>
      <c r="C61" s="62">
        <f>C47-C60</f>
        <v>0</v>
      </c>
      <c r="D61" s="62">
        <f>D47-D60</f>
        <v>0</v>
      </c>
      <c r="E61" s="62">
        <f>E47-E60</f>
        <v>0</v>
      </c>
    </row>
    <row r="62" spans="2:5" ht="15.75">
      <c r="B62" s="215" t="str">
        <f>CONCATENATE("",E$1-2,"/",E$1-1," Budget Authority Amount:")</f>
        <v>2012/2013 Budget Authority Amount:</v>
      </c>
      <c r="C62" s="207">
        <f>inputOth!B46</f>
        <v>0</v>
      </c>
      <c r="D62" s="207">
        <f>inputPrYr!D37</f>
        <v>0</v>
      </c>
      <c r="E62" s="288">
        <f>IF(E61&lt;0,"See Tab E","")</f>
      </c>
    </row>
    <row r="63" spans="2:5" ht="15.75">
      <c r="B63" s="215"/>
      <c r="C63" s="239">
        <f>IF(C60&gt;C62,"See Tab A","")</f>
      </c>
      <c r="D63" s="239">
        <f>IF(D60&gt;D62,"See Tab C","")</f>
      </c>
      <c r="E63" s="29"/>
    </row>
    <row r="64" spans="2:5" ht="15.75">
      <c r="B64" s="215"/>
      <c r="C64" s="239">
        <f>IF(C61&lt;0,"See Tab B","")</f>
      </c>
      <c r="D64" s="239">
        <f>IF(D61&lt;0,"See Tab D","")</f>
      </c>
      <c r="E64" s="29"/>
    </row>
    <row r="65" spans="2:5" ht="15.75">
      <c r="B65" s="29"/>
      <c r="C65" s="29"/>
      <c r="D65" s="29"/>
      <c r="E65" s="29"/>
    </row>
    <row r="66" spans="2:5" ht="15.75">
      <c r="B66" s="215" t="s">
        <v>62</v>
      </c>
      <c r="C66" s="248">
        <v>11</v>
      </c>
      <c r="D66" s="29"/>
      <c r="E66" s="29"/>
    </row>
  </sheetData>
  <sheetProtection/>
  <conditionalFormatting sqref="C27">
    <cfRule type="cellIs" priority="3" dxfId="82" operator="greaterThan" stopIfTrue="1">
      <formula>$C$29*0.1</formula>
    </cfRule>
  </conditionalFormatting>
  <conditionalFormatting sqref="D27">
    <cfRule type="cellIs" priority="4" dxfId="82" operator="greaterThan" stopIfTrue="1">
      <formula>$D$29*0.1</formula>
    </cfRule>
  </conditionalFormatting>
  <conditionalFormatting sqref="E27">
    <cfRule type="cellIs" priority="5" dxfId="82" operator="greaterThan" stopIfTrue="1">
      <formula>$E$29*0.1</formula>
    </cfRule>
  </conditionalFormatting>
  <conditionalFormatting sqref="C13">
    <cfRule type="cellIs" priority="6" dxfId="82" operator="greaterThan" stopIfTrue="1">
      <formula>$C$15*0.1</formula>
    </cfRule>
  </conditionalFormatting>
  <conditionalFormatting sqref="D13">
    <cfRule type="cellIs" priority="7" dxfId="82" operator="greaterThan" stopIfTrue="1">
      <formula>$D$15*0.1</formula>
    </cfRule>
  </conditionalFormatting>
  <conditionalFormatting sqref="E13">
    <cfRule type="cellIs" priority="8" dxfId="82" operator="greaterThan" stopIfTrue="1">
      <formula>$E$15*0.1</formula>
    </cfRule>
  </conditionalFormatting>
  <conditionalFormatting sqref="C44">
    <cfRule type="cellIs" priority="9" dxfId="82" operator="greaterThan" stopIfTrue="1">
      <formula>$C$46*0.1</formula>
    </cfRule>
  </conditionalFormatting>
  <conditionalFormatting sqref="D44">
    <cfRule type="cellIs" priority="10" dxfId="82" operator="greaterThan" stopIfTrue="1">
      <formula>$D$46*0.1</formula>
    </cfRule>
  </conditionalFormatting>
  <conditionalFormatting sqref="E44">
    <cfRule type="cellIs" priority="11" dxfId="82" operator="greaterThan" stopIfTrue="1">
      <formula>$E$46*0.1</formula>
    </cfRule>
  </conditionalFormatting>
  <conditionalFormatting sqref="C58">
    <cfRule type="cellIs" priority="12" dxfId="82" operator="greaterThan" stopIfTrue="1">
      <formula>$C$60*0.1</formula>
    </cfRule>
  </conditionalFormatting>
  <conditionalFormatting sqref="D58">
    <cfRule type="cellIs" priority="13" dxfId="82" operator="greaterThan" stopIfTrue="1">
      <formula>$D$60*0.1</formula>
    </cfRule>
  </conditionalFormatting>
  <conditionalFormatting sqref="E58">
    <cfRule type="cellIs" priority="14" dxfId="82"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8"/>
  <sheetViews>
    <sheetView tabSelected="1" view="pageBreakPreview" zoomScale="102" zoomScaleSheetLayoutView="102" zoomScalePageLayoutView="0" workbookViewId="0" topLeftCell="A37">
      <selection activeCell="A55" sqref="A55:B55"/>
    </sheetView>
  </sheetViews>
  <sheetFormatPr defaultColWidth="8.796875" defaultRowHeight="15"/>
  <cols>
    <col min="1" max="1" width="23.09765625" style="26" customWidth="1"/>
    <col min="2" max="2" width="15.69921875" style="26" customWidth="1"/>
    <col min="3" max="3" width="9.3984375" style="26" customWidth="1"/>
    <col min="4" max="4" width="16.796875" style="26" customWidth="1"/>
    <col min="5" max="5" width="9.796875" style="26" customWidth="1"/>
    <col min="6" max="6" width="15.796875" style="26" customWidth="1"/>
    <col min="7" max="7" width="13.69921875" style="26" customWidth="1"/>
    <col min="8" max="8" width="9.796875" style="26" customWidth="1"/>
    <col min="9" max="9" width="8.8984375" style="26" customWidth="1"/>
    <col min="10" max="10" width="12.3984375" style="26" customWidth="1"/>
    <col min="11" max="11" width="12.296875" style="26" customWidth="1"/>
    <col min="12" max="12" width="10.59765625" style="26" customWidth="1"/>
    <col min="13" max="13" width="12.09765625" style="26" customWidth="1"/>
    <col min="14" max="16384" width="8.8984375" style="26" customWidth="1"/>
  </cols>
  <sheetData>
    <row r="1" spans="1:8" ht="15.75">
      <c r="A1" s="29"/>
      <c r="B1" s="29"/>
      <c r="C1" s="29"/>
      <c r="D1" s="29"/>
      <c r="E1" s="29"/>
      <c r="F1" s="29"/>
      <c r="G1" s="29"/>
      <c r="H1" s="214">
        <f>inputPrYr!C4</f>
        <v>2014</v>
      </c>
    </row>
    <row r="2" spans="1:9" ht="15.75">
      <c r="A2" s="415" t="s">
        <v>104</v>
      </c>
      <c r="B2" s="415"/>
      <c r="C2" s="415"/>
      <c r="D2" s="415"/>
      <c r="E2" s="415"/>
      <c r="F2" s="415"/>
      <c r="G2" s="415"/>
      <c r="H2" s="415"/>
      <c r="I2" s="250"/>
    </row>
    <row r="3" spans="1:8" ht="15.75">
      <c r="A3" s="29"/>
      <c r="B3" s="29"/>
      <c r="C3" s="29"/>
      <c r="D3" s="29"/>
      <c r="E3" s="29"/>
      <c r="F3" s="29"/>
      <c r="G3" s="29"/>
      <c r="H3" s="29"/>
    </row>
    <row r="4" spans="1:8" ht="15.75">
      <c r="A4" s="463" t="s">
        <v>128</v>
      </c>
      <c r="B4" s="463"/>
      <c r="C4" s="463"/>
      <c r="D4" s="463"/>
      <c r="E4" s="463"/>
      <c r="F4" s="463"/>
      <c r="G4" s="463"/>
      <c r="H4" s="463"/>
    </row>
    <row r="5" spans="1:8" ht="15.75">
      <c r="A5" s="464" t="str">
        <f>inputPrYr!C2</f>
        <v>MITCHELL COUNTY</v>
      </c>
      <c r="B5" s="464"/>
      <c r="C5" s="464"/>
      <c r="D5" s="464"/>
      <c r="E5" s="464"/>
      <c r="F5" s="464"/>
      <c r="G5" s="464"/>
      <c r="H5" s="464"/>
    </row>
    <row r="6" spans="1:8" ht="15.75">
      <c r="A6" s="465" t="str">
        <f>CONCATENATE("will meet on ",inputBudSum!B5," at ",inputBudSum!B7," at ",inputBudSum!B9," for the purpose of hearing and")</f>
        <v>will meet on August 19, 2013 at 8:45 A.M. at Mitchell County Commissioner's Room for the purpose of hearing and</v>
      </c>
      <c r="B6" s="465"/>
      <c r="C6" s="465"/>
      <c r="D6" s="465"/>
      <c r="E6" s="465"/>
      <c r="F6" s="465"/>
      <c r="G6" s="465"/>
      <c r="H6" s="465"/>
    </row>
    <row r="7" spans="1:8" ht="15.75">
      <c r="A7" s="463" t="s">
        <v>199</v>
      </c>
      <c r="B7" s="463"/>
      <c r="C7" s="463"/>
      <c r="D7" s="463"/>
      <c r="E7" s="463"/>
      <c r="F7" s="463"/>
      <c r="G7" s="463"/>
      <c r="H7" s="463"/>
    </row>
    <row r="8" spans="1:8" ht="15.75">
      <c r="A8" s="465" t="str">
        <f>CONCATENATE("Detailed budget information is available at ",inputBudSum!B12," and will be available at this hearing.")</f>
        <v>Detailed budget information is available at Mitchell County Clerk's Office and will be available at this hearing.</v>
      </c>
      <c r="B8" s="465"/>
      <c r="C8" s="465"/>
      <c r="D8" s="465"/>
      <c r="E8" s="465"/>
      <c r="F8" s="465"/>
      <c r="G8" s="465"/>
      <c r="H8" s="465"/>
    </row>
    <row r="9" spans="1:8" ht="15.75">
      <c r="A9" s="36" t="s">
        <v>105</v>
      </c>
      <c r="B9" s="37"/>
      <c r="C9" s="37"/>
      <c r="D9" s="149"/>
      <c r="E9" s="37"/>
      <c r="F9" s="37"/>
      <c r="G9" s="37"/>
      <c r="H9" s="37"/>
    </row>
    <row r="10" spans="1:8" ht="15.75">
      <c r="A10" s="463" t="str">
        <f>CONCATENATE("Proposed Budget ",H1," Expenditures and Amount of ",H1-1," Ad Valorem Tax establish the maximum limits of the ",H1," budget.")</f>
        <v>Proposed Budget 2014 Expenditures and Amount of 2013 Ad Valorem Tax establish the maximum limits of the 2014 budget.</v>
      </c>
      <c r="B10" s="463"/>
      <c r="C10" s="463"/>
      <c r="D10" s="463"/>
      <c r="E10" s="463"/>
      <c r="F10" s="463"/>
      <c r="G10" s="463"/>
      <c r="H10" s="463"/>
    </row>
    <row r="11" spans="1:8" ht="15.75">
      <c r="A11" s="463" t="s">
        <v>149</v>
      </c>
      <c r="B11" s="463"/>
      <c r="C11" s="463"/>
      <c r="D11" s="463"/>
      <c r="E11" s="463"/>
      <c r="F11" s="463"/>
      <c r="G11" s="463"/>
      <c r="H11" s="463"/>
    </row>
    <row r="12" spans="1:9" ht="15.75">
      <c r="A12" s="29"/>
      <c r="B12" s="29"/>
      <c r="C12" s="29"/>
      <c r="D12" s="29"/>
      <c r="E12" s="29"/>
      <c r="F12" s="29"/>
      <c r="G12" s="29"/>
      <c r="H12" s="29"/>
      <c r="I12" s="85"/>
    </row>
    <row r="13" spans="1:8" ht="15.75">
      <c r="A13" s="29"/>
      <c r="B13" s="251" t="str">
        <f>CONCATENATE("Prior Year Actual for ",H1-2,"")</f>
        <v>Prior Year Actual for 2012</v>
      </c>
      <c r="C13" s="152"/>
      <c r="D13" s="252" t="str">
        <f>CONCATENATE("Current Year Estimate for ",H1-1,"")</f>
        <v>Current Year Estimate for 2013</v>
      </c>
      <c r="E13" s="152"/>
      <c r="F13" s="150" t="str">
        <f>CONCATENATE("Proposed Budget Year for ",H1,"")</f>
        <v>Proposed Budget Year for 2014</v>
      </c>
      <c r="G13" s="151"/>
      <c r="H13" s="152"/>
    </row>
    <row r="14" spans="1:8" ht="18.75" customHeight="1">
      <c r="A14" s="28"/>
      <c r="B14" s="240"/>
      <c r="C14" s="153" t="s">
        <v>64</v>
      </c>
      <c r="D14" s="153"/>
      <c r="E14" s="153" t="s">
        <v>64</v>
      </c>
      <c r="F14" s="302" t="s">
        <v>208</v>
      </c>
      <c r="G14" s="472" t="str">
        <f>CONCATENATE("Amount of ",H1-1,"       Ad Valorem Tax")</f>
        <v>Amount of 2013       Ad Valorem Tax</v>
      </c>
      <c r="H14" s="153" t="s">
        <v>65</v>
      </c>
    </row>
    <row r="15" spans="1:8" ht="15.75">
      <c r="A15" s="55" t="s">
        <v>66</v>
      </c>
      <c r="B15" s="191" t="s">
        <v>36</v>
      </c>
      <c r="C15" s="191" t="s">
        <v>67</v>
      </c>
      <c r="D15" s="191" t="s">
        <v>36</v>
      </c>
      <c r="E15" s="191" t="s">
        <v>67</v>
      </c>
      <c r="F15" s="303" t="s">
        <v>209</v>
      </c>
      <c r="G15" s="422"/>
      <c r="H15" s="191" t="s">
        <v>67</v>
      </c>
    </row>
    <row r="16" spans="1:8" ht="15.75">
      <c r="A16" s="69" t="str">
        <f>IF((inputPrYr!$B16&gt;" "),(inputPrYr!$B16),"  ")</f>
        <v>MCO # 1</v>
      </c>
      <c r="B16" s="69">
        <f>IF('MCO-Tipton'!$C$29&lt;&gt;0,'MCO-Tipton'!$C$29,"  ")</f>
        <v>127328</v>
      </c>
      <c r="C16" s="253">
        <f>IF(inputPrYr!D76&lt;&gt;0,inputPrYr!D76,"  ")</f>
        <v>5.876</v>
      </c>
      <c r="D16" s="69">
        <f>IF('MCO-Tipton'!$D$29&lt;&gt;0,'MCO-Tipton'!$D$29,"  ")</f>
        <v>57000</v>
      </c>
      <c r="E16" s="253">
        <f>IF(inputPrYr!F16&lt;&gt;0,inputPrYr!F16,"  ")</f>
        <v>5.295</v>
      </c>
      <c r="F16" s="69">
        <f>IF('MCO-Tipton'!$E$29&lt;&gt;0,'MCO-Tipton'!$E$29,"  ")</f>
        <v>57000</v>
      </c>
      <c r="G16" s="69">
        <f>IF('MCO-Tipton'!$E$36&lt;&gt;0,'MCO-Tipton'!$E$36,"  ")</f>
        <v>44132</v>
      </c>
      <c r="H16" s="253">
        <f>IF('MCO-Tipton'!E36&lt;&gt;0,ROUND(G16/$B$51*1000,3),"  ")</f>
        <v>5.293</v>
      </c>
    </row>
    <row r="17" spans="1:8" ht="15.75">
      <c r="A17" s="69" t="str">
        <f>IF((inputPrYr!$B17&gt;" "),(inputPrYr!$B17),"  ")</f>
        <v>Tipton # 2</v>
      </c>
      <c r="B17" s="69">
        <f>IF('MCO-Tipton'!$C$63&lt;&gt;0,'MCO-Tipton'!$C$63,"  ")</f>
        <v>12725</v>
      </c>
      <c r="C17" s="253">
        <f>IF(inputPrYr!D77&lt;&gt;0,inputPrYr!D77,"  ")</f>
        <v>3.337</v>
      </c>
      <c r="D17" s="69">
        <f>IF('MCO-Tipton'!$D$63&lt;&gt;0,'MCO-Tipton'!$D$63,"  ")</f>
        <v>24000</v>
      </c>
      <c r="E17" s="253">
        <f>IF(inputPrYr!F17&lt;&gt;0,inputPrYr!F17,"  ")</f>
        <v>3.305</v>
      </c>
      <c r="F17" s="69">
        <f>IF('MCO-Tipton'!$E$63&lt;&gt;0,'MCO-Tipton'!$E$63,"  ")</f>
        <v>24000</v>
      </c>
      <c r="G17" s="69">
        <f>IF('MCO-Tipton'!$E$70&lt;&gt;0,'MCO-Tipton'!$E$70,"  ")</f>
        <v>9619</v>
      </c>
      <c r="H17" s="253">
        <f>IF('MCO-Tipton'!E70&lt;&gt;0,ROUND(G17/$C$51*1000,3),"  ")</f>
        <v>1.578</v>
      </c>
    </row>
    <row r="18" spans="1:8" ht="15.75">
      <c r="A18" s="69" t="str">
        <f>IF((inputPrYr!$B18&gt;" "),(inputPrYr!$B18),"  ")</f>
        <v>Solomon Rapids F.D. # 3</v>
      </c>
      <c r="B18" s="69">
        <f>IF(SolomonRap!$C$32&lt;&gt;0,SolomonRap!$C$32,"  ")</f>
        <v>53953</v>
      </c>
      <c r="C18" s="253">
        <f>IF(inputPrYr!D78&lt;&gt;0,inputPrYr!D78,"  ")</f>
        <v>2.886</v>
      </c>
      <c r="D18" s="69">
        <f>IF(SolomonRap!$D$32&lt;&gt;0,SolomonRap!$D$32,"  ")</f>
        <v>57000</v>
      </c>
      <c r="E18" s="253">
        <f>IF(inputPrYr!F18&lt;&gt;0,inputPrYr!F18,"  ")</f>
        <v>2.502</v>
      </c>
      <c r="F18" s="69">
        <f>IF(SolomonRap!$E$32&lt;&gt;0,SolomonRap!$E$32,"  ")</f>
        <v>57000</v>
      </c>
      <c r="G18" s="69">
        <f>IF(SolomonRap!$E$39&lt;&gt;0,SolomonRap!$E$39,"  ")</f>
        <v>42129</v>
      </c>
      <c r="H18" s="253">
        <f>IF(SolomonRap!$E$39&lt;&gt;0,ROUND(G18/$D$51*1000,3),"  ")</f>
        <v>2.06</v>
      </c>
    </row>
    <row r="19" spans="1:8" ht="15.75">
      <c r="A19" s="69" t="str">
        <f>IF((inputPrYr!$B19&gt;" "),(inputPrYr!$B19),"  ")</f>
        <v>  </v>
      </c>
      <c r="B19" s="69" t="str">
        <f>IF(SolomonRap!$C$64&lt;&gt;0,SolomonRap!$C$64,"  ")</f>
        <v>  </v>
      </c>
      <c r="C19" s="253" t="str">
        <f>IF(inputPrYr!D79&lt;&gt;0,inputPrYr!D79,"  ")</f>
        <v>  </v>
      </c>
      <c r="D19" s="69" t="str">
        <f>IF(SolomonRap!$D$64&lt;&gt;0,SolomonRap!$D$64,"  ")</f>
        <v>  </v>
      </c>
      <c r="E19" s="253" t="str">
        <f>IF(inputPrYr!F19&lt;&gt;0,inputPrYr!F19,"  ")</f>
        <v>  </v>
      </c>
      <c r="F19" s="69"/>
      <c r="G19" s="69"/>
      <c r="H19" s="253"/>
    </row>
    <row r="20" spans="1:8" ht="15.75">
      <c r="A20" s="69"/>
      <c r="B20" s="69"/>
      <c r="C20" s="253"/>
      <c r="D20" s="69"/>
      <c r="E20" s="253"/>
      <c r="F20" s="69"/>
      <c r="G20" s="69"/>
      <c r="H20" s="253"/>
    </row>
    <row r="21" spans="1:8" ht="15.75">
      <c r="A21" s="69"/>
      <c r="B21" s="69"/>
      <c r="C21" s="253"/>
      <c r="D21" s="69"/>
      <c r="E21" s="253"/>
      <c r="F21" s="69"/>
      <c r="G21" s="69"/>
      <c r="H21" s="253"/>
    </row>
    <row r="22" spans="1:8" ht="15.75">
      <c r="A22" s="69" t="str">
        <f>IF((inputPrYr!$B34&gt;" "),(inputPrYr!$B34),"  ")</f>
        <v>MCO F.D.  # 1 Spec. Equip.</v>
      </c>
      <c r="B22" s="69">
        <f>IF('MCOEq-TipEq'!$C$29&lt;&gt;0,'MCOEq-TipEq'!$C$29,"  ")</f>
        <v>4594</v>
      </c>
      <c r="C22" s="51"/>
      <c r="D22" s="69">
        <f>IF('MCOEq-TipEq'!$D$29&lt;&gt;0,'MCOEq-TipEq'!$D$29,"  ")</f>
        <v>6000</v>
      </c>
      <c r="E22" s="51"/>
      <c r="F22" s="69">
        <f>IF('MCOEq-TipEq'!$E$29&lt;&gt;0,'MCOEq-TipEq'!$E$29,"  ")</f>
        <v>17682</v>
      </c>
      <c r="G22" s="69"/>
      <c r="H22" s="48"/>
    </row>
    <row r="23" spans="1:8" ht="15.75">
      <c r="A23" s="69" t="str">
        <f>IF((inputPrYr!$B35&gt;" "),(inputPrYr!$B35),"  ")</f>
        <v>Tipton F.D.  # 2 Spec. Equip.</v>
      </c>
      <c r="B23" s="69" t="str">
        <f>IF('MCOEq-TipEq'!$C$60&lt;&gt;0,'MCOEq-TipEq'!$C$60,"  ")</f>
        <v>  </v>
      </c>
      <c r="C23" s="51"/>
      <c r="D23" s="69">
        <f>IF('MCOEq-TipEq'!$D$60&lt;&gt;0,'MCOEq-TipEq'!$D$60,"  ")</f>
        <v>1818</v>
      </c>
      <c r="E23" s="51"/>
      <c r="F23" s="69">
        <f>IF('MCOEq-TipEq'!$E$60&lt;&gt;0,'MCOEq-TipEq'!$E$60,"  ")</f>
        <v>6000</v>
      </c>
      <c r="G23" s="69"/>
      <c r="H23" s="48"/>
    </row>
    <row r="24" spans="1:8" ht="15.75">
      <c r="A24" s="69" t="str">
        <f>IF((inputPrYr!$B36&gt;" "),(inputPrYr!$B36),"  ")</f>
        <v>Solomon Rapids F.D.  # 3 Spec. Equip.</v>
      </c>
      <c r="B24" s="69">
        <f>IF(SolomonRapEq!$C$29&lt;&gt;0,SolomonRapEq!$C$29,"  ")</f>
        <v>43897</v>
      </c>
      <c r="C24" s="51"/>
      <c r="D24" s="69">
        <f>IF(SolomonRapEq!$D$29&lt;&gt;0,SolomonRapEq!$D$29,"  ")</f>
        <v>5000</v>
      </c>
      <c r="E24" s="51"/>
      <c r="F24" s="69">
        <f>IF(SolomonRapEq!$E$29&lt;&gt;0,SolomonRapEq!$E$29,"  ")</f>
        <v>18125</v>
      </c>
      <c r="G24" s="69"/>
      <c r="H24" s="48"/>
    </row>
    <row r="25" spans="1:8" ht="15.75">
      <c r="A25" s="69" t="str">
        <f>IF((inputPrYr!$B37&gt;" "),(inputPrYr!$B37),"  ")</f>
        <v>  </v>
      </c>
      <c r="B25" s="69" t="str">
        <f>IF(SolomonRapEq!$C$60&lt;&gt;0,SolomonRapEq!$C$60,"  ")</f>
        <v>  </v>
      </c>
      <c r="C25" s="51"/>
      <c r="D25" s="69" t="str">
        <f>IF(SolomonRapEq!$D$60&lt;&gt;0,SolomonRapEq!$D$60,"  ")</f>
        <v>  </v>
      </c>
      <c r="E25" s="51"/>
      <c r="F25" s="69" t="str">
        <f>IF(SolomonRapEq!$E$60&lt;&gt;0,SolomonRapEq!$E$60,"  ")</f>
        <v>  </v>
      </c>
      <c r="G25" s="69"/>
      <c r="H25" s="48"/>
    </row>
    <row r="26" spans="1:13" ht="15.75">
      <c r="A26" s="130" t="str">
        <f>IF((inputPrYr!$B48&gt;"  "),(#REF!),"  ")</f>
        <v>  </v>
      </c>
      <c r="B26" s="69"/>
      <c r="C26" s="51"/>
      <c r="D26" s="69"/>
      <c r="E26" s="51"/>
      <c r="F26" s="69"/>
      <c r="G26" s="69"/>
      <c r="H26" s="48"/>
      <c r="J26" s="311" t="str">
        <f>CONCATENATE("",H1," Tax Levy Fund Expenditures Must Be")</f>
        <v>2014 Tax Levy Fund Expenditures Must Be</v>
      </c>
      <c r="K26" s="312"/>
      <c r="L26" s="312"/>
      <c r="M26" s="309"/>
    </row>
    <row r="27" spans="1:13" ht="15.75">
      <c r="A27" s="130" t="str">
        <f>IF((inputPrYr!$B54&gt;"  "),(#REF!),"  ")</f>
        <v>  </v>
      </c>
      <c r="B27" s="69"/>
      <c r="C27" s="51"/>
      <c r="D27" s="69"/>
      <c r="E27" s="51"/>
      <c r="F27" s="69"/>
      <c r="G27" s="69"/>
      <c r="H27" s="48"/>
      <c r="J27" s="311" t="e">
        <f>IF(M27&gt;0,"Increased By:","")</f>
        <v>#REF!</v>
      </c>
      <c r="K27" s="312"/>
      <c r="L27" s="312"/>
      <c r="M27" s="319" t="e">
        <f>IF(M34&lt;0,M34*-1,0)</f>
        <v>#REF!</v>
      </c>
    </row>
    <row r="28" spans="1:13" ht="15.75">
      <c r="A28" s="130" t="str">
        <f>IF((inputPrYr!$B60&gt;"  "),(#REF!),"  ")</f>
        <v>  </v>
      </c>
      <c r="B28" s="69"/>
      <c r="C28" s="51"/>
      <c r="D28" s="69"/>
      <c r="E28" s="51"/>
      <c r="F28" s="69"/>
      <c r="G28" s="69"/>
      <c r="H28" s="48"/>
      <c r="J28" s="320" t="e">
        <f>IF(M28&lt;0,"Reduced By:","")</f>
        <v>#REF!</v>
      </c>
      <c r="K28" s="321"/>
      <c r="L28" s="321"/>
      <c r="M28" s="322" t="e">
        <f>IF(M34&gt;0,M34*-1,0)</f>
        <v>#REF!</v>
      </c>
    </row>
    <row r="29" spans="1:13" ht="16.5" thickBot="1">
      <c r="A29" s="130" t="str">
        <f>IF((inputPrYr!$B66&gt;"  "),(#REF!),"  ")</f>
        <v>  </v>
      </c>
      <c r="B29" s="299"/>
      <c r="C29" s="298"/>
      <c r="D29" s="299"/>
      <c r="E29" s="298"/>
      <c r="F29" s="299"/>
      <c r="G29" s="299"/>
      <c r="H29" s="297"/>
      <c r="J29" s="315"/>
      <c r="K29" s="315"/>
      <c r="L29" s="315"/>
      <c r="M29" s="315"/>
    </row>
    <row r="30" spans="1:13" ht="15.75">
      <c r="A30" s="47" t="s">
        <v>47</v>
      </c>
      <c r="B30" s="301">
        <f>SUM(B16:B29)</f>
        <v>242497</v>
      </c>
      <c r="C30" s="300">
        <f>SUM(C16:C21)</f>
        <v>12.099</v>
      </c>
      <c r="D30" s="301">
        <f>SUM(D16:D29)</f>
        <v>150818</v>
      </c>
      <c r="E30" s="300">
        <f>SUM(E16:E21)</f>
        <v>11.102</v>
      </c>
      <c r="F30" s="301">
        <f>SUM(F16:F29)</f>
        <v>179807</v>
      </c>
      <c r="G30" s="301">
        <f>SUM(G16:G21)</f>
        <v>95880</v>
      </c>
      <c r="H30" s="300">
        <f>SUM(H16:H21)</f>
        <v>8.931000000000001</v>
      </c>
      <c r="J30" s="466" t="str">
        <f>CONCATENATE("Impact On Keeping The Same Mill Rate As For ",H1-1,"")</f>
        <v>Impact On Keeping The Same Mill Rate As For 2013</v>
      </c>
      <c r="K30" s="467"/>
      <c r="L30" s="467"/>
      <c r="M30" s="468"/>
    </row>
    <row r="31" spans="1:13" ht="15.75">
      <c r="A31" s="28" t="s">
        <v>68</v>
      </c>
      <c r="B31" s="254">
        <f>transfers!C29</f>
        <v>5000</v>
      </c>
      <c r="C31" s="255"/>
      <c r="D31" s="254">
        <f>transfers!D29</f>
        <v>11500</v>
      </c>
      <c r="E31" s="242"/>
      <c r="F31" s="254">
        <f>transfers!E29</f>
        <v>11500</v>
      </c>
      <c r="G31" s="29"/>
      <c r="H31" s="67"/>
      <c r="J31" s="308"/>
      <c r="K31" s="304"/>
      <c r="L31" s="304"/>
      <c r="M31" s="309"/>
    </row>
    <row r="32" spans="1:13" ht="16.5" thickBot="1">
      <c r="A32" s="28" t="s">
        <v>69</v>
      </c>
      <c r="B32" s="257">
        <f>B30-B31</f>
        <v>237497</v>
      </c>
      <c r="C32" s="29"/>
      <c r="D32" s="257">
        <f>D30-D31</f>
        <v>139318</v>
      </c>
      <c r="E32" s="255"/>
      <c r="F32" s="257">
        <f>F30-F31</f>
        <v>168307</v>
      </c>
      <c r="G32" s="29"/>
      <c r="H32" s="67"/>
      <c r="J32" s="308" t="str">
        <f>CONCATENATE("",H1," Ad Valorem Tax Revenue:")</f>
        <v>2014 Ad Valorem Tax Revenue:</v>
      </c>
      <c r="K32" s="304"/>
      <c r="L32" s="304"/>
      <c r="M32" s="305">
        <f>G30</f>
        <v>95880</v>
      </c>
    </row>
    <row r="33" spans="1:13" ht="16.5" thickTop="1">
      <c r="A33" s="28" t="s">
        <v>70</v>
      </c>
      <c r="B33" s="301">
        <f>inputPrYr!F92</f>
        <v>138155</v>
      </c>
      <c r="C33" s="29"/>
      <c r="D33" s="301">
        <f>inputPrYr!E32</f>
        <v>107558</v>
      </c>
      <c r="E33" s="29"/>
      <c r="F33" s="301">
        <f>G30</f>
        <v>95880</v>
      </c>
      <c r="G33" s="29"/>
      <c r="H33" s="67"/>
      <c r="J33" s="308" t="str">
        <f>CONCATENATE("",H1-1," Ad Valorem Tax Revenue:")</f>
        <v>2013 Ad Valorem Tax Revenue:</v>
      </c>
      <c r="K33" s="304"/>
      <c r="L33" s="304"/>
      <c r="M33" s="316" t="e">
        <f>ROUND(F34*#REF!/1000,0)</f>
        <v>#REF!</v>
      </c>
    </row>
    <row r="34" spans="1:13" ht="15.75">
      <c r="A34" s="28" t="s">
        <v>71</v>
      </c>
      <c r="B34" s="69">
        <f>inputPrYr!F93</f>
        <v>30142788</v>
      </c>
      <c r="C34" s="29"/>
      <c r="D34" s="69">
        <f>inputPrYr!F71</f>
        <v>31135536</v>
      </c>
      <c r="E34" s="29"/>
      <c r="F34" s="69">
        <f>SUM(B51:D51)</f>
        <v>34881127</v>
      </c>
      <c r="G34" s="29"/>
      <c r="H34" s="67"/>
      <c r="J34" s="313" t="s">
        <v>217</v>
      </c>
      <c r="K34" s="314"/>
      <c r="L34" s="314"/>
      <c r="M34" s="306" t="e">
        <f>SUM(M32-M33)</f>
        <v>#REF!</v>
      </c>
    </row>
    <row r="35" spans="1:13" ht="15.75">
      <c r="A35" s="29"/>
      <c r="B35" s="29"/>
      <c r="C35" s="29"/>
      <c r="D35" s="29"/>
      <c r="E35" s="29"/>
      <c r="F35" s="29"/>
      <c r="G35" s="29"/>
      <c r="H35" s="67"/>
      <c r="J35" s="307"/>
      <c r="K35" s="307"/>
      <c r="L35" s="307"/>
      <c r="M35" s="315"/>
    </row>
    <row r="36" spans="1:13" ht="15.75">
      <c r="A36" s="28" t="s">
        <v>72</v>
      </c>
      <c r="B36" s="29"/>
      <c r="C36" s="29"/>
      <c r="D36" s="29"/>
      <c r="E36" s="29"/>
      <c r="F36" s="29"/>
      <c r="G36" s="29"/>
      <c r="H36" s="79"/>
      <c r="J36" s="466" t="s">
        <v>218</v>
      </c>
      <c r="K36" s="469"/>
      <c r="L36" s="469"/>
      <c r="M36" s="470"/>
    </row>
    <row r="37" spans="1:13" ht="15.75">
      <c r="A37" s="28" t="s">
        <v>73</v>
      </c>
      <c r="B37" s="256">
        <f>H1-3</f>
        <v>2011</v>
      </c>
      <c r="C37" s="29"/>
      <c r="D37" s="256">
        <f>H1-2</f>
        <v>2012</v>
      </c>
      <c r="E37" s="29"/>
      <c r="F37" s="256">
        <f>H1-1</f>
        <v>2013</v>
      </c>
      <c r="G37" s="29"/>
      <c r="H37" s="79"/>
      <c r="J37" s="308"/>
      <c r="K37" s="304"/>
      <c r="L37" s="304"/>
      <c r="M37" s="309"/>
    </row>
    <row r="38" spans="1:13" ht="15.75">
      <c r="A38" s="28" t="s">
        <v>74</v>
      </c>
      <c r="B38" s="69">
        <f>inputPrYr!D97</f>
        <v>0</v>
      </c>
      <c r="C38" s="29"/>
      <c r="D38" s="69">
        <f>inputPrYr!E97</f>
        <v>0</v>
      </c>
      <c r="E38" s="29"/>
      <c r="F38" s="69">
        <f>debt!G19</f>
        <v>0</v>
      </c>
      <c r="G38" s="29"/>
      <c r="H38" s="79"/>
      <c r="J38" s="308" t="str">
        <f>CONCATENATE("Current ",H1," Estimated Mill Rate:")</f>
        <v>Current 2014 Estimated Mill Rate:</v>
      </c>
      <c r="K38" s="304"/>
      <c r="L38" s="304"/>
      <c r="M38" s="310">
        <f>H30</f>
        <v>8.931000000000001</v>
      </c>
    </row>
    <row r="39" spans="1:13" ht="15.75">
      <c r="A39" s="28" t="s">
        <v>75</v>
      </c>
      <c r="B39" s="69">
        <f>inputPrYr!D98</f>
        <v>0</v>
      </c>
      <c r="C39" s="29"/>
      <c r="D39" s="69">
        <f>inputPrYr!E98</f>
        <v>0</v>
      </c>
      <c r="E39" s="29"/>
      <c r="F39" s="69">
        <f>debt!G27</f>
        <v>0</v>
      </c>
      <c r="G39" s="29"/>
      <c r="H39" s="79"/>
      <c r="J39" s="308" t="str">
        <f>CONCATENATE("Desired ",H1," Mill Rate:")</f>
        <v>Desired 2014 Mill Rate:</v>
      </c>
      <c r="K39" s="304"/>
      <c r="L39" s="304"/>
      <c r="M39" s="317">
        <v>45</v>
      </c>
    </row>
    <row r="40" spans="1:13" ht="15.75">
      <c r="A40" s="28" t="s">
        <v>61</v>
      </c>
      <c r="B40" s="69">
        <f>inputPrYr!D99</f>
        <v>0</v>
      </c>
      <c r="C40" s="29"/>
      <c r="D40" s="69">
        <f>inputPrYr!E99</f>
        <v>0</v>
      </c>
      <c r="E40" s="29"/>
      <c r="F40" s="69">
        <f>debt!G36</f>
        <v>0</v>
      </c>
      <c r="G40" s="29"/>
      <c r="H40" s="79"/>
      <c r="J40" s="308" t="str">
        <f>CONCATENATE("",H1," Ad Valorem Tax:")</f>
        <v>2014 Ad Valorem Tax:</v>
      </c>
      <c r="K40" s="304"/>
      <c r="L40" s="304"/>
      <c r="M40" s="316">
        <f>ROUND(F34*M39/1000,0)</f>
        <v>1569651</v>
      </c>
    </row>
    <row r="41" spans="1:13" ht="15.75">
      <c r="A41" s="28" t="s">
        <v>150</v>
      </c>
      <c r="B41" s="69">
        <f>inputPrYr!D100</f>
        <v>96000</v>
      </c>
      <c r="C41" s="29"/>
      <c r="D41" s="69">
        <f>inputPrYr!E100</f>
        <v>86004</v>
      </c>
      <c r="E41" s="29"/>
      <c r="F41" s="69">
        <f>lpform!G37</f>
        <v>78234</v>
      </c>
      <c r="G41" s="29"/>
      <c r="H41" s="79"/>
      <c r="J41" s="313" t="str">
        <f>CONCATENATE("",H1," Tax Levy Fund Exp. Changed By:")</f>
        <v>2014 Tax Levy Fund Exp. Changed By:</v>
      </c>
      <c r="K41" s="314"/>
      <c r="L41" s="314"/>
      <c r="M41" s="306">
        <f>IF(M39=0,0,(M40-G30))</f>
        <v>1473771</v>
      </c>
    </row>
    <row r="42" spans="1:8" ht="16.5" thickBot="1">
      <c r="A42" s="28" t="s">
        <v>76</v>
      </c>
      <c r="B42" s="318">
        <f>SUM(B38:B41)</f>
        <v>96000</v>
      </c>
      <c r="C42" s="29"/>
      <c r="D42" s="318">
        <f>SUM(D38:D41)</f>
        <v>86004</v>
      </c>
      <c r="E42" s="29"/>
      <c r="F42" s="318">
        <f>SUM(F38:F41)</f>
        <v>78234</v>
      </c>
      <c r="G42" s="29"/>
      <c r="H42" s="79"/>
    </row>
    <row r="43" spans="1:8" ht="16.5" thickTop="1">
      <c r="A43" s="28" t="s">
        <v>77</v>
      </c>
      <c r="B43" s="29"/>
      <c r="C43" s="29"/>
      <c r="D43" s="29"/>
      <c r="E43" s="29"/>
      <c r="F43" s="29"/>
      <c r="G43" s="29"/>
      <c r="H43" s="79"/>
    </row>
    <row r="44" spans="1:8" ht="15.75">
      <c r="A44" s="28"/>
      <c r="B44" s="29"/>
      <c r="C44" s="29"/>
      <c r="D44" s="29"/>
      <c r="E44" s="29"/>
      <c r="F44" s="29"/>
      <c r="G44" s="29"/>
      <c r="H44" s="79"/>
    </row>
    <row r="45" spans="1:8" ht="15.75">
      <c r="A45" s="28"/>
      <c r="B45" s="56"/>
      <c r="C45" s="56"/>
      <c r="D45" s="56"/>
      <c r="E45" s="29"/>
      <c r="F45" s="29"/>
      <c r="G45" s="29"/>
      <c r="H45" s="79"/>
    </row>
    <row r="46" spans="1:8" ht="15.75">
      <c r="A46" s="407" t="s">
        <v>287</v>
      </c>
      <c r="B46" s="80" t="s">
        <v>288</v>
      </c>
      <c r="C46" s="80" t="s">
        <v>289</v>
      </c>
      <c r="D46" s="80" t="s">
        <v>290</v>
      </c>
      <c r="E46" s="32"/>
      <c r="F46" s="29"/>
      <c r="G46" s="29"/>
      <c r="H46" s="79"/>
    </row>
    <row r="47" spans="1:8" ht="15.75">
      <c r="A47" s="45" t="s">
        <v>291</v>
      </c>
      <c r="B47" s="408">
        <v>7163057</v>
      </c>
      <c r="C47" s="408">
        <v>4719738</v>
      </c>
      <c r="D47" s="408">
        <v>20446733</v>
      </c>
      <c r="E47" s="29"/>
      <c r="F47" s="29"/>
      <c r="G47" s="29"/>
      <c r="H47" s="79"/>
    </row>
    <row r="48" spans="1:8" ht="15.75">
      <c r="A48" s="45" t="s">
        <v>292</v>
      </c>
      <c r="B48" s="408">
        <v>894668</v>
      </c>
      <c r="C48" s="408"/>
      <c r="D48" s="408"/>
      <c r="E48" s="29"/>
      <c r="F48" s="29"/>
      <c r="G48" s="29"/>
      <c r="H48" s="79"/>
    </row>
    <row r="49" spans="1:8" ht="15.75">
      <c r="A49" s="45" t="s">
        <v>293</v>
      </c>
      <c r="B49" s="408">
        <v>280658</v>
      </c>
      <c r="C49" s="408"/>
      <c r="D49" s="408"/>
      <c r="E49" s="29"/>
      <c r="F49" s="29"/>
      <c r="G49" s="29"/>
      <c r="H49" s="79"/>
    </row>
    <row r="50" spans="1:8" ht="15.75">
      <c r="A50" s="45" t="s">
        <v>294</v>
      </c>
      <c r="B50" s="409"/>
      <c r="C50" s="409">
        <v>1376273</v>
      </c>
      <c r="D50" s="409"/>
      <c r="E50" s="29"/>
      <c r="F50" s="29"/>
      <c r="G50" s="29"/>
      <c r="H50" s="79"/>
    </row>
    <row r="51" spans="1:8" ht="16.5" thickBot="1">
      <c r="A51" s="28"/>
      <c r="B51" s="410">
        <f>SUM(B47:B50)</f>
        <v>8338383</v>
      </c>
      <c r="C51" s="410">
        <f>SUM(C47:C50)</f>
        <v>6096011</v>
      </c>
      <c r="D51" s="410">
        <f>SUM(D47:D50)</f>
        <v>20446733</v>
      </c>
      <c r="E51" s="29"/>
      <c r="F51" s="29"/>
      <c r="G51" s="29"/>
      <c r="H51" s="79"/>
    </row>
    <row r="52" spans="1:8" ht="16.5" thickTop="1">
      <c r="A52" s="28"/>
      <c r="B52" s="29"/>
      <c r="C52" s="29"/>
      <c r="D52" s="29"/>
      <c r="E52" s="29"/>
      <c r="F52" s="29"/>
      <c r="G52" s="29"/>
      <c r="H52" s="79"/>
    </row>
    <row r="53" spans="1:8" ht="15.75">
      <c r="A53" s="28"/>
      <c r="B53" s="29"/>
      <c r="C53" s="29"/>
      <c r="D53" s="29"/>
      <c r="E53" s="29"/>
      <c r="F53" s="29"/>
      <c r="G53" s="29"/>
      <c r="H53" s="79"/>
    </row>
    <row r="54" spans="1:8" ht="15.75">
      <c r="A54" s="29"/>
      <c r="B54" s="29"/>
      <c r="C54" s="29"/>
      <c r="D54" s="29"/>
      <c r="E54" s="29"/>
      <c r="F54" s="29"/>
      <c r="G54" s="29"/>
      <c r="H54" s="79"/>
    </row>
    <row r="55" spans="1:8" ht="15.75">
      <c r="A55" s="471" t="str">
        <f>inputBudSum!B3</f>
        <v>Chris Treaster</v>
      </c>
      <c r="B55" s="471"/>
      <c r="C55" s="29"/>
      <c r="D55" s="29"/>
      <c r="E55" s="29"/>
      <c r="F55" s="29"/>
      <c r="G55" s="29"/>
      <c r="H55" s="79"/>
    </row>
    <row r="56" spans="1:8" ht="15.75">
      <c r="A56" s="149" t="s">
        <v>78</v>
      </c>
      <c r="B56" s="37"/>
      <c r="C56" s="29"/>
      <c r="D56" s="29"/>
      <c r="E56" s="29"/>
      <c r="F56" s="29"/>
      <c r="G56" s="29"/>
      <c r="H56" s="79"/>
    </row>
    <row r="57" spans="1:8" ht="15.75">
      <c r="A57" s="29"/>
      <c r="B57" s="29"/>
      <c r="C57" s="29"/>
      <c r="D57" s="215" t="s">
        <v>56</v>
      </c>
      <c r="E57" s="258">
        <v>12</v>
      </c>
      <c r="F57" s="29"/>
      <c r="G57" s="29"/>
      <c r="H57" s="79"/>
    </row>
    <row r="58" spans="1:8" ht="15.75">
      <c r="A58" s="85"/>
      <c r="D58" s="85"/>
      <c r="E58" s="85"/>
      <c r="F58" s="85"/>
      <c r="G58" s="85"/>
      <c r="H58" s="85"/>
    </row>
  </sheetData>
  <sheetProtection/>
  <mergeCells count="12">
    <mergeCell ref="J30:M30"/>
    <mergeCell ref="J36:M36"/>
    <mergeCell ref="A55:B55"/>
    <mergeCell ref="G14:G15"/>
    <mergeCell ref="A2:H2"/>
    <mergeCell ref="A4:H4"/>
    <mergeCell ref="A5:H5"/>
    <mergeCell ref="A6:H6"/>
    <mergeCell ref="A10:H10"/>
    <mergeCell ref="A11:H11"/>
    <mergeCell ref="A7:H7"/>
    <mergeCell ref="A8:H8"/>
  </mergeCells>
  <printOptions/>
  <pageMargins left="1.12" right="0.5" top="0.74" bottom="0.34" header="0.5" footer="0"/>
  <pageSetup blackAndWhite="1" fitToHeight="1" fitToWidth="1" horizontalDpi="120" verticalDpi="120" orientation="portrait" scale="60"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dimension ref="A1:H57"/>
  <sheetViews>
    <sheetView view="pageBreakPreview" zoomScale="98" zoomScaleSheetLayoutView="98" zoomScalePageLayoutView="0" workbookViewId="0" topLeftCell="A35">
      <selection activeCell="E56" sqref="E56"/>
    </sheetView>
  </sheetViews>
  <sheetFormatPr defaultColWidth="9.796875" defaultRowHeight="15"/>
  <cols>
    <col min="1" max="16384" width="9.796875" style="9" customWidth="1"/>
  </cols>
  <sheetData>
    <row r="1" spans="1:8" ht="11.25" customHeight="1">
      <c r="A1" s="5"/>
      <c r="B1" s="6"/>
      <c r="C1" s="6"/>
      <c r="D1" s="6"/>
      <c r="E1" s="6"/>
      <c r="F1" s="6"/>
      <c r="G1" s="7"/>
      <c r="H1" s="8"/>
    </row>
    <row r="2" spans="1:8" ht="15.75" customHeight="1">
      <c r="A2" s="474" t="s">
        <v>151</v>
      </c>
      <c r="B2" s="474"/>
      <c r="C2" s="474"/>
      <c r="D2" s="474"/>
      <c r="E2" s="474"/>
      <c r="F2" s="474"/>
      <c r="G2" s="474"/>
      <c r="H2" s="474"/>
    </row>
    <row r="3" spans="1:8" ht="9" customHeight="1">
      <c r="A3" s="5"/>
      <c r="B3" s="20"/>
      <c r="C3" s="20"/>
      <c r="D3" s="20"/>
      <c r="E3" s="20"/>
      <c r="F3" s="20"/>
      <c r="G3" s="10"/>
      <c r="H3" s="21"/>
    </row>
    <row r="4" spans="1:8" ht="15.75" customHeight="1">
      <c r="A4" s="475" t="s">
        <v>152</v>
      </c>
      <c r="B4" s="475"/>
      <c r="C4" s="475"/>
      <c r="D4" s="475"/>
      <c r="E4" s="475"/>
      <c r="F4" s="475"/>
      <c r="G4" s="475"/>
      <c r="H4" s="475"/>
    </row>
    <row r="5" spans="1:8" ht="9" customHeight="1">
      <c r="A5" s="11"/>
      <c r="B5" s="20"/>
      <c r="C5" s="20"/>
      <c r="D5" s="20"/>
      <c r="E5" s="20"/>
      <c r="F5" s="20"/>
      <c r="G5" s="20"/>
      <c r="H5" s="21"/>
    </row>
    <row r="6" spans="1:8" ht="15.75" customHeight="1">
      <c r="A6" s="12" t="str">
        <f>CONCATENATE("A resolution expressing the property taxation policy of the Board of ",(inputPrYr!C2)," Commissioners")</f>
        <v>A resolution expressing the property taxation policy of the Board of MITCHELL COUNTY Commissioners</v>
      </c>
      <c r="B6" s="20"/>
      <c r="C6" s="20"/>
      <c r="D6" s="20"/>
      <c r="E6" s="20"/>
      <c r="F6" s="20"/>
      <c r="G6" s="20"/>
      <c r="H6" s="21"/>
    </row>
    <row r="7" spans="1:8" ht="15.75" customHeight="1">
      <c r="A7" s="12" t="str">
        <f>CONCATENATE("with respect to financing the ",inputPrYr!C4," annual budget for ",(inputPrYr!E2)," .")</f>
        <v>with respect to financing the 2014 annual budget for  .</v>
      </c>
      <c r="B7" s="20"/>
      <c r="C7" s="20"/>
      <c r="D7" s="20"/>
      <c r="E7" s="20"/>
      <c r="F7" s="20"/>
      <c r="G7" s="20"/>
      <c r="H7" s="21"/>
    </row>
    <row r="8" spans="1:8" ht="9" customHeight="1">
      <c r="A8" s="5"/>
      <c r="B8" s="20"/>
      <c r="C8" s="20"/>
      <c r="D8" s="20"/>
      <c r="E8" s="20"/>
      <c r="F8" s="20"/>
      <c r="G8" s="20"/>
      <c r="H8" s="21"/>
    </row>
    <row r="9" spans="1:8" ht="15.75" customHeight="1">
      <c r="A9" s="13" t="str">
        <f>CONCATENATE("Whereas, K.S.A. 79-2925b provides that a resolution be adopted if property taxes levied to finance the ",inputPrYr!C4,"")</f>
        <v>Whereas, K.S.A. 79-2925b provides that a resolution be adopted if property taxes levied to finance the 2014</v>
      </c>
      <c r="B9" s="20"/>
      <c r="C9" s="20"/>
      <c r="D9" s="20"/>
      <c r="E9" s="20"/>
      <c r="F9" s="20"/>
      <c r="G9" s="20"/>
      <c r="H9" s="21"/>
    </row>
    <row r="10" spans="1:8" ht="15.75" customHeight="1">
      <c r="A10" s="477" t="str">
        <f>CONCATENATE("",(inputPrYr!C2)," budget exceed the amount levied to finance the ",inputPrYr!C4-1," ",(inputPrYr!C2)," ",A16,)</f>
        <v>MITCHELL COUNTY budget exceed the amount levied to finance the 2013 MITCHELL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477"/>
      <c r="C10" s="477"/>
      <c r="D10" s="477"/>
      <c r="E10" s="477"/>
      <c r="F10" s="477"/>
      <c r="G10" s="477"/>
      <c r="H10" s="477"/>
    </row>
    <row r="11" spans="1:8" ht="15.75" customHeight="1">
      <c r="A11" s="477"/>
      <c r="B11" s="477"/>
      <c r="C11" s="477"/>
      <c r="D11" s="477"/>
      <c r="E11" s="477"/>
      <c r="F11" s="477"/>
      <c r="G11" s="477"/>
      <c r="H11" s="477"/>
    </row>
    <row r="12" spans="1:8" ht="15.75" customHeight="1">
      <c r="A12" s="477"/>
      <c r="B12" s="477"/>
      <c r="C12" s="477"/>
      <c r="D12" s="477"/>
      <c r="E12" s="477"/>
      <c r="F12" s="477"/>
      <c r="G12" s="477"/>
      <c r="H12" s="477"/>
    </row>
    <row r="13" spans="1:8" ht="15.75" customHeight="1">
      <c r="A13" s="477"/>
      <c r="B13" s="477"/>
      <c r="C13" s="477"/>
      <c r="D13" s="477"/>
      <c r="E13" s="477"/>
      <c r="F13" s="477"/>
      <c r="G13" s="477"/>
      <c r="H13" s="477"/>
    </row>
    <row r="14" spans="1:8" ht="15.75" customHeight="1">
      <c r="A14" s="477"/>
      <c r="B14" s="477"/>
      <c r="C14" s="477"/>
      <c r="D14" s="477"/>
      <c r="E14" s="477"/>
      <c r="F14" s="477"/>
      <c r="G14" s="477"/>
      <c r="H14" s="477"/>
    </row>
    <row r="15" spans="1:8" ht="15.75" customHeight="1">
      <c r="A15" s="477"/>
      <c r="B15" s="477"/>
      <c r="C15" s="477"/>
      <c r="D15" s="477"/>
      <c r="E15" s="477"/>
      <c r="F15" s="477"/>
      <c r="G15" s="477"/>
      <c r="H15" s="477"/>
    </row>
    <row r="16" spans="1:8" ht="9" customHeight="1">
      <c r="A16" s="22" t="s">
        <v>165</v>
      </c>
      <c r="B16" s="20"/>
      <c r="C16" s="20"/>
      <c r="D16" s="20"/>
      <c r="E16" s="20"/>
      <c r="F16" s="20"/>
      <c r="G16" s="20"/>
      <c r="H16" s="21" t="s">
        <v>63</v>
      </c>
    </row>
    <row r="17" spans="1:8" ht="15.75" customHeight="1">
      <c r="A17" s="477" t="s">
        <v>153</v>
      </c>
      <c r="B17" s="477"/>
      <c r="C17" s="477"/>
      <c r="D17" s="477"/>
      <c r="E17" s="477"/>
      <c r="F17" s="477"/>
      <c r="G17" s="477"/>
      <c r="H17" s="477"/>
    </row>
    <row r="18" spans="1:8" ht="15.75" customHeight="1">
      <c r="A18" s="477"/>
      <c r="B18" s="477"/>
      <c r="C18" s="477"/>
      <c r="D18" s="477"/>
      <c r="E18" s="477"/>
      <c r="F18" s="477"/>
      <c r="G18" s="477"/>
      <c r="H18" s="477"/>
    </row>
    <row r="19" spans="1:8" ht="9" customHeight="1">
      <c r="A19" s="11"/>
      <c r="B19" s="20"/>
      <c r="C19" s="20"/>
      <c r="D19" s="20"/>
      <c r="E19" s="20"/>
      <c r="F19" s="20"/>
      <c r="G19" s="20"/>
      <c r="H19" s="21"/>
    </row>
    <row r="20" spans="1:8" ht="15.75" customHeight="1">
      <c r="A20" s="477" t="str">
        <f>CONCATENATE("Whereas, ",(inputPrYr!C2)," provides the essential services to protect the health, safety, and well being of the citizens of the county; and")</f>
        <v>Whereas, MITCHELL COUNTY provides the essential services to protect the health, safety, and well being of the citizens of the county; and</v>
      </c>
      <c r="B20" s="477"/>
      <c r="C20" s="477"/>
      <c r="D20" s="477"/>
      <c r="E20" s="477"/>
      <c r="F20" s="477"/>
      <c r="G20" s="477"/>
      <c r="H20" s="477"/>
    </row>
    <row r="21" spans="1:8" ht="15.75" customHeight="1">
      <c r="A21" s="477"/>
      <c r="B21" s="477"/>
      <c r="C21" s="477"/>
      <c r="D21" s="477"/>
      <c r="E21" s="477"/>
      <c r="F21" s="477"/>
      <c r="G21" s="477"/>
      <c r="H21" s="477"/>
    </row>
    <row r="22" spans="1:8" ht="9" customHeight="1">
      <c r="A22" s="14"/>
      <c r="B22" s="20"/>
      <c r="C22" s="20"/>
      <c r="D22" s="20"/>
      <c r="E22" s="20"/>
      <c r="F22" s="20"/>
      <c r="G22" s="20"/>
      <c r="H22" s="21"/>
    </row>
    <row r="23" spans="1:8" ht="15.75" customHeight="1">
      <c r="A23" s="14" t="s">
        <v>154</v>
      </c>
      <c r="B23" s="20"/>
      <c r="C23" s="20"/>
      <c r="D23" s="20"/>
      <c r="E23" s="20"/>
      <c r="F23" s="20"/>
      <c r="G23" s="20"/>
      <c r="H23" s="21"/>
    </row>
    <row r="24" spans="1:8" ht="9" customHeight="1">
      <c r="A24" s="11"/>
      <c r="B24" s="20"/>
      <c r="C24" s="20"/>
      <c r="D24" s="20"/>
      <c r="E24" s="20"/>
      <c r="F24" s="20"/>
      <c r="G24" s="20"/>
      <c r="H24" s="21"/>
    </row>
    <row r="25" spans="1:8" ht="15.75" customHeight="1">
      <c r="A25" s="477" t="str">
        <f>CONCATENATE("Whereas, the ",inputPrYr!C4-1," Kansas State Legislature failed to fulfill its obligations in regard to the statutory funding of demand transfers and, by significantly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MITCHELL COUNTY budget.</v>
      </c>
      <c r="B25" s="477"/>
      <c r="C25" s="477"/>
      <c r="D25" s="477"/>
      <c r="E25" s="477"/>
      <c r="F25" s="477"/>
      <c r="G25" s="477"/>
      <c r="H25" s="477"/>
    </row>
    <row r="26" spans="1:8" ht="15.75" customHeight="1">
      <c r="A26" s="477"/>
      <c r="B26" s="477"/>
      <c r="C26" s="477"/>
      <c r="D26" s="477"/>
      <c r="E26" s="477"/>
      <c r="F26" s="477"/>
      <c r="G26" s="477"/>
      <c r="H26" s="477"/>
    </row>
    <row r="27" spans="1:8" ht="15.75" customHeight="1">
      <c r="A27" s="477"/>
      <c r="B27" s="477"/>
      <c r="C27" s="477"/>
      <c r="D27" s="477"/>
      <c r="E27" s="477"/>
      <c r="F27" s="477"/>
      <c r="G27" s="477"/>
      <c r="H27" s="477"/>
    </row>
    <row r="28" spans="1:8" ht="9" customHeight="1">
      <c r="A28" s="15"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23" t="s">
        <v>166</v>
      </c>
      <c r="C28" s="3"/>
      <c r="D28" s="3"/>
      <c r="E28" s="3"/>
      <c r="F28" s="3"/>
      <c r="G28" s="3"/>
      <c r="H28" s="24"/>
    </row>
    <row r="29" spans="1:8" ht="15.75" customHeight="1">
      <c r="A29" s="477"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MITCHELL COUNTY Commissioners that is our desire to notify the public of the possibility of increased property taxes to finance the 2014 MITCHELL COUNTY budget due to the above mentioned constraints, and that all persons are invited and encouraged to attend budget meeting conducted by the Board of MITCHELL COUNTY Commissioners.  The date and time of budget hearings with the Board of MITCHELL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477"/>
      <c r="C29" s="477"/>
      <c r="D29" s="477"/>
      <c r="E29" s="477"/>
      <c r="F29" s="477"/>
      <c r="G29" s="477"/>
      <c r="H29" s="477"/>
    </row>
    <row r="30" spans="1:8" ht="15.75" customHeight="1">
      <c r="A30" s="477"/>
      <c r="B30" s="477"/>
      <c r="C30" s="477"/>
      <c r="D30" s="477"/>
      <c r="E30" s="477"/>
      <c r="F30" s="477"/>
      <c r="G30" s="477"/>
      <c r="H30" s="477"/>
    </row>
    <row r="31" spans="1:8" ht="15.75" customHeight="1">
      <c r="A31" s="477"/>
      <c r="B31" s="477"/>
      <c r="C31" s="477"/>
      <c r="D31" s="477"/>
      <c r="E31" s="477"/>
      <c r="F31" s="477"/>
      <c r="G31" s="477"/>
      <c r="H31" s="477"/>
    </row>
    <row r="32" spans="1:8" ht="15.75" customHeight="1">
      <c r="A32" s="477"/>
      <c r="B32" s="477"/>
      <c r="C32" s="477"/>
      <c r="D32" s="477"/>
      <c r="E32" s="477"/>
      <c r="F32" s="477"/>
      <c r="G32" s="477"/>
      <c r="H32" s="477"/>
    </row>
    <row r="33" spans="1:8" ht="15.75" customHeight="1">
      <c r="A33" s="477"/>
      <c r="B33" s="477"/>
      <c r="C33" s="477"/>
      <c r="D33" s="477"/>
      <c r="E33" s="477"/>
      <c r="F33" s="477"/>
      <c r="G33" s="477"/>
      <c r="H33" s="477"/>
    </row>
    <row r="34" spans="1:8" ht="15.75" customHeight="1">
      <c r="A34" s="477"/>
      <c r="B34" s="477"/>
      <c r="C34" s="477"/>
      <c r="D34" s="477"/>
      <c r="E34" s="477"/>
      <c r="F34" s="477"/>
      <c r="G34" s="477"/>
      <c r="H34" s="477"/>
    </row>
    <row r="35" spans="1:8" ht="15.75" customHeight="1">
      <c r="A35" s="477"/>
      <c r="B35" s="477"/>
      <c r="C35" s="477"/>
      <c r="D35" s="477"/>
      <c r="E35" s="477"/>
      <c r="F35" s="477"/>
      <c r="G35" s="477"/>
      <c r="H35" s="477"/>
    </row>
    <row r="36" spans="1:8" ht="15.75" customHeight="1">
      <c r="A36" s="477"/>
      <c r="B36" s="477"/>
      <c r="C36" s="477"/>
      <c r="D36" s="477"/>
      <c r="E36" s="477"/>
      <c r="F36" s="477"/>
      <c r="G36" s="477"/>
      <c r="H36" s="477"/>
    </row>
    <row r="37" spans="1:8" ht="15.75" customHeight="1">
      <c r="A37" s="477"/>
      <c r="B37" s="477"/>
      <c r="C37" s="477"/>
      <c r="D37" s="477"/>
      <c r="E37" s="477"/>
      <c r="F37" s="477"/>
      <c r="G37" s="477"/>
      <c r="H37" s="477"/>
    </row>
    <row r="38" spans="1:8" ht="15.75" customHeight="1">
      <c r="A38" s="16" t="s">
        <v>172</v>
      </c>
      <c r="B38" s="3"/>
      <c r="C38" s="3"/>
      <c r="D38" s="3"/>
      <c r="E38" s="3"/>
      <c r="F38" s="3"/>
      <c r="G38" s="3"/>
      <c r="H38" s="24" t="s">
        <v>63</v>
      </c>
    </row>
    <row r="39" spans="1:8" ht="15.75" customHeight="1">
      <c r="A39" s="476" t="str">
        <f>CONCATENATE("                                                 Adopted this _________ day of ___________, ",inputPrYr!C4-1," by the Board of ",(inputPrYr!C2)," Commissioners.")</f>
        <v>                                                 Adopted this _________ day of ___________, 2013 by the Board of MITCHELL COUNTY Commissioners.</v>
      </c>
      <c r="B39" s="476"/>
      <c r="C39" s="476"/>
      <c r="D39" s="476"/>
      <c r="E39" s="476"/>
      <c r="F39" s="476"/>
      <c r="G39" s="476"/>
      <c r="H39" s="476"/>
    </row>
    <row r="40" spans="1:8" ht="15.75" customHeight="1">
      <c r="A40" s="476"/>
      <c r="B40" s="476"/>
      <c r="C40" s="476"/>
      <c r="D40" s="476"/>
      <c r="E40" s="476"/>
      <c r="F40" s="476"/>
      <c r="G40" s="476"/>
      <c r="H40" s="476"/>
    </row>
    <row r="41" spans="1:8" ht="15.75" customHeight="1">
      <c r="A41" s="3"/>
      <c r="B41" s="3"/>
      <c r="C41" s="3"/>
      <c r="D41" s="3"/>
      <c r="E41" s="473" t="s">
        <v>155</v>
      </c>
      <c r="F41" s="473"/>
      <c r="G41" s="473"/>
      <c r="H41" s="473"/>
    </row>
    <row r="42" spans="1:8" ht="15.75" customHeight="1">
      <c r="A42" s="17"/>
      <c r="B42" s="3"/>
      <c r="C42" s="3"/>
      <c r="D42" s="3"/>
      <c r="E42" s="473"/>
      <c r="F42" s="473"/>
      <c r="G42" s="473"/>
      <c r="H42" s="473"/>
    </row>
    <row r="43" spans="1:8" ht="15.75" customHeight="1">
      <c r="A43" s="3"/>
      <c r="B43" s="3"/>
      <c r="C43" s="3"/>
      <c r="D43" s="3"/>
      <c r="E43" s="473" t="s">
        <v>156</v>
      </c>
      <c r="F43" s="473"/>
      <c r="G43" s="473"/>
      <c r="H43" s="473"/>
    </row>
    <row r="44" spans="1:8" ht="15.75" customHeight="1">
      <c r="A44" s="17"/>
      <c r="B44" s="3"/>
      <c r="C44" s="3"/>
      <c r="D44" s="3"/>
      <c r="E44" s="473"/>
      <c r="F44" s="473"/>
      <c r="G44" s="473"/>
      <c r="H44" s="473"/>
    </row>
    <row r="45" spans="1:8" ht="15.75" customHeight="1">
      <c r="A45" s="3"/>
      <c r="B45" s="3"/>
      <c r="C45" s="3"/>
      <c r="D45" s="3"/>
      <c r="E45" s="473" t="s">
        <v>156</v>
      </c>
      <c r="F45" s="473"/>
      <c r="G45" s="473"/>
      <c r="H45" s="473"/>
    </row>
    <row r="46" spans="1:8" ht="15.75" customHeight="1">
      <c r="A46" s="17"/>
      <c r="B46" s="3"/>
      <c r="C46" s="3"/>
      <c r="D46" s="3"/>
      <c r="E46" s="473"/>
      <c r="F46" s="473"/>
      <c r="G46" s="473"/>
      <c r="H46" s="473"/>
    </row>
    <row r="47" spans="1:8" ht="15.75" customHeight="1">
      <c r="A47" s="3"/>
      <c r="B47" s="3"/>
      <c r="C47" s="3"/>
      <c r="D47" s="3"/>
      <c r="E47" s="473" t="s">
        <v>156</v>
      </c>
      <c r="F47" s="473"/>
      <c r="G47" s="473"/>
      <c r="H47" s="473"/>
    </row>
    <row r="48" spans="1:8" ht="15.75" customHeight="1">
      <c r="A48" s="17"/>
      <c r="B48" s="3"/>
      <c r="C48" s="3"/>
      <c r="D48" s="3"/>
      <c r="E48" s="3"/>
      <c r="F48" s="3"/>
      <c r="G48" s="3"/>
      <c r="H48" s="24"/>
    </row>
    <row r="49" spans="1:8" ht="15.75" customHeight="1">
      <c r="A49" s="17" t="s">
        <v>157</v>
      </c>
      <c r="B49" s="3"/>
      <c r="C49" s="3"/>
      <c r="D49" s="3"/>
      <c r="E49" s="3"/>
      <c r="F49" s="3"/>
      <c r="G49" s="3"/>
      <c r="H49" s="24"/>
    </row>
    <row r="50" spans="1:8" ht="15.75" customHeight="1">
      <c r="A50" s="17"/>
      <c r="B50" s="3"/>
      <c r="C50" s="3"/>
      <c r="D50" s="3"/>
      <c r="E50" s="3"/>
      <c r="F50" s="3"/>
      <c r="G50" s="17"/>
      <c r="H50" s="24"/>
    </row>
    <row r="51" spans="1:8" ht="15.75" customHeight="1">
      <c r="A51" s="18" t="s">
        <v>158</v>
      </c>
      <c r="B51" s="2"/>
      <c r="C51" s="2"/>
      <c r="D51" s="2"/>
      <c r="E51" s="2"/>
      <c r="F51" s="2"/>
      <c r="G51" s="17"/>
      <c r="H51" s="24"/>
    </row>
    <row r="52" spans="1:8" ht="15.75" customHeight="1">
      <c r="A52" s="473" t="s">
        <v>159</v>
      </c>
      <c r="B52" s="473"/>
      <c r="C52" s="473"/>
      <c r="D52" s="2"/>
      <c r="E52" s="2"/>
      <c r="F52" s="2"/>
      <c r="G52" s="17"/>
      <c r="H52" s="24"/>
    </row>
    <row r="53" spans="1:8" ht="15.75" customHeight="1">
      <c r="A53" s="18"/>
      <c r="B53" s="2"/>
      <c r="C53" s="2"/>
      <c r="D53" s="2"/>
      <c r="E53" s="2"/>
      <c r="F53" s="2"/>
      <c r="G53" s="17"/>
      <c r="H53" s="24"/>
    </row>
    <row r="54" spans="1:8" ht="15.75" customHeight="1">
      <c r="A54" s="18"/>
      <c r="B54" s="2"/>
      <c r="C54" s="2"/>
      <c r="D54" s="2"/>
      <c r="E54" s="2"/>
      <c r="F54" s="2"/>
      <c r="G54" s="17"/>
      <c r="H54" s="24"/>
    </row>
    <row r="55" spans="1:8" ht="15.75" customHeight="1">
      <c r="A55" s="19" t="s">
        <v>160</v>
      </c>
      <c r="B55" s="2"/>
      <c r="C55" s="2"/>
      <c r="D55" s="25" t="s">
        <v>62</v>
      </c>
      <c r="E55" s="4">
        <v>13</v>
      </c>
      <c r="F55" s="2"/>
      <c r="G55" s="17"/>
      <c r="H55" s="24"/>
    </row>
    <row r="56" spans="1:8" ht="15" customHeight="1">
      <c r="A56" s="24"/>
      <c r="B56" s="24"/>
      <c r="C56" s="24"/>
      <c r="D56" s="24"/>
      <c r="E56" s="24"/>
      <c r="F56" s="24"/>
      <c r="G56" s="24"/>
      <c r="H56" s="24"/>
    </row>
    <row r="57" spans="1:8" ht="15" customHeight="1">
      <c r="A57" s="24"/>
      <c r="B57" s="24"/>
      <c r="C57" s="24"/>
      <c r="D57" s="24"/>
      <c r="E57" s="24"/>
      <c r="F57" s="24"/>
      <c r="G57" s="24"/>
      <c r="H57" s="2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sheet="1"/>
  <mergeCells count="16">
    <mergeCell ref="A2:H2"/>
    <mergeCell ref="A4:H4"/>
    <mergeCell ref="A39:H40"/>
    <mergeCell ref="A10:H15"/>
    <mergeCell ref="A29:H37"/>
    <mergeCell ref="A17:H18"/>
    <mergeCell ref="A20:H21"/>
    <mergeCell ref="A25:H27"/>
    <mergeCell ref="E45:H45"/>
    <mergeCell ref="E46:H46"/>
    <mergeCell ref="E47:H47"/>
    <mergeCell ref="A52:C52"/>
    <mergeCell ref="E41:H41"/>
    <mergeCell ref="E42:H42"/>
    <mergeCell ref="E43:H43"/>
    <mergeCell ref="E44:H44"/>
  </mergeCells>
  <printOptions/>
  <pageMargins left="0.37" right="0.27" top="0.5" bottom="0.5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E49"/>
  <sheetViews>
    <sheetView view="pageBreakPreview" zoomScale="102" zoomScaleSheetLayoutView="102" zoomScalePageLayoutView="0" workbookViewId="0" topLeftCell="A1">
      <selection activeCell="A48" sqref="A48:A56"/>
    </sheetView>
  </sheetViews>
  <sheetFormatPr defaultColWidth="8.796875" defaultRowHeight="15"/>
  <cols>
    <col min="1" max="1" width="27.296875" style="26" customWidth="1"/>
    <col min="2" max="2" width="20.796875" style="26" customWidth="1"/>
    <col min="3" max="3" width="9.796875" style="26" customWidth="1"/>
    <col min="4" max="4" width="15.296875" style="26" customWidth="1"/>
    <col min="5" max="5" width="15.796875" style="26" customWidth="1"/>
    <col min="6" max="16384" width="8.8984375" style="26" customWidth="1"/>
  </cols>
  <sheetData>
    <row r="1" spans="1:5" ht="15.75">
      <c r="A1" s="86" t="str">
        <f>inputPrYr!C2</f>
        <v>MITCHELL COUNTY</v>
      </c>
      <c r="B1" s="67"/>
      <c r="C1" s="67"/>
      <c r="D1" s="67"/>
      <c r="E1" s="67">
        <f>inputPrYr!C4</f>
        <v>2014</v>
      </c>
    </row>
    <row r="2" spans="1:5" ht="15.75">
      <c r="A2" s="86"/>
      <c r="B2" s="67"/>
      <c r="C2" s="67"/>
      <c r="D2" s="67"/>
      <c r="E2" s="67"/>
    </row>
    <row r="3" spans="1:5" ht="15.75">
      <c r="A3" s="413" t="s">
        <v>16</v>
      </c>
      <c r="B3" s="414"/>
      <c r="C3" s="414"/>
      <c r="D3" s="414"/>
      <c r="E3" s="414"/>
    </row>
    <row r="4" spans="1:5" ht="15.75">
      <c r="A4" s="67"/>
      <c r="B4" s="67"/>
      <c r="C4" s="67"/>
      <c r="D4" s="67"/>
      <c r="E4" s="67"/>
    </row>
    <row r="5" spans="1:5" ht="15.75">
      <c r="A5" s="66" t="str">
        <f>CONCATENATE("From the County Clerks ",E1," Budget Information:")</f>
        <v>From the County Clerks 2014 Budget Information:</v>
      </c>
      <c r="B5" s="68"/>
      <c r="C5" s="39"/>
      <c r="D5" s="29"/>
      <c r="E5" s="87"/>
    </row>
    <row r="6" spans="1:5" ht="15.75">
      <c r="A6" s="88" t="str">
        <f>CONCATENATE("Total Assessed Valuation for ",E1-1,"")</f>
        <v>Total Assessed Valuation for 2013</v>
      </c>
      <c r="B6" s="74"/>
      <c r="C6" s="74"/>
      <c r="D6" s="74"/>
      <c r="E6" s="54"/>
    </row>
    <row r="7" spans="1:5" ht="15.75">
      <c r="A7" s="88" t="str">
        <f>CONCATENATE("New Improvements for ",E1-1,"")</f>
        <v>New Improvements for 2013</v>
      </c>
      <c r="B7" s="74"/>
      <c r="C7" s="74"/>
      <c r="D7" s="74"/>
      <c r="E7" s="89"/>
    </row>
    <row r="8" spans="1:5" ht="15.75">
      <c r="A8" s="88" t="str">
        <f>CONCATENATE("Personal Property excluding oil, gas, and mobile homes- ",E1-1,"")</f>
        <v>Personal Property excluding oil, gas, and mobile homes- 2013</v>
      </c>
      <c r="B8" s="74"/>
      <c r="C8" s="74"/>
      <c r="D8" s="74"/>
      <c r="E8" s="89"/>
    </row>
    <row r="9" spans="1:5" ht="15.75">
      <c r="A9" s="88" t="str">
        <f>CONCATENATE("Property that has changed in use for ",E1-1,"")</f>
        <v>Property that has changed in use for 2013</v>
      </c>
      <c r="B9" s="74"/>
      <c r="C9" s="74"/>
      <c r="D9" s="74"/>
      <c r="E9" s="89"/>
    </row>
    <row r="10" spans="1:5" ht="15.75">
      <c r="A10" s="88" t="str">
        <f>CONCATENATE("Personal Property excluding oil, gas, and mobile homes- ",E1-2,"")</f>
        <v>Personal Property excluding oil, gas, and mobile homes- 2012</v>
      </c>
      <c r="B10" s="74"/>
      <c r="C10" s="74"/>
      <c r="D10" s="74"/>
      <c r="E10" s="89"/>
    </row>
    <row r="11" spans="1:5" ht="15.75">
      <c r="A11" s="88" t="str">
        <f>CONCATENATE("Gross earnings (intangible) tax esitmate for ",E1,"")</f>
        <v>Gross earnings (intangible) tax esitmate for 2014</v>
      </c>
      <c r="B11" s="74"/>
      <c r="C11" s="74"/>
      <c r="D11" s="74"/>
      <c r="E11" s="54"/>
    </row>
    <row r="12" spans="1:5" ht="15.75">
      <c r="A12" s="90" t="s">
        <v>173</v>
      </c>
      <c r="B12" s="74"/>
      <c r="C12" s="74"/>
      <c r="D12" s="57"/>
      <c r="E12" s="54"/>
    </row>
    <row r="13" spans="1:5" ht="15.75">
      <c r="A13" s="29"/>
      <c r="B13" s="29"/>
      <c r="C13" s="29"/>
      <c r="D13" s="45"/>
      <c r="E13" s="45"/>
    </row>
    <row r="14" spans="1:5" ht="15.75">
      <c r="A14" s="66" t="str">
        <f>CONCATENATE("From the County Treasurer's ",E1," Budget Information:")</f>
        <v>From the County Treasurer's 2014 Budget Information:</v>
      </c>
      <c r="B14" s="68"/>
      <c r="C14" s="68"/>
      <c r="D14" s="87"/>
      <c r="E14" s="87"/>
    </row>
    <row r="15" spans="1:5" ht="15.75">
      <c r="A15" s="55" t="s">
        <v>28</v>
      </c>
      <c r="B15" s="56"/>
      <c r="C15" s="56"/>
      <c r="D15" s="91"/>
      <c r="E15" s="54"/>
    </row>
    <row r="16" spans="1:5" ht="15.75">
      <c r="A16" s="88" t="s">
        <v>29</v>
      </c>
      <c r="B16" s="74"/>
      <c r="C16" s="74"/>
      <c r="D16" s="92"/>
      <c r="E16" s="54"/>
    </row>
    <row r="17" spans="1:5" ht="15.75">
      <c r="A17" s="88" t="s">
        <v>109</v>
      </c>
      <c r="B17" s="74"/>
      <c r="C17" s="74"/>
      <c r="D17" s="92"/>
      <c r="E17" s="54"/>
    </row>
    <row r="18" spans="1:5" ht="15.75">
      <c r="A18" s="88" t="s">
        <v>174</v>
      </c>
      <c r="B18" s="74"/>
      <c r="C18" s="74"/>
      <c r="D18" s="93"/>
      <c r="E18" s="54"/>
    </row>
    <row r="19" spans="1:5" ht="15.75">
      <c r="A19" s="88" t="s">
        <v>175</v>
      </c>
      <c r="B19" s="74"/>
      <c r="C19" s="74"/>
      <c r="D19" s="93"/>
      <c r="E19" s="54"/>
    </row>
    <row r="20" spans="1:5" ht="15.75">
      <c r="A20" s="29"/>
      <c r="B20" s="29"/>
      <c r="C20" s="29"/>
      <c r="D20" s="29"/>
      <c r="E20" s="29"/>
    </row>
    <row r="21" spans="1:5" ht="15.75">
      <c r="A21" s="94" t="s">
        <v>176</v>
      </c>
      <c r="B21" s="29"/>
      <c r="C21" s="29"/>
      <c r="D21" s="29"/>
      <c r="E21" s="29"/>
    </row>
    <row r="22" spans="1:5" ht="15.75">
      <c r="A22" s="381" t="str">
        <f>CONCATENATE("Actual Delinquency for ",E1-3," Tax - (rate .01213 = 1.213%, key in 1.2)")</f>
        <v>Actual Delinquency for 2011 Tax - (rate .01213 = 1.213%, key in 1.2)</v>
      </c>
      <c r="B22" s="56"/>
      <c r="C22" s="56"/>
      <c r="D22" s="61"/>
      <c r="E22" s="380">
        <v>0.05</v>
      </c>
    </row>
    <row r="23" spans="1:5" ht="15.75">
      <c r="A23" s="383" t="s">
        <v>239</v>
      </c>
      <c r="B23" s="56"/>
      <c r="C23" s="56"/>
      <c r="D23" s="56"/>
      <c r="E23" s="382">
        <v>0.05</v>
      </c>
    </row>
    <row r="24" spans="1:5" ht="15.75">
      <c r="A24" s="27" t="s">
        <v>177</v>
      </c>
      <c r="B24" s="27"/>
      <c r="C24" s="27"/>
      <c r="D24" s="27"/>
      <c r="E24" s="27"/>
    </row>
    <row r="25" spans="1:5" ht="15.75">
      <c r="A25" s="95"/>
      <c r="B25" s="95"/>
      <c r="C25" s="95"/>
      <c r="D25" s="95"/>
      <c r="E25" s="95"/>
    </row>
    <row r="26" spans="1:5" ht="15.75">
      <c r="A26" s="418" t="str">
        <f>CONCATENATE("From the ",E1-2," Budget Certificate Page")</f>
        <v>From the 2012 Budget Certificate Page</v>
      </c>
      <c r="B26" s="419"/>
      <c r="C26" s="95"/>
      <c r="D26" s="95"/>
      <c r="E26" s="95"/>
    </row>
    <row r="27" spans="1:5" ht="15.75">
      <c r="A27" s="96"/>
      <c r="B27" s="420" t="str">
        <f>CONCATENATE("",E1-2,"                         Expenditure Amt Budget Authority")</f>
        <v>2012                         Expenditure Amt Budget Authority</v>
      </c>
      <c r="C27" s="423" t="str">
        <f>CONCATENATE("Note: If the ",E1-2," budget was amended, then the")</f>
        <v>Note: If the 2012 budget was amended, then the</v>
      </c>
      <c r="D27" s="424"/>
      <c r="E27" s="424"/>
    </row>
    <row r="28" spans="1:5" ht="15.75">
      <c r="A28" s="97" t="s">
        <v>17</v>
      </c>
      <c r="B28" s="421"/>
      <c r="C28" s="98" t="s">
        <v>18</v>
      </c>
      <c r="D28" s="99"/>
      <c r="E28" s="99"/>
    </row>
    <row r="29" spans="1:5" ht="15.75">
      <c r="A29" s="100"/>
      <c r="B29" s="422"/>
      <c r="C29" s="98" t="s">
        <v>19</v>
      </c>
      <c r="D29" s="99"/>
      <c r="E29" s="99"/>
    </row>
    <row r="30" spans="1:5" ht="15.75">
      <c r="A30" s="100"/>
      <c r="B30" s="402"/>
      <c r="C30" s="404" t="s">
        <v>283</v>
      </c>
      <c r="D30" s="405" t="s">
        <v>285</v>
      </c>
      <c r="E30" s="99"/>
    </row>
    <row r="31" spans="1:5" ht="15.75">
      <c r="A31" s="100"/>
      <c r="B31" s="402"/>
      <c r="C31" s="404" t="s">
        <v>284</v>
      </c>
      <c r="D31" s="405" t="s">
        <v>286</v>
      </c>
      <c r="E31" s="99"/>
    </row>
    <row r="32" spans="1:5" ht="15.75">
      <c r="A32" s="101" t="str">
        <f>inputPrYr!B16</f>
        <v>MCO # 1</v>
      </c>
      <c r="B32" s="49">
        <v>57000</v>
      </c>
      <c r="C32" s="406">
        <v>70403</v>
      </c>
      <c r="D32" s="406">
        <f>SUM(B32:C32)</f>
        <v>127403</v>
      </c>
      <c r="E32" s="95"/>
    </row>
    <row r="33" spans="1:5" ht="15.75">
      <c r="A33" s="101" t="str">
        <f>inputPrYr!B17</f>
        <v>Tipton # 2</v>
      </c>
      <c r="B33" s="49">
        <v>24000</v>
      </c>
      <c r="C33" s="406"/>
      <c r="D33" s="406">
        <f>SUM(B33:C33)</f>
        <v>24000</v>
      </c>
      <c r="E33" s="95"/>
    </row>
    <row r="34" spans="1:5" ht="15.75">
      <c r="A34" s="101" t="str">
        <f>inputPrYr!B18</f>
        <v>Solomon Rapids F.D. # 3</v>
      </c>
      <c r="B34" s="49">
        <v>56655</v>
      </c>
      <c r="C34" s="406"/>
      <c r="D34" s="406">
        <f>SUM(B34:C34)</f>
        <v>56655</v>
      </c>
      <c r="E34" s="95"/>
    </row>
    <row r="35" spans="1:5" ht="15.75">
      <c r="A35" s="101">
        <f>inputPrYr!B19</f>
        <v>0</v>
      </c>
      <c r="B35" s="49"/>
      <c r="C35" s="406"/>
      <c r="D35" s="406"/>
      <c r="E35" s="95"/>
    </row>
    <row r="36" spans="1:5" ht="15.75">
      <c r="A36" s="101">
        <f>inputPrYr!B20</f>
        <v>0</v>
      </c>
      <c r="B36" s="49"/>
      <c r="C36" s="95"/>
      <c r="D36" s="95"/>
      <c r="E36" s="95"/>
    </row>
    <row r="37" spans="1:5" ht="15.75">
      <c r="A37" s="101">
        <f>inputPrYr!B21</f>
        <v>0</v>
      </c>
      <c r="B37" s="49"/>
      <c r="C37" s="95"/>
      <c r="D37" s="95"/>
      <c r="E37" s="95"/>
    </row>
    <row r="38" spans="1:5" ht="15.75">
      <c r="A38" s="101">
        <f>inputPrYr!B22</f>
        <v>0</v>
      </c>
      <c r="B38" s="49"/>
      <c r="C38" s="95"/>
      <c r="D38" s="95"/>
      <c r="E38" s="95"/>
    </row>
    <row r="39" spans="1:5" ht="15.75">
      <c r="A39" s="101">
        <f>inputPrYr!B23</f>
        <v>0</v>
      </c>
      <c r="B39" s="49"/>
      <c r="C39" s="95"/>
      <c r="D39" s="95"/>
      <c r="E39" s="95"/>
    </row>
    <row r="40" spans="1:5" ht="15.75">
      <c r="A40" s="101">
        <f>inputPrYr!B24</f>
        <v>0</v>
      </c>
      <c r="B40" s="49"/>
      <c r="C40" s="95"/>
      <c r="D40" s="95"/>
      <c r="E40" s="95"/>
    </row>
    <row r="41" spans="1:5" ht="15.75">
      <c r="A41" s="101">
        <f>inputPrYr!B30</f>
        <v>0</v>
      </c>
      <c r="B41" s="49"/>
      <c r="C41" s="95"/>
      <c r="D41" s="95"/>
      <c r="E41" s="95"/>
    </row>
    <row r="42" spans="1:5" ht="15.75">
      <c r="A42" s="101">
        <f>inputPrYr!B31</f>
        <v>0</v>
      </c>
      <c r="B42" s="49"/>
      <c r="C42" s="95"/>
      <c r="D42" s="95"/>
      <c r="E42" s="95"/>
    </row>
    <row r="43" spans="1:5" ht="15.75">
      <c r="A43" s="101" t="str">
        <f>inputPrYr!B34</f>
        <v>MCO F.D.  # 1 Spec. Equip.</v>
      </c>
      <c r="B43" s="49">
        <v>7130</v>
      </c>
      <c r="C43" s="95"/>
      <c r="D43" s="95"/>
      <c r="E43" s="95"/>
    </row>
    <row r="44" spans="1:5" ht="15.75">
      <c r="A44" s="101" t="str">
        <f>inputPrYr!B35</f>
        <v>Tipton F.D.  # 2 Spec. Equip.</v>
      </c>
      <c r="B44" s="49">
        <v>1818</v>
      </c>
      <c r="C44" s="95"/>
      <c r="D44" s="95"/>
      <c r="E44" s="95"/>
    </row>
    <row r="45" spans="1:5" ht="15.75">
      <c r="A45" s="101" t="str">
        <f>inputPrYr!B36</f>
        <v>Solomon Rapids F.D.  # 3 Spec. Equip.</v>
      </c>
      <c r="B45" s="49">
        <v>66252</v>
      </c>
      <c r="C45" s="95"/>
      <c r="D45" s="95"/>
      <c r="E45" s="95"/>
    </row>
    <row r="46" spans="1:5" ht="15.75">
      <c r="A46" s="101">
        <f>inputPrYr!B37</f>
        <v>0</v>
      </c>
      <c r="B46" s="49"/>
      <c r="C46" s="95"/>
      <c r="D46" s="95"/>
      <c r="E46" s="95"/>
    </row>
    <row r="47" spans="1:5" ht="15.75">
      <c r="A47" s="101">
        <f>inputPrYr!B38</f>
        <v>0</v>
      </c>
      <c r="B47" s="49"/>
      <c r="C47" s="95"/>
      <c r="D47" s="95"/>
      <c r="E47" s="95"/>
    </row>
    <row r="48" spans="1:5" ht="15.75">
      <c r="A48" s="101">
        <f>inputPrYr!B43</f>
        <v>0</v>
      </c>
      <c r="B48" s="49"/>
      <c r="C48" s="95"/>
      <c r="D48" s="95"/>
      <c r="E48" s="95"/>
    </row>
    <row r="49" spans="1:5" ht="15.75">
      <c r="A49" s="101">
        <f>inputPrYr!B44</f>
        <v>0</v>
      </c>
      <c r="B49" s="49"/>
      <c r="C49" s="95"/>
      <c r="D49" s="95"/>
      <c r="E49" s="95"/>
    </row>
  </sheetData>
  <sheetProtection/>
  <mergeCells count="4">
    <mergeCell ref="A3:E3"/>
    <mergeCell ref="A26:B26"/>
    <mergeCell ref="B27:B29"/>
    <mergeCell ref="C27:E27"/>
  </mergeCells>
  <printOptions/>
  <pageMargins left="0.75" right="0.75" top="1" bottom="1" header="0.5" footer="0.5"/>
  <pageSetup horizontalDpi="600" verticalDpi="600" orientation="portrait" scale="78" r:id="rId1"/>
</worksheet>
</file>

<file path=xl/worksheets/sheet3.xml><?xml version="1.0" encoding="utf-8"?>
<worksheet xmlns="http://schemas.openxmlformats.org/spreadsheetml/2006/main" xmlns:r="http://schemas.openxmlformats.org/officeDocument/2006/relationships">
  <dimension ref="A1:J23"/>
  <sheetViews>
    <sheetView view="pageBreakPreview" zoomScale="98" zoomScaleSheetLayoutView="98" zoomScalePageLayoutView="0" workbookViewId="0" topLeftCell="A1">
      <selection activeCell="F13" sqref="F13"/>
    </sheetView>
  </sheetViews>
  <sheetFormatPr defaultColWidth="8.796875" defaultRowHeight="15"/>
  <cols>
    <col min="1" max="1" width="13.796875" style="0" customWidth="1"/>
    <col min="2" max="2" width="16.09765625" style="0" customWidth="1"/>
  </cols>
  <sheetData>
    <row r="1" ht="15">
      <c r="J1" s="327" t="s">
        <v>225</v>
      </c>
    </row>
    <row r="2" spans="1:10" ht="54" customHeight="1">
      <c r="A2" s="425" t="s">
        <v>190</v>
      </c>
      <c r="B2" s="426"/>
      <c r="C2" s="426"/>
      <c r="D2" s="426"/>
      <c r="E2" s="426"/>
      <c r="F2" s="426"/>
      <c r="J2" s="327" t="s">
        <v>226</v>
      </c>
    </row>
    <row r="3" spans="1:10" ht="15.75">
      <c r="A3" s="2" t="s">
        <v>223</v>
      </c>
      <c r="B3" s="394" t="s">
        <v>303</v>
      </c>
      <c r="J3" s="327" t="s">
        <v>227</v>
      </c>
    </row>
    <row r="4" spans="1:10" ht="15.75">
      <c r="A4" s="261"/>
      <c r="B4" s="261"/>
      <c r="C4" s="261"/>
      <c r="D4" s="326" t="s">
        <v>224</v>
      </c>
      <c r="E4" s="261"/>
      <c r="F4" s="261"/>
      <c r="J4" s="327" t="s">
        <v>228</v>
      </c>
    </row>
    <row r="5" spans="1:10" ht="15.75">
      <c r="A5" s="262" t="s">
        <v>191</v>
      </c>
      <c r="B5" s="263" t="s">
        <v>304</v>
      </c>
      <c r="C5" s="264"/>
      <c r="D5" s="326" t="str">
        <f>IF(B5="","",CONCATENATE("Latest date for notice to be published in your newspaper: ",G18," ",G22,", ",G23))</f>
        <v>Latest date for notice to be published in your newspaper: August 9, 2013</v>
      </c>
      <c r="E5" s="261"/>
      <c r="F5" s="261"/>
      <c r="J5" s="327" t="s">
        <v>229</v>
      </c>
    </row>
    <row r="6" spans="1:10" ht="15.75">
      <c r="A6" s="262"/>
      <c r="B6" s="265"/>
      <c r="C6" s="266"/>
      <c r="D6" s="262"/>
      <c r="E6" s="261"/>
      <c r="F6" s="261"/>
      <c r="J6" s="327" t="s">
        <v>230</v>
      </c>
    </row>
    <row r="7" spans="1:10" ht="15.75">
      <c r="A7" s="262" t="s">
        <v>192</v>
      </c>
      <c r="B7" s="263" t="s">
        <v>305</v>
      </c>
      <c r="C7" s="267"/>
      <c r="D7" s="262"/>
      <c r="E7" s="261"/>
      <c r="F7" s="261"/>
      <c r="J7" s="327" t="s">
        <v>231</v>
      </c>
    </row>
    <row r="8" spans="1:10" ht="15.75">
      <c r="A8" s="262"/>
      <c r="B8" s="262"/>
      <c r="C8" s="262"/>
      <c r="D8" s="262"/>
      <c r="E8" s="261"/>
      <c r="F8" s="261"/>
      <c r="J8" s="327" t="s">
        <v>232</v>
      </c>
    </row>
    <row r="9" spans="1:10" ht="15.75">
      <c r="A9" s="262" t="s">
        <v>193</v>
      </c>
      <c r="B9" s="268" t="s">
        <v>264</v>
      </c>
      <c r="C9" s="268"/>
      <c r="D9" s="268"/>
      <c r="E9" s="269"/>
      <c r="F9" s="261"/>
      <c r="J9" s="327" t="s">
        <v>233</v>
      </c>
    </row>
    <row r="10" spans="1:10" ht="15.75">
      <c r="A10" s="262"/>
      <c r="B10" s="262"/>
      <c r="C10" s="262"/>
      <c r="D10" s="262"/>
      <c r="E10" s="261"/>
      <c r="F10" s="261"/>
      <c r="J10" s="327" t="s">
        <v>234</v>
      </c>
    </row>
    <row r="11" spans="1:10" ht="15.75">
      <c r="A11" s="262"/>
      <c r="B11" s="262"/>
      <c r="C11" s="262"/>
      <c r="D11" s="262"/>
      <c r="E11" s="261"/>
      <c r="F11" s="261"/>
      <c r="J11" s="327" t="s">
        <v>235</v>
      </c>
    </row>
    <row r="12" spans="1:10" ht="15.75">
      <c r="A12" s="262" t="s">
        <v>195</v>
      </c>
      <c r="B12" s="268" t="s">
        <v>265</v>
      </c>
      <c r="C12" s="268"/>
      <c r="D12" s="268"/>
      <c r="E12" s="269"/>
      <c r="F12" s="261"/>
      <c r="J12" s="327" t="s">
        <v>236</v>
      </c>
    </row>
    <row r="15" spans="1:6" ht="15.75">
      <c r="A15" s="427" t="s">
        <v>196</v>
      </c>
      <c r="B15" s="427"/>
      <c r="C15" s="262"/>
      <c r="D15" s="262"/>
      <c r="E15" s="262"/>
      <c r="F15" s="261"/>
    </row>
    <row r="16" spans="1:6" ht="15.75">
      <c r="A16" s="262"/>
      <c r="B16" s="262"/>
      <c r="C16" s="262"/>
      <c r="D16" s="262"/>
      <c r="E16" s="262"/>
      <c r="F16" s="261"/>
    </row>
    <row r="17" spans="1:5" ht="15.75">
      <c r="A17" s="262" t="s">
        <v>191</v>
      </c>
      <c r="B17" s="265" t="s">
        <v>197</v>
      </c>
      <c r="C17" s="262"/>
      <c r="D17" s="262"/>
      <c r="E17" s="262"/>
    </row>
    <row r="18" spans="1:7" ht="15.75">
      <c r="A18" s="262"/>
      <c r="B18" s="262"/>
      <c r="C18" s="262"/>
      <c r="D18" s="262"/>
      <c r="E18" s="262"/>
      <c r="G18" s="327" t="str">
        <f ca="1">IF(B5="","",INDIRECT(G19))</f>
        <v>August</v>
      </c>
    </row>
    <row r="19" spans="1:7" ht="15.75">
      <c r="A19" s="262" t="s">
        <v>192</v>
      </c>
      <c r="B19" s="262" t="s">
        <v>198</v>
      </c>
      <c r="C19" s="262"/>
      <c r="D19" s="262"/>
      <c r="E19" s="262"/>
      <c r="G19" s="328" t="str">
        <f>IF(B5="","",CONCATENATE("J",G21))</f>
        <v>J8</v>
      </c>
    </row>
    <row r="20" spans="1:7" ht="15.75">
      <c r="A20" s="262"/>
      <c r="B20" s="262"/>
      <c r="C20" s="262"/>
      <c r="D20" s="262"/>
      <c r="E20" s="262"/>
      <c r="G20" s="329">
        <f>B5-10</f>
        <v>41495</v>
      </c>
    </row>
    <row r="21" spans="1:7" ht="15.75">
      <c r="A21" s="262" t="s">
        <v>193</v>
      </c>
      <c r="B21" s="262" t="s">
        <v>194</v>
      </c>
      <c r="C21" s="262"/>
      <c r="D21" s="262"/>
      <c r="E21" s="262"/>
      <c r="G21" s="330">
        <f>IF(B5="","",MONTH(G20))</f>
        <v>8</v>
      </c>
    </row>
    <row r="22" spans="1:7" ht="15.75">
      <c r="A22" s="262"/>
      <c r="B22" s="262"/>
      <c r="C22" s="262"/>
      <c r="D22" s="262"/>
      <c r="E22" s="262"/>
      <c r="G22" s="331">
        <f>IF(B5="","",DAY(G20))</f>
        <v>9</v>
      </c>
    </row>
    <row r="23" spans="1:7" ht="15.75">
      <c r="A23" s="262" t="s">
        <v>195</v>
      </c>
      <c r="B23" s="262" t="s">
        <v>194</v>
      </c>
      <c r="C23" s="262"/>
      <c r="D23" s="262"/>
      <c r="E23" s="262"/>
      <c r="G23" s="332">
        <f>IF(B5="","",YEAR(G20))</f>
        <v>2013</v>
      </c>
    </row>
  </sheetData>
  <sheetProtection sheet="1"/>
  <mergeCells count="2">
    <mergeCell ref="A2:F2"/>
    <mergeCell ref="A15:B15"/>
  </mergeCells>
  <printOptions/>
  <pageMargins left="0.7" right="0.7" top="0.75" bottom="0.75" header="0.3" footer="0.3"/>
  <pageSetup blackAndWhite="1" horizontalDpi="600" verticalDpi="600" orientation="portrait" scale="76" r:id="rId1"/>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F52"/>
  <sheetViews>
    <sheetView view="pageBreakPreview" zoomScale="108" zoomScaleNormal="90" zoomScaleSheetLayoutView="108" zoomScalePageLayoutView="0" workbookViewId="0" topLeftCell="A16">
      <selection activeCell="A35" sqref="A35"/>
    </sheetView>
  </sheetViews>
  <sheetFormatPr defaultColWidth="8.796875" defaultRowHeight="15"/>
  <cols>
    <col min="1" max="1" width="24.19921875" style="103" customWidth="1"/>
    <col min="2" max="2" width="9.796875" style="103" customWidth="1"/>
    <col min="3" max="3" width="5.796875" style="103" customWidth="1"/>
    <col min="4" max="6" width="15.796875" style="103" customWidth="1"/>
    <col min="7" max="16384" width="8.8984375" style="103" customWidth="1"/>
  </cols>
  <sheetData>
    <row r="1" spans="1:6" ht="12.75">
      <c r="A1" s="102"/>
      <c r="B1" s="102"/>
      <c r="C1" s="102"/>
      <c r="D1" s="102"/>
      <c r="E1" s="102"/>
      <c r="F1" s="102"/>
    </row>
    <row r="2" spans="1:6" ht="12.75">
      <c r="A2" s="429" t="s">
        <v>102</v>
      </c>
      <c r="B2" s="429"/>
      <c r="C2" s="429"/>
      <c r="D2" s="429"/>
      <c r="E2" s="429"/>
      <c r="F2" s="429"/>
    </row>
    <row r="3" spans="1:6" ht="15" customHeight="1">
      <c r="A3" s="104"/>
      <c r="B3" s="104"/>
      <c r="C3" s="104"/>
      <c r="D3" s="104"/>
      <c r="E3" s="104"/>
      <c r="F3" s="102">
        <f>inputPrYr!C4</f>
        <v>2014</v>
      </c>
    </row>
    <row r="4" spans="1:6" ht="15">
      <c r="A4" s="434" t="str">
        <f>CONCATENATE("To the Clerk of ",inputPrYr!C2,", State of Kansas")</f>
        <v>To the Clerk of MITCHELL COUNTY, State of Kansas</v>
      </c>
      <c r="B4" s="435"/>
      <c r="C4" s="435"/>
      <c r="D4" s="435"/>
      <c r="E4" s="435"/>
      <c r="F4" s="435"/>
    </row>
    <row r="5" spans="1:6" ht="15">
      <c r="A5" s="434" t="s">
        <v>5</v>
      </c>
      <c r="B5" s="436"/>
      <c r="C5" s="436"/>
      <c r="D5" s="436"/>
      <c r="E5" s="436"/>
      <c r="F5" s="436"/>
    </row>
    <row r="6" spans="1:6" ht="15">
      <c r="A6" s="432" t="str">
        <f>(inputPrYr!C2)</f>
        <v>MITCHELL COUNTY</v>
      </c>
      <c r="B6" s="433"/>
      <c r="C6" s="433"/>
      <c r="D6" s="433"/>
      <c r="E6" s="433"/>
      <c r="F6" s="433"/>
    </row>
    <row r="7" spans="1:6" ht="12.75">
      <c r="A7" s="105" t="s">
        <v>30</v>
      </c>
      <c r="B7" s="106"/>
      <c r="C7" s="106"/>
      <c r="D7" s="106"/>
      <c r="E7" s="106"/>
      <c r="F7" s="106"/>
    </row>
    <row r="8" spans="1:6" ht="12.75">
      <c r="A8" s="105" t="s">
        <v>31</v>
      </c>
      <c r="B8" s="106"/>
      <c r="C8" s="106"/>
      <c r="D8" s="106"/>
      <c r="E8" s="106"/>
      <c r="F8" s="106"/>
    </row>
    <row r="9" spans="1:6" ht="12.75">
      <c r="A9" s="105" t="str">
        <f>CONCATENATE("maximum expenditure for the various funds for the year ",F3,"; and")</f>
        <v>maximum expenditure for the various funds for the year 2014; and</v>
      </c>
      <c r="B9" s="106"/>
      <c r="C9" s="106"/>
      <c r="D9" s="106"/>
      <c r="E9" s="106"/>
      <c r="F9" s="106"/>
    </row>
    <row r="10" spans="1:6" ht="12.75">
      <c r="A10" s="105" t="str">
        <f>CONCATENATE("(3) the Amount(s) of ",F3-1," Ad Valorem Tax are within statutory limitations.")</f>
        <v>(3) the Amount(s) of 2013 Ad Valorem Tax are within statutory limitations.</v>
      </c>
      <c r="B10" s="106"/>
      <c r="C10" s="106"/>
      <c r="D10" s="106"/>
      <c r="E10" s="106"/>
      <c r="F10" s="106"/>
    </row>
    <row r="11" spans="1:6" ht="8.25" customHeight="1">
      <c r="A11" s="107"/>
      <c r="B11" s="104"/>
      <c r="C11" s="104"/>
      <c r="D11" s="108"/>
      <c r="E11" s="108"/>
      <c r="F11" s="108"/>
    </row>
    <row r="12" spans="1:6" ht="12.75">
      <c r="A12" s="104"/>
      <c r="B12" s="104"/>
      <c r="C12" s="104"/>
      <c r="D12" s="109" t="str">
        <f>CONCATENATE("",F3," Adopted Budget")</f>
        <v>2014 Adopted Budget</v>
      </c>
      <c r="E12" s="110"/>
      <c r="F12" s="111"/>
    </row>
    <row r="13" spans="1:6" ht="13.5" customHeight="1">
      <c r="A13" s="104"/>
      <c r="B13" s="104"/>
      <c r="C13" s="112" t="s">
        <v>32</v>
      </c>
      <c r="D13" s="287" t="s">
        <v>208</v>
      </c>
      <c r="E13" s="430" t="str">
        <f>CONCATENATE("Amount of ",F3-1,"               Ad Valorem Tax")</f>
        <v>Amount of 2013               Ad Valorem Tax</v>
      </c>
      <c r="F13" s="112" t="s">
        <v>33</v>
      </c>
    </row>
    <row r="14" spans="1:6" ht="12.75" customHeight="1">
      <c r="A14" s="113" t="s">
        <v>34</v>
      </c>
      <c r="B14" s="114"/>
      <c r="C14" s="115" t="s">
        <v>35</v>
      </c>
      <c r="D14" s="286" t="s">
        <v>209</v>
      </c>
      <c r="E14" s="431"/>
      <c r="F14" s="115" t="s">
        <v>37</v>
      </c>
    </row>
    <row r="15" spans="1:6" ht="12.75">
      <c r="A15" s="116" t="s">
        <v>256</v>
      </c>
      <c r="B15" s="120"/>
      <c r="C15" s="115">
        <v>2</v>
      </c>
      <c r="D15" s="117"/>
      <c r="E15" s="117"/>
      <c r="F15" s="117"/>
    </row>
    <row r="16" spans="1:6" ht="12.75">
      <c r="A16" s="116" t="s">
        <v>257</v>
      </c>
      <c r="B16" s="120"/>
      <c r="C16" s="121">
        <v>3</v>
      </c>
      <c r="D16" s="117"/>
      <c r="E16" s="117"/>
      <c r="F16" s="117"/>
    </row>
    <row r="17" spans="1:6" ht="12.75">
      <c r="A17" s="116" t="s">
        <v>258</v>
      </c>
      <c r="B17" s="120"/>
      <c r="C17" s="121">
        <v>4</v>
      </c>
      <c r="D17" s="117"/>
      <c r="E17" s="117"/>
      <c r="F17" s="117"/>
    </row>
    <row r="18" spans="1:6" ht="12.75">
      <c r="A18" s="347" t="s">
        <v>146</v>
      </c>
      <c r="B18" s="386"/>
      <c r="C18" s="121">
        <v>5</v>
      </c>
      <c r="D18" s="117"/>
      <c r="E18" s="117"/>
      <c r="F18" s="117"/>
    </row>
    <row r="19" spans="1:6" ht="12.75">
      <c r="A19" s="119" t="s">
        <v>38</v>
      </c>
      <c r="B19" s="120"/>
      <c r="C19" s="122">
        <v>6</v>
      </c>
      <c r="D19" s="123"/>
      <c r="E19" s="123"/>
      <c r="F19" s="123"/>
    </row>
    <row r="20" spans="1:6" ht="12.75">
      <c r="A20" s="119" t="s">
        <v>39</v>
      </c>
      <c r="B20" s="120"/>
      <c r="C20" s="124">
        <v>7</v>
      </c>
      <c r="D20" s="123"/>
      <c r="E20" s="123"/>
      <c r="F20" s="123"/>
    </row>
    <row r="21" spans="1:6" ht="12.75">
      <c r="A21" s="125" t="s">
        <v>40</v>
      </c>
      <c r="B21" s="126" t="s">
        <v>41</v>
      </c>
      <c r="C21" s="127"/>
      <c r="D21" s="128"/>
      <c r="E21" s="128"/>
      <c r="F21" s="128"/>
    </row>
    <row r="22" spans="1:6" ht="15.75">
      <c r="A22" s="130" t="str">
        <f>IF((inputPrYr!$B16&gt;"  "),(inputPrYr!$B16),"  ")</f>
        <v>MCO # 1</v>
      </c>
      <c r="B22" s="129" t="str">
        <f>IF((inputPrYr!C16&gt;0),(inputPrYr!C16),"  ")</f>
        <v>19-3610</v>
      </c>
      <c r="C22" s="122">
        <f>IF('MCO-Tipton'!C71&gt;0,'MCO-Tipton'!C71,"  ")</f>
        <v>8</v>
      </c>
      <c r="D22" s="387">
        <f>IF('MCO-Tipton'!$E$29&lt;&gt;0,'MCO-Tipton'!$E$29,"  ")</f>
        <v>57000</v>
      </c>
      <c r="E22" s="388">
        <f>IF('MCO-Tipton'!$E$36&lt;&gt;0,'MCO-Tipton'!$E$36,0)</f>
        <v>44132</v>
      </c>
      <c r="F22" s="389" t="str">
        <f>IF(AND('MCO-Tipton'!E36=0,$F$37&gt;=0)," ",IF(AND(E22&gt;0,$F$37=0)," ",IF(AND(E22&gt;0,$F$37&gt;0),ROUND(E22/$F$37*1000,3))))</f>
        <v> </v>
      </c>
    </row>
    <row r="23" spans="1:6" ht="15.75">
      <c r="A23" s="130" t="str">
        <f>IF((inputPrYr!$B17&gt;"  "),(inputPrYr!$B17),"  ")</f>
        <v>Tipton # 2</v>
      </c>
      <c r="B23" s="129" t="str">
        <f>IF((inputPrYr!C17&gt;0),(inputPrYr!C17),"  ")</f>
        <v>19-3610</v>
      </c>
      <c r="C23" s="122">
        <f>IF('MCO-Tipton'!C71&gt;0,'MCO-Tipton'!C71,"  ")</f>
        <v>8</v>
      </c>
      <c r="D23" s="387">
        <f>IF('MCO-Tipton'!$E$63&lt;&gt;0,'MCO-Tipton'!$E$63,"  ")</f>
        <v>24000</v>
      </c>
      <c r="E23" s="388">
        <f>IF('MCO-Tipton'!$E$70&lt;&gt;0,'MCO-Tipton'!$E$70,0)</f>
        <v>9619</v>
      </c>
      <c r="F23" s="389" t="str">
        <f>IF(AND('MCO-Tipton'!E70=0,$F$37&gt;=0)," ",IF(AND(E23&gt;0,$F$37=0)," ",IF(AND(E23&gt;0,$F$37&gt;0),ROUND(E23/$F$37*1000,3))))</f>
        <v> </v>
      </c>
    </row>
    <row r="24" spans="1:6" ht="15.75">
      <c r="A24" s="130" t="str">
        <f>IF((inputPrYr!$B18&gt;"  "),(inputPrYr!$B18),"  ")</f>
        <v>Solomon Rapids F.D. # 3</v>
      </c>
      <c r="B24" s="129" t="str">
        <f>IF((inputPrYr!C18&gt;0),(inputPrYr!C18),"  ")</f>
        <v>19-3610</v>
      </c>
      <c r="C24" s="122">
        <f>IF(SolomonRap!C72&gt;0,SolomonRap!C72,"  ")</f>
        <v>9</v>
      </c>
      <c r="D24" s="387">
        <f>IF(SolomonRap!$E$32&lt;&gt;0,SolomonRap!$E$32,"  ")</f>
        <v>57000</v>
      </c>
      <c r="E24" s="388">
        <f>IF(SolomonRap!$E$39&lt;&gt;0,SolomonRap!$E$39,0)</f>
        <v>42129</v>
      </c>
      <c r="F24" s="389" t="str">
        <f>IF(AND(SolomonRap!E39=0,$F$37&gt;=0)," ",IF(AND(E24&gt;0,$F$37=0)," ",IF(AND(E24&gt;0,$F$37&gt;0),ROUND(E24/$F$37*1000,3))))</f>
        <v> </v>
      </c>
    </row>
    <row r="25" spans="1:6" ht="15.75">
      <c r="A25" s="130" t="str">
        <f>IF((inputPrYr!$B19&gt;"  "),(inputPrYr!$B19),"  ")</f>
        <v>  </v>
      </c>
      <c r="B25" s="129" t="str">
        <f>IF((inputPrYr!C19&gt;0),(inputPrYr!C19),"  ")</f>
        <v>  </v>
      </c>
      <c r="C25" s="122"/>
      <c r="D25" s="387"/>
      <c r="E25" s="388"/>
      <c r="F25" s="389"/>
    </row>
    <row r="26" spans="1:6" ht="15.75">
      <c r="A26" s="130" t="str">
        <f>IF((inputPrYr!$B30&gt;"  "),(inputPrYr!$B30),"  ")</f>
        <v>  </v>
      </c>
      <c r="B26" s="129" t="str">
        <f>IF((inputPrYr!C30&gt;0),(inputPrYr!C30),"  ")</f>
        <v>  </v>
      </c>
      <c r="C26" s="122"/>
      <c r="D26" s="387"/>
      <c r="E26" s="388"/>
      <c r="F26" s="389"/>
    </row>
    <row r="27" spans="1:6" ht="15.75">
      <c r="A27" s="130" t="str">
        <f>IF((inputPrYr!$B31&gt;"  "),(inputPrYr!$B31),"  ")</f>
        <v>  </v>
      </c>
      <c r="B27" s="129" t="str">
        <f>IF((inputPrYr!C31&gt;0),(inputPrYr!C31),"  ")</f>
        <v>  </v>
      </c>
      <c r="C27" s="122"/>
      <c r="D27" s="387"/>
      <c r="E27" s="388"/>
      <c r="F27" s="389"/>
    </row>
    <row r="28" spans="1:6" ht="12.75">
      <c r="A28" s="130" t="str">
        <f>IF((inputPrYr!$B34&gt;"  "),(inputPrYr!$B34),"  ")</f>
        <v>MCO F.D.  # 1 Spec. Equip.</v>
      </c>
      <c r="B28" s="132"/>
      <c r="C28" s="122">
        <f>IF('MCOEq-TipEq'!C66&gt;0,'MCOEq-TipEq'!C66,"  ")</f>
        <v>10</v>
      </c>
      <c r="D28" s="387">
        <f>IF('MCOEq-TipEq'!$E$29&lt;&gt;0,'MCOEq-TipEq'!$E$29,"  ")</f>
        <v>17682</v>
      </c>
      <c r="E28" s="390"/>
      <c r="F28" s="390"/>
    </row>
    <row r="29" spans="1:6" ht="12.75">
      <c r="A29" s="130" t="str">
        <f>IF((inputPrYr!$B35&gt;"  "),(inputPrYr!$B35),"  ")</f>
        <v>Tipton F.D.  # 2 Spec. Equip.</v>
      </c>
      <c r="B29" s="132"/>
      <c r="C29" s="122">
        <f>IF('MCOEq-TipEq'!C66&gt;0,'MCOEq-TipEq'!C66,"  ")</f>
        <v>10</v>
      </c>
      <c r="D29" s="387">
        <f>IF('MCOEq-TipEq'!$E$60&lt;&gt;0,'MCOEq-TipEq'!$E$60,"  ")</f>
        <v>6000</v>
      </c>
      <c r="E29" s="390"/>
      <c r="F29" s="390"/>
    </row>
    <row r="30" spans="1:6" ht="12.75">
      <c r="A30" s="130" t="str">
        <f>IF((inputPrYr!$B36&gt;"  "),(inputPrYr!$B36),"  ")</f>
        <v>Solomon Rapids F.D.  # 3 Spec. Equip.</v>
      </c>
      <c r="B30" s="132"/>
      <c r="C30" s="122">
        <f>IF(SolomonRapEq!C66&gt;0,SolomonRapEq!C66,"  ")</f>
        <v>11</v>
      </c>
      <c r="D30" s="387">
        <f>IF(SolomonRapEq!$E$29&lt;&gt;0,SolomonRapEq!$E$29,"  ")</f>
        <v>18125</v>
      </c>
      <c r="E30" s="390"/>
      <c r="F30" s="390"/>
    </row>
    <row r="31" spans="1:6" ht="12.75">
      <c r="A31" s="130" t="str">
        <f>IF((inputPrYr!$B37&gt;"  "),(inputPrYr!$B37),"  ")</f>
        <v>  </v>
      </c>
      <c r="B31" s="132"/>
      <c r="C31" s="122">
        <f>IF(SolomonRapEq!C66&gt;0,SolomonRapEq!C66,"  ")</f>
        <v>11</v>
      </c>
      <c r="D31" s="387" t="str">
        <f>IF(SolomonRapEq!$E$60&lt;&gt;0,SolomonRapEq!$E$60,"  ")</f>
        <v>  </v>
      </c>
      <c r="E31" s="390"/>
      <c r="F31" s="390"/>
    </row>
    <row r="32" spans="1:6" ht="12.75">
      <c r="A32" s="130" t="str">
        <f>IF((inputPrYr!$B60&gt;"  "),(#REF!),"  ")</f>
        <v>  </v>
      </c>
      <c r="B32" s="127"/>
      <c r="C32" s="122"/>
      <c r="D32" s="387"/>
      <c r="E32" s="391"/>
      <c r="F32" s="391"/>
    </row>
    <row r="33" spans="1:6" ht="12.75">
      <c r="A33" s="130" t="str">
        <f>IF((inputPrYr!$B66&gt;"  "),(#REF!),"  ")</f>
        <v>  </v>
      </c>
      <c r="B33" s="127"/>
      <c r="C33" s="122"/>
      <c r="D33" s="387"/>
      <c r="E33" s="391"/>
      <c r="F33" s="391"/>
    </row>
    <row r="34" spans="1:6" ht="14.25" customHeight="1" thickBot="1">
      <c r="A34" s="134" t="s">
        <v>47</v>
      </c>
      <c r="B34" s="133"/>
      <c r="C34" s="122" t="s">
        <v>13</v>
      </c>
      <c r="D34" s="392">
        <f>SUM(D22:D33)</f>
        <v>179807</v>
      </c>
      <c r="E34" s="392">
        <f>SUM(E22:E27)</f>
        <v>95880</v>
      </c>
      <c r="F34" s="393">
        <f>IF(SUM(F22:F27)=0,"",SUM(F22:F27))</f>
      </c>
    </row>
    <row r="35" spans="1:6" ht="14.25" customHeight="1" thickTop="1">
      <c r="A35" s="135" t="s">
        <v>12</v>
      </c>
      <c r="B35" s="136"/>
      <c r="C35" s="122">
        <f>summ!E57</f>
        <v>12</v>
      </c>
      <c r="D35" s="137"/>
      <c r="E35" s="137"/>
      <c r="F35" s="118"/>
    </row>
    <row r="36" spans="1:6" ht="12.75">
      <c r="A36" s="119"/>
      <c r="B36" s="120"/>
      <c r="C36" s="122"/>
      <c r="D36" s="138"/>
      <c r="E36" s="104"/>
      <c r="F36" s="284" t="s">
        <v>163</v>
      </c>
    </row>
    <row r="37" spans="1:6" ht="15.75">
      <c r="A37" s="437"/>
      <c r="B37" s="438"/>
      <c r="C37" s="131"/>
      <c r="D37" s="139" t="s">
        <v>15</v>
      </c>
      <c r="E37" s="140" t="str">
        <f>IF(E34&gt;'comp-MCO'!J35,"Yes","No")</f>
        <v>Yes</v>
      </c>
      <c r="F37" s="141"/>
    </row>
    <row r="38" spans="1:6" ht="14.25" customHeight="1">
      <c r="A38" s="119" t="s">
        <v>14</v>
      </c>
      <c r="B38" s="142"/>
      <c r="C38" s="131">
        <f>IF(Resolution!E55&gt;0,Resolution!E55,"")</f>
        <v>13</v>
      </c>
      <c r="D38" s="138"/>
      <c r="E38" s="118"/>
      <c r="F38" s="440" t="str">
        <f>CONCATENATE("Nov 1, ",F3-1," Total Assessed Valuation")</f>
        <v>Nov 1, 2013 Total Assessed Valuation</v>
      </c>
    </row>
    <row r="39" spans="1:6" ht="12.75">
      <c r="A39" s="102" t="s">
        <v>43</v>
      </c>
      <c r="B39" s="104"/>
      <c r="C39" s="107"/>
      <c r="D39" s="104"/>
      <c r="E39" s="104"/>
      <c r="F39" s="441"/>
    </row>
    <row r="40" spans="1:6" ht="12.75">
      <c r="A40" s="144" t="s">
        <v>259</v>
      </c>
      <c r="B40" s="104"/>
      <c r="C40" s="104"/>
      <c r="D40" s="104"/>
      <c r="E40" s="260"/>
      <c r="F40" s="260"/>
    </row>
    <row r="41" spans="1:6" ht="12.75">
      <c r="A41" s="145" t="s">
        <v>260</v>
      </c>
      <c r="B41" s="143"/>
      <c r="C41" s="118"/>
      <c r="D41" s="118"/>
      <c r="E41" s="396"/>
      <c r="F41" s="396"/>
    </row>
    <row r="42" spans="1:6" ht="12.75">
      <c r="A42" s="259" t="s">
        <v>164</v>
      </c>
      <c r="B42" s="143"/>
      <c r="C42" s="118"/>
      <c r="D42" s="118"/>
      <c r="E42" s="396"/>
      <c r="F42" s="396"/>
    </row>
    <row r="43" spans="1:6" ht="12.75">
      <c r="A43" s="144" t="s">
        <v>261</v>
      </c>
      <c r="B43" s="104"/>
      <c r="C43" s="118" t="s">
        <v>246</v>
      </c>
      <c r="D43" s="118"/>
      <c r="E43" s="395"/>
      <c r="F43" s="395"/>
    </row>
    <row r="44" spans="1:6" ht="12.75">
      <c r="A44" s="145" t="s">
        <v>262</v>
      </c>
      <c r="B44" s="146"/>
      <c r="C44" s="118"/>
      <c r="D44" s="118"/>
      <c r="E44" s="396"/>
      <c r="F44" s="397"/>
    </row>
    <row r="45" spans="1:6" ht="12.75">
      <c r="A45" s="259" t="s">
        <v>245</v>
      </c>
      <c r="B45" s="104"/>
      <c r="C45" s="118" t="s">
        <v>246</v>
      </c>
      <c r="D45" s="118"/>
      <c r="E45" s="395"/>
      <c r="F45" s="396"/>
    </row>
    <row r="46" spans="1:6" ht="15.75">
      <c r="A46" s="403" t="s">
        <v>263</v>
      </c>
      <c r="B46" s="104"/>
      <c r="C46" s="118"/>
      <c r="D46" s="118"/>
      <c r="E46" s="395"/>
      <c r="F46" s="396"/>
    </row>
    <row r="47" spans="1:6" ht="12.75">
      <c r="A47" s="259"/>
      <c r="B47" s="104"/>
      <c r="C47" s="118" t="s">
        <v>246</v>
      </c>
      <c r="D47" s="118"/>
      <c r="E47" s="395"/>
      <c r="F47" s="396"/>
    </row>
    <row r="48" spans="1:6" ht="12.75">
      <c r="A48" s="283" t="s">
        <v>6</v>
      </c>
      <c r="B48" s="147">
        <f>F3-1</f>
        <v>2013</v>
      </c>
      <c r="C48" s="118"/>
      <c r="D48" s="118"/>
      <c r="E48" s="398"/>
      <c r="F48" s="118"/>
    </row>
    <row r="49" spans="1:6" ht="12.75">
      <c r="A49" s="282"/>
      <c r="B49" s="104"/>
      <c r="C49" s="118" t="s">
        <v>246</v>
      </c>
      <c r="D49" s="118"/>
      <c r="E49" s="118"/>
      <c r="F49" s="118"/>
    </row>
    <row r="50" spans="1:6" ht="15">
      <c r="A50" s="285" t="s">
        <v>45</v>
      </c>
      <c r="B50" s="104"/>
      <c r="C50" s="439" t="s">
        <v>44</v>
      </c>
      <c r="D50" s="436"/>
      <c r="E50" s="436"/>
      <c r="F50" s="436"/>
    </row>
    <row r="51" spans="1:6" ht="12.75">
      <c r="A51" s="428"/>
      <c r="B51" s="428"/>
      <c r="C51" s="428"/>
      <c r="D51" s="428"/>
      <c r="E51" s="428"/>
      <c r="F51" s="428"/>
    </row>
    <row r="52" spans="3:6" ht="12.75">
      <c r="C52" s="148"/>
      <c r="E52" s="148"/>
      <c r="F52" s="148"/>
    </row>
  </sheetData>
  <sheetProtection/>
  <mergeCells count="9">
    <mergeCell ref="A51:F51"/>
    <mergeCell ref="A2:F2"/>
    <mergeCell ref="E13:E14"/>
    <mergeCell ref="A6:F6"/>
    <mergeCell ref="A4:F4"/>
    <mergeCell ref="A5:F5"/>
    <mergeCell ref="A37:B37"/>
    <mergeCell ref="C50:F50"/>
    <mergeCell ref="F38:F39"/>
  </mergeCells>
  <hyperlinks>
    <hyperlink ref="A46" r:id="rId1" display="budget1@lvpf-cpa.com"/>
  </hyperlinks>
  <printOptions/>
  <pageMargins left="0.5" right="0.5" top="0" bottom="0.23" header="0" footer="0"/>
  <pageSetup blackAndWhite="1" fitToHeight="1" fitToWidth="1" horizontalDpi="120" verticalDpi="120" orientation="portrait" scale="85" r:id="rId2"/>
  <headerFooter alignWithMargins="0">
    <oddHeader>&amp;RState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view="pageBreakPreview" zoomScale="108" zoomScaleNormal="85" zoomScaleSheetLayoutView="108" zoomScalePageLayoutView="0" workbookViewId="0" topLeftCell="A1">
      <selection activeCell="J34" sqref="J34"/>
    </sheetView>
  </sheetViews>
  <sheetFormatPr defaultColWidth="8.796875" defaultRowHeight="15.75" customHeight="1"/>
  <cols>
    <col min="1" max="2" width="3.296875" style="26" customWidth="1"/>
    <col min="3" max="3" width="31.296875" style="26" customWidth="1"/>
    <col min="4" max="4" width="2.296875" style="26" customWidth="1"/>
    <col min="5" max="5" width="15.796875" style="26" customWidth="1"/>
    <col min="6" max="6" width="2" style="26" customWidth="1"/>
    <col min="7" max="7" width="15.796875" style="26" customWidth="1"/>
    <col min="8" max="8" width="1.8984375" style="26" customWidth="1"/>
    <col min="9" max="9" width="1.796875" style="26" customWidth="1"/>
    <col min="10" max="10" width="15.796875" style="26" customWidth="1"/>
    <col min="11" max="16384" width="8.8984375" style="26" customWidth="1"/>
  </cols>
  <sheetData>
    <row r="1" spans="1:10" ht="15.75" customHeight="1">
      <c r="A1" s="29"/>
      <c r="B1" s="29"/>
      <c r="C1" s="155" t="str">
        <f>inputPrYr!C2</f>
        <v>MITCHELL COUNTY</v>
      </c>
      <c r="D1" s="29"/>
      <c r="E1" s="29"/>
      <c r="F1" s="29"/>
      <c r="G1" s="29"/>
      <c r="H1" s="29"/>
      <c r="I1" s="29"/>
      <c r="J1" s="29">
        <f>inputPrYr!C4</f>
        <v>2014</v>
      </c>
    </row>
    <row r="2" spans="1:10" ht="15.75" customHeight="1">
      <c r="A2" s="29"/>
      <c r="B2" s="29"/>
      <c r="C2" s="29"/>
      <c r="D2" s="29"/>
      <c r="E2" s="29" t="s">
        <v>249</v>
      </c>
      <c r="F2" s="29"/>
      <c r="G2" s="29"/>
      <c r="H2" s="29"/>
      <c r="I2" s="29"/>
      <c r="J2" s="29"/>
    </row>
    <row r="3" spans="1:10" ht="15.75">
      <c r="A3" s="415" t="str">
        <f>CONCATENATE("Computation to Determine Limit for ",J1,"")</f>
        <v>Computation to Determine Limit for 2014</v>
      </c>
      <c r="B3" s="443"/>
      <c r="C3" s="443"/>
      <c r="D3" s="443"/>
      <c r="E3" s="443"/>
      <c r="F3" s="443"/>
      <c r="G3" s="443"/>
      <c r="H3" s="443"/>
      <c r="I3" s="443"/>
      <c r="J3" s="443"/>
    </row>
    <row r="4" spans="1:10" ht="15.75">
      <c r="A4" s="29"/>
      <c r="B4" s="29"/>
      <c r="C4" s="29"/>
      <c r="D4" s="29"/>
      <c r="E4" s="443"/>
      <c r="F4" s="443"/>
      <c r="G4" s="443"/>
      <c r="H4" s="156"/>
      <c r="I4" s="29"/>
      <c r="J4" s="157" t="s">
        <v>110</v>
      </c>
    </row>
    <row r="5" spans="1:10" ht="15.75">
      <c r="A5" s="158" t="s">
        <v>111</v>
      </c>
      <c r="B5" s="29" t="str">
        <f>CONCATENATE("Total Tax Levy Amount in ",J1-1," Budget")</f>
        <v>Total Tax Levy Amount in 2013 Budget</v>
      </c>
      <c r="C5" s="29"/>
      <c r="D5" s="29"/>
      <c r="E5" s="87"/>
      <c r="F5" s="87"/>
      <c r="G5" s="87"/>
      <c r="H5" s="159" t="s">
        <v>112</v>
      </c>
      <c r="I5" s="87" t="s">
        <v>113</v>
      </c>
      <c r="J5" s="160">
        <v>41530</v>
      </c>
    </row>
    <row r="6" spans="1:10" ht="15.75">
      <c r="A6" s="158" t="s">
        <v>114</v>
      </c>
      <c r="B6" s="29" t="str">
        <f>CONCATENATE("Debt Service Levy in ",J1-1," Budget")</f>
        <v>Debt Service Levy in 2013 Budget</v>
      </c>
      <c r="C6" s="29"/>
      <c r="D6" s="29"/>
      <c r="E6" s="87"/>
      <c r="F6" s="87"/>
      <c r="G6" s="87"/>
      <c r="H6" s="159" t="s">
        <v>115</v>
      </c>
      <c r="I6" s="87" t="s">
        <v>113</v>
      </c>
      <c r="J6" s="93"/>
    </row>
    <row r="7" spans="1:10" ht="15.75">
      <c r="A7" s="158" t="s">
        <v>116</v>
      </c>
      <c r="B7" s="94" t="s">
        <v>132</v>
      </c>
      <c r="C7" s="29"/>
      <c r="D7" s="29"/>
      <c r="E7" s="87"/>
      <c r="F7" s="87"/>
      <c r="G7" s="87"/>
      <c r="H7" s="87"/>
      <c r="I7" s="87" t="s">
        <v>113</v>
      </c>
      <c r="J7" s="93">
        <f>J5-J6</f>
        <v>41530</v>
      </c>
    </row>
    <row r="8" spans="1:10" ht="15.75">
      <c r="A8" s="29"/>
      <c r="B8" s="29"/>
      <c r="C8" s="29"/>
      <c r="D8" s="29"/>
      <c r="E8" s="87"/>
      <c r="F8" s="87"/>
      <c r="G8" s="87"/>
      <c r="H8" s="87"/>
      <c r="I8" s="87"/>
      <c r="J8" s="87"/>
    </row>
    <row r="9" spans="1:10" ht="15.75">
      <c r="A9" s="29"/>
      <c r="B9" s="94" t="str">
        <f>CONCATENATE("",J1-1," Valuation Information for Valuation Adjustments:")</f>
        <v>2013 Valuation Information for Valuation Adjustments:</v>
      </c>
      <c r="C9" s="29"/>
      <c r="D9" s="29"/>
      <c r="E9" s="87"/>
      <c r="F9" s="87"/>
      <c r="G9" s="87"/>
      <c r="H9" s="87"/>
      <c r="I9" s="87"/>
      <c r="J9" s="87"/>
    </row>
    <row r="10" spans="1:10" ht="15.75">
      <c r="A10" s="29"/>
      <c r="B10" s="29"/>
      <c r="C10" s="94"/>
      <c r="D10" s="29"/>
      <c r="E10" s="87"/>
      <c r="F10" s="87"/>
      <c r="G10" s="87"/>
      <c r="H10" s="87"/>
      <c r="I10" s="87"/>
      <c r="J10" s="87"/>
    </row>
    <row r="11" spans="1:10" ht="15.75">
      <c r="A11" s="158" t="s">
        <v>117</v>
      </c>
      <c r="B11" s="94" t="str">
        <f>CONCATENATE("New Improvements for ",J1-1,":")</f>
        <v>New Improvements for 2013:</v>
      </c>
      <c r="C11" s="29"/>
      <c r="D11" s="29"/>
      <c r="E11" s="159"/>
      <c r="F11" s="159" t="s">
        <v>112</v>
      </c>
      <c r="G11" s="160">
        <v>47779</v>
      </c>
      <c r="H11" s="65"/>
      <c r="I11" s="87"/>
      <c r="J11" s="87"/>
    </row>
    <row r="12" spans="1:10" ht="15.75">
      <c r="A12" s="158"/>
      <c r="B12" s="158"/>
      <c r="C12" s="29"/>
      <c r="D12" s="29"/>
      <c r="E12" s="159"/>
      <c r="F12" s="159"/>
      <c r="G12" s="65"/>
      <c r="H12" s="65"/>
      <c r="I12" s="87"/>
      <c r="J12" s="87"/>
    </row>
    <row r="13" spans="1:10" ht="15.75">
      <c r="A13" s="158" t="s">
        <v>118</v>
      </c>
      <c r="B13" s="94" t="str">
        <f>CONCATENATE("Increase in Personal Property for ",J1-1,":")</f>
        <v>Increase in Personal Property for 2013:</v>
      </c>
      <c r="C13" s="29"/>
      <c r="D13" s="29"/>
      <c r="E13" s="159"/>
      <c r="F13" s="159"/>
      <c r="G13" s="65"/>
      <c r="H13" s="65"/>
      <c r="I13" s="87"/>
      <c r="J13" s="87"/>
    </row>
    <row r="14" spans="1:10" ht="15.75">
      <c r="A14" s="29"/>
      <c r="B14" s="29" t="s">
        <v>119</v>
      </c>
      <c r="C14" s="29" t="str">
        <f>CONCATENATE("Personal Property ",J1-1,"")</f>
        <v>Personal Property 2013</v>
      </c>
      <c r="D14" s="158" t="s">
        <v>112</v>
      </c>
      <c r="E14" s="160">
        <v>314113</v>
      </c>
      <c r="F14" s="159"/>
      <c r="G14" s="87"/>
      <c r="H14" s="87"/>
      <c r="I14" s="65"/>
      <c r="J14" s="87"/>
    </row>
    <row r="15" spans="1:10" ht="15.75">
      <c r="A15" s="158"/>
      <c r="B15" s="29" t="s">
        <v>120</v>
      </c>
      <c r="C15" s="29" t="str">
        <f>CONCATENATE("Personal Property ",J1-2,"")</f>
        <v>Personal Property 2012</v>
      </c>
      <c r="D15" s="158" t="s">
        <v>115</v>
      </c>
      <c r="E15" s="93">
        <v>324264</v>
      </c>
      <c r="F15" s="159"/>
      <c r="G15" s="65"/>
      <c r="H15" s="65"/>
      <c r="I15" s="87"/>
      <c r="J15" s="87"/>
    </row>
    <row r="16" spans="1:10" ht="15.75">
      <c r="A16" s="158"/>
      <c r="B16" s="29" t="s">
        <v>121</v>
      </c>
      <c r="C16" s="29" t="s">
        <v>134</v>
      </c>
      <c r="D16" s="29"/>
      <c r="E16" s="87"/>
      <c r="F16" s="87" t="s">
        <v>112</v>
      </c>
      <c r="G16" s="160">
        <f>IF(E14&gt;E15,E14-E15,0)</f>
        <v>0</v>
      </c>
      <c r="H16" s="65"/>
      <c r="I16" s="87"/>
      <c r="J16" s="87"/>
    </row>
    <row r="17" spans="1:10" ht="15.75">
      <c r="A17" s="158"/>
      <c r="B17" s="158"/>
      <c r="C17" s="29"/>
      <c r="D17" s="29"/>
      <c r="E17" s="87"/>
      <c r="F17" s="87"/>
      <c r="G17" s="65" t="s">
        <v>127</v>
      </c>
      <c r="H17" s="65"/>
      <c r="I17" s="87"/>
      <c r="J17" s="87"/>
    </row>
    <row r="18" spans="1:10" ht="15.75">
      <c r="A18" s="158"/>
      <c r="B18" s="158"/>
      <c r="C18" s="29"/>
      <c r="D18" s="158"/>
      <c r="E18" s="65"/>
      <c r="F18" s="87"/>
      <c r="G18" s="65"/>
      <c r="H18" s="65"/>
      <c r="I18" s="87"/>
      <c r="J18" s="87"/>
    </row>
    <row r="19" spans="1:10" ht="15.75">
      <c r="A19" s="158" t="s">
        <v>122</v>
      </c>
      <c r="B19" s="94" t="str">
        <f>CONCATENATE("Valuation of Property that has Changed in Use during ",J1-1,":")</f>
        <v>Valuation of Property that has Changed in Use during 2013:</v>
      </c>
      <c r="C19" s="29"/>
      <c r="D19" s="29"/>
      <c r="E19" s="87"/>
      <c r="F19" s="87"/>
      <c r="G19" s="87">
        <v>39838</v>
      </c>
      <c r="H19" s="87"/>
      <c r="I19" s="87"/>
      <c r="J19" s="87"/>
    </row>
    <row r="20" spans="1:10" ht="15.75">
      <c r="A20" s="158"/>
      <c r="B20" s="29"/>
      <c r="C20" s="29"/>
      <c r="D20" s="158"/>
      <c r="E20" s="65"/>
      <c r="F20" s="87"/>
      <c r="G20" s="161"/>
      <c r="H20" s="65"/>
      <c r="I20" s="87"/>
      <c r="J20" s="87"/>
    </row>
    <row r="21" spans="1:10" ht="15.75">
      <c r="A21" s="158" t="s">
        <v>129</v>
      </c>
      <c r="B21" s="94" t="s">
        <v>133</v>
      </c>
      <c r="C21" s="29"/>
      <c r="D21" s="29"/>
      <c r="E21" s="87"/>
      <c r="F21" s="87"/>
      <c r="G21" s="160">
        <f>G11+G16+G19</f>
        <v>87617</v>
      </c>
      <c r="H21" s="65"/>
      <c r="I21" s="87"/>
      <c r="J21" s="87"/>
    </row>
    <row r="22" spans="1:10" ht="15.75">
      <c r="A22" s="158"/>
      <c r="B22" s="158"/>
      <c r="C22" s="94"/>
      <c r="D22" s="29"/>
      <c r="E22" s="87"/>
      <c r="F22" s="87"/>
      <c r="G22" s="65"/>
      <c r="H22" s="65"/>
      <c r="I22" s="87"/>
      <c r="J22" s="87"/>
    </row>
    <row r="23" spans="1:10" ht="15.75">
      <c r="A23" s="158" t="s">
        <v>130</v>
      </c>
      <c r="B23" s="29" t="str">
        <f>CONCATENATE("Total Estimated Valuation July 1,",J1-1,"")</f>
        <v>Total Estimated Valuation July 1,2013</v>
      </c>
      <c r="C23" s="29"/>
      <c r="D23" s="29"/>
      <c r="E23" s="160">
        <f>summ!B51</f>
        <v>8338383</v>
      </c>
      <c r="F23" s="87"/>
      <c r="G23" s="87"/>
      <c r="H23" s="87"/>
      <c r="I23" s="159"/>
      <c r="J23" s="87"/>
    </row>
    <row r="24" spans="1:10" ht="15.75">
      <c r="A24" s="158"/>
      <c r="B24" s="158"/>
      <c r="C24" s="29"/>
      <c r="D24" s="29"/>
      <c r="E24" s="65"/>
      <c r="F24" s="87"/>
      <c r="G24" s="87"/>
      <c r="H24" s="87"/>
      <c r="I24" s="159"/>
      <c r="J24" s="87"/>
    </row>
    <row r="25" spans="1:10" ht="15.75">
      <c r="A25" s="158" t="s">
        <v>123</v>
      </c>
      <c r="B25" s="94" t="s">
        <v>137</v>
      </c>
      <c r="C25" s="29"/>
      <c r="D25" s="29"/>
      <c r="E25" s="87"/>
      <c r="F25" s="87"/>
      <c r="G25" s="160">
        <f>E23-G21</f>
        <v>8250766</v>
      </c>
      <c r="H25" s="65"/>
      <c r="I25" s="159"/>
      <c r="J25" s="87"/>
    </row>
    <row r="26" spans="1:10" ht="15.75">
      <c r="A26" s="158"/>
      <c r="B26" s="158"/>
      <c r="C26" s="94"/>
      <c r="D26" s="29"/>
      <c r="E26" s="29"/>
      <c r="F26" s="29"/>
      <c r="G26" s="162"/>
      <c r="H26" s="32"/>
      <c r="I26" s="158"/>
      <c r="J26" s="29"/>
    </row>
    <row r="27" spans="1:10" ht="15.75">
      <c r="A27" s="158" t="s">
        <v>124</v>
      </c>
      <c r="B27" s="29" t="s">
        <v>136</v>
      </c>
      <c r="C27" s="29"/>
      <c r="D27" s="29"/>
      <c r="E27" s="29"/>
      <c r="F27" s="29"/>
      <c r="G27" s="163">
        <f>IF(G21&gt;0,G21/G25,0)</f>
        <v>0.010619256442371532</v>
      </c>
      <c r="H27" s="32"/>
      <c r="I27" s="29"/>
      <c r="J27" s="29"/>
    </row>
    <row r="28" spans="1:10" ht="15.75">
      <c r="A28" s="158"/>
      <c r="B28" s="158"/>
      <c r="C28" s="29"/>
      <c r="D28" s="29"/>
      <c r="E28" s="29"/>
      <c r="F28" s="29"/>
      <c r="G28" s="32"/>
      <c r="H28" s="32"/>
      <c r="I28" s="29"/>
      <c r="J28" s="29"/>
    </row>
    <row r="29" spans="1:10" ht="15.75">
      <c r="A29" s="158" t="s">
        <v>125</v>
      </c>
      <c r="B29" s="29" t="s">
        <v>135</v>
      </c>
      <c r="C29" s="29"/>
      <c r="D29" s="29"/>
      <c r="E29" s="29"/>
      <c r="F29" s="29"/>
      <c r="G29" s="32"/>
      <c r="H29" s="164" t="s">
        <v>112</v>
      </c>
      <c r="I29" s="29" t="s">
        <v>113</v>
      </c>
      <c r="J29" s="160">
        <f>ROUND(G27*J7,0)</f>
        <v>441</v>
      </c>
    </row>
    <row r="30" spans="1:10" ht="15.75">
      <c r="A30" s="158"/>
      <c r="B30" s="158"/>
      <c r="C30" s="29"/>
      <c r="D30" s="29"/>
      <c r="E30" s="29"/>
      <c r="F30" s="29"/>
      <c r="G30" s="32"/>
      <c r="H30" s="164"/>
      <c r="I30" s="29"/>
      <c r="J30" s="65"/>
    </row>
    <row r="31" spans="1:10" ht="16.5" thickBot="1">
      <c r="A31" s="158" t="s">
        <v>126</v>
      </c>
      <c r="B31" s="94" t="s">
        <v>141</v>
      </c>
      <c r="C31" s="29"/>
      <c r="D31" s="29"/>
      <c r="E31" s="29"/>
      <c r="F31" s="29"/>
      <c r="G31" s="29"/>
      <c r="H31" s="29"/>
      <c r="I31" s="29" t="s">
        <v>113</v>
      </c>
      <c r="J31" s="165">
        <f>J7+J29</f>
        <v>41971</v>
      </c>
    </row>
    <row r="32" spans="1:10" ht="16.5" thickTop="1">
      <c r="A32" s="29"/>
      <c r="B32" s="29"/>
      <c r="C32" s="29"/>
      <c r="D32" s="29"/>
      <c r="E32" s="29"/>
      <c r="F32" s="29"/>
      <c r="G32" s="29"/>
      <c r="H32" s="29"/>
      <c r="I32" s="29"/>
      <c r="J32" s="29"/>
    </row>
    <row r="33" spans="1:10" ht="15.75">
      <c r="A33" s="158" t="s">
        <v>139</v>
      </c>
      <c r="B33" s="94" t="str">
        <f>CONCATENATE("Debt Service Levy in this ",J1," Budget")</f>
        <v>Debt Service Levy in this 2014 Budget</v>
      </c>
      <c r="C33" s="29"/>
      <c r="D33" s="29"/>
      <c r="E33" s="29"/>
      <c r="F33" s="29"/>
      <c r="G33" s="29"/>
      <c r="H33" s="29"/>
      <c r="I33" s="29"/>
      <c r="J33" s="160">
        <v>0</v>
      </c>
    </row>
    <row r="34" spans="1:10" ht="15.75">
      <c r="A34" s="158"/>
      <c r="B34" s="94"/>
      <c r="C34" s="29"/>
      <c r="D34" s="29"/>
      <c r="E34" s="29"/>
      <c r="F34" s="29"/>
      <c r="G34" s="29"/>
      <c r="H34" s="29"/>
      <c r="I34" s="29"/>
      <c r="J34" s="32"/>
    </row>
    <row r="35" spans="1:10" ht="16.5" thickBot="1">
      <c r="A35" s="158" t="s">
        <v>140</v>
      </c>
      <c r="B35" s="94" t="s">
        <v>142</v>
      </c>
      <c r="C35" s="29"/>
      <c r="D35" s="29"/>
      <c r="E35" s="29"/>
      <c r="F35" s="29"/>
      <c r="G35" s="29"/>
      <c r="H35" s="29"/>
      <c r="I35" s="29"/>
      <c r="J35" s="165">
        <f>J31+J33</f>
        <v>41971</v>
      </c>
    </row>
    <row r="36" spans="1:10" ht="16.5" thickTop="1">
      <c r="A36" s="29"/>
      <c r="B36" s="29"/>
      <c r="C36" s="29"/>
      <c r="D36" s="29"/>
      <c r="E36" s="29"/>
      <c r="F36" s="29"/>
      <c r="G36" s="29"/>
      <c r="H36" s="29"/>
      <c r="I36" s="29"/>
      <c r="J36" s="29"/>
    </row>
    <row r="37" spans="1:10" s="166" customFormat="1" ht="18.75">
      <c r="A37" s="442" t="str">
        <f>CONCATENATE("If the ",J1," budget includes tax levies exceeding the total on line 14, you must")</f>
        <v>If the 2014 budget includes tax levies exceeding the total on line 14, you must</v>
      </c>
      <c r="B37" s="442"/>
      <c r="C37" s="442"/>
      <c r="D37" s="442"/>
      <c r="E37" s="442"/>
      <c r="F37" s="442"/>
      <c r="G37" s="442"/>
      <c r="H37" s="442"/>
      <c r="I37" s="442"/>
      <c r="J37" s="442"/>
    </row>
    <row r="38" spans="1:10" s="166" customFormat="1" ht="18.75">
      <c r="A38" s="442" t="s">
        <v>138</v>
      </c>
      <c r="B38" s="442"/>
      <c r="C38" s="442"/>
      <c r="D38" s="442"/>
      <c r="E38" s="442"/>
      <c r="F38" s="442"/>
      <c r="G38" s="442"/>
      <c r="H38" s="442"/>
      <c r="I38" s="442"/>
      <c r="J38" s="442"/>
    </row>
  </sheetData>
  <sheetProtection/>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view="pageBreakPreview" zoomScale="102" zoomScaleNormal="85" zoomScaleSheetLayoutView="102" zoomScalePageLayoutView="0" workbookViewId="0" topLeftCell="A1">
      <selection activeCell="J34" sqref="J34"/>
    </sheetView>
  </sheetViews>
  <sheetFormatPr defaultColWidth="8.796875" defaultRowHeight="15.75" customHeight="1"/>
  <cols>
    <col min="1" max="2" width="3.296875" style="26" customWidth="1"/>
    <col min="3" max="3" width="31.296875" style="26" customWidth="1"/>
    <col min="4" max="4" width="2.296875" style="26" customWidth="1"/>
    <col min="5" max="5" width="15.796875" style="26" customWidth="1"/>
    <col min="6" max="6" width="2" style="26" customWidth="1"/>
    <col min="7" max="7" width="15.796875" style="26" customWidth="1"/>
    <col min="8" max="8" width="1.8984375" style="26" customWidth="1"/>
    <col min="9" max="9" width="1.796875" style="26" customWidth="1"/>
    <col min="10" max="10" width="15.796875" style="26" customWidth="1"/>
    <col min="11" max="16384" width="8.8984375" style="26" customWidth="1"/>
  </cols>
  <sheetData>
    <row r="1" spans="1:10" ht="15.75" customHeight="1">
      <c r="A1" s="29"/>
      <c r="B1" s="29"/>
      <c r="C1" s="155" t="str">
        <f>inputPrYr!C2</f>
        <v>MITCHELL COUNTY</v>
      </c>
      <c r="D1" s="29"/>
      <c r="E1" s="29"/>
      <c r="F1" s="29"/>
      <c r="G1" s="29"/>
      <c r="H1" s="29"/>
      <c r="I1" s="29"/>
      <c r="J1" s="29">
        <f>inputPrYr!C4</f>
        <v>2014</v>
      </c>
    </row>
    <row r="2" spans="1:10" ht="15.75" customHeight="1">
      <c r="A2" s="29"/>
      <c r="B2" s="29"/>
      <c r="C2" s="29"/>
      <c r="D2" s="29"/>
      <c r="E2" s="29" t="s">
        <v>250</v>
      </c>
      <c r="F2" s="29"/>
      <c r="G2" s="29"/>
      <c r="H2" s="29"/>
      <c r="I2" s="29"/>
      <c r="J2" s="29"/>
    </row>
    <row r="3" spans="1:10" ht="15.75">
      <c r="A3" s="415" t="str">
        <f>CONCATENATE("Computation to Determine Limit for ",J1,"")</f>
        <v>Computation to Determine Limit for 2014</v>
      </c>
      <c r="B3" s="443"/>
      <c r="C3" s="443"/>
      <c r="D3" s="443"/>
      <c r="E3" s="443"/>
      <c r="F3" s="443"/>
      <c r="G3" s="443"/>
      <c r="H3" s="443"/>
      <c r="I3" s="443"/>
      <c r="J3" s="443"/>
    </row>
    <row r="4" spans="1:10" ht="15.75">
      <c r="A4" s="29"/>
      <c r="B4" s="29"/>
      <c r="C4" s="29"/>
      <c r="D4" s="29"/>
      <c r="E4" s="443"/>
      <c r="F4" s="443"/>
      <c r="G4" s="443"/>
      <c r="H4" s="156"/>
      <c r="I4" s="29"/>
      <c r="J4" s="157" t="s">
        <v>110</v>
      </c>
    </row>
    <row r="5" spans="1:10" ht="15.75">
      <c r="A5" s="158" t="s">
        <v>111</v>
      </c>
      <c r="B5" s="29" t="str">
        <f>CONCATENATE("Total Tax Levy Amount in ",J1-1," Budget")</f>
        <v>Total Tax Levy Amount in 2013 Budget</v>
      </c>
      <c r="C5" s="29"/>
      <c r="D5" s="29"/>
      <c r="E5" s="87"/>
      <c r="F5" s="87"/>
      <c r="G5" s="87"/>
      <c r="H5" s="159" t="s">
        <v>112</v>
      </c>
      <c r="I5" s="87" t="s">
        <v>113</v>
      </c>
      <c r="J5" s="160">
        <v>19117</v>
      </c>
    </row>
    <row r="6" spans="1:10" ht="15.75">
      <c r="A6" s="158" t="s">
        <v>114</v>
      </c>
      <c r="B6" s="29" t="str">
        <f>CONCATENATE("Debt Service Levy in ",J1-1," Budget")</f>
        <v>Debt Service Levy in 2013 Budget</v>
      </c>
      <c r="C6" s="29"/>
      <c r="D6" s="29"/>
      <c r="E6" s="87"/>
      <c r="F6" s="87"/>
      <c r="G6" s="87"/>
      <c r="H6" s="159" t="s">
        <v>115</v>
      </c>
      <c r="I6" s="87" t="s">
        <v>113</v>
      </c>
      <c r="J6" s="93">
        <v>0</v>
      </c>
    </row>
    <row r="7" spans="1:10" ht="15.75">
      <c r="A7" s="158" t="s">
        <v>116</v>
      </c>
      <c r="B7" s="94" t="s">
        <v>132</v>
      </c>
      <c r="C7" s="29"/>
      <c r="D7" s="29"/>
      <c r="E7" s="87"/>
      <c r="F7" s="87"/>
      <c r="G7" s="87"/>
      <c r="H7" s="87"/>
      <c r="I7" s="87" t="s">
        <v>113</v>
      </c>
      <c r="J7" s="93">
        <f>J5-J6</f>
        <v>19117</v>
      </c>
    </row>
    <row r="8" spans="1:10" ht="15.75">
      <c r="A8" s="29"/>
      <c r="B8" s="29"/>
      <c r="C8" s="29"/>
      <c r="D8" s="29"/>
      <c r="E8" s="87"/>
      <c r="F8" s="87"/>
      <c r="G8" s="87"/>
      <c r="H8" s="87"/>
      <c r="I8" s="87"/>
      <c r="J8" s="87"/>
    </row>
    <row r="9" spans="1:10" ht="15.75">
      <c r="A9" s="29"/>
      <c r="B9" s="94" t="str">
        <f>CONCATENATE("",J1-1," Valuation Information for Valuation Adjustments:")</f>
        <v>2013 Valuation Information for Valuation Adjustments:</v>
      </c>
      <c r="C9" s="29"/>
      <c r="D9" s="29"/>
      <c r="E9" s="87"/>
      <c r="F9" s="87"/>
      <c r="G9" s="87"/>
      <c r="H9" s="87"/>
      <c r="I9" s="87"/>
      <c r="J9" s="87"/>
    </row>
    <row r="10" spans="1:10" ht="15.75">
      <c r="A10" s="29"/>
      <c r="B10" s="29"/>
      <c r="C10" s="94"/>
      <c r="D10" s="29"/>
      <c r="E10" s="87"/>
      <c r="F10" s="87"/>
      <c r="G10" s="87"/>
      <c r="H10" s="87"/>
      <c r="I10" s="87"/>
      <c r="J10" s="87"/>
    </row>
    <row r="11" spans="1:10" ht="15.75">
      <c r="A11" s="158" t="s">
        <v>117</v>
      </c>
      <c r="B11" s="94" t="str">
        <f>CONCATENATE("New Improvements for ",J1-1,":")</f>
        <v>New Improvements for 2013:</v>
      </c>
      <c r="C11" s="29"/>
      <c r="D11" s="29"/>
      <c r="E11" s="159"/>
      <c r="F11" s="159" t="s">
        <v>112</v>
      </c>
      <c r="G11" s="160">
        <v>18854</v>
      </c>
      <c r="H11" s="65"/>
      <c r="I11" s="87"/>
      <c r="J11" s="87"/>
    </row>
    <row r="12" spans="1:10" ht="15.75">
      <c r="A12" s="158"/>
      <c r="B12" s="158"/>
      <c r="C12" s="29"/>
      <c r="D12" s="29"/>
      <c r="E12" s="159"/>
      <c r="F12" s="159"/>
      <c r="G12" s="65"/>
      <c r="H12" s="65"/>
      <c r="I12" s="87"/>
      <c r="J12" s="87"/>
    </row>
    <row r="13" spans="1:10" ht="15.75">
      <c r="A13" s="158" t="s">
        <v>118</v>
      </c>
      <c r="B13" s="94" t="str">
        <f>CONCATENATE("Increase in Personal Property for ",J1-1,":")</f>
        <v>Increase in Personal Property for 2013:</v>
      </c>
      <c r="C13" s="29"/>
      <c r="D13" s="29"/>
      <c r="E13" s="159"/>
      <c r="F13" s="159"/>
      <c r="G13" s="65"/>
      <c r="H13" s="65"/>
      <c r="I13" s="87"/>
      <c r="J13" s="87"/>
    </row>
    <row r="14" spans="1:10" ht="15.75">
      <c r="A14" s="29"/>
      <c r="B14" s="29" t="s">
        <v>119</v>
      </c>
      <c r="C14" s="29" t="str">
        <f>CONCATENATE("Personal Property ",J1-1,"")</f>
        <v>Personal Property 2013</v>
      </c>
      <c r="D14" s="158" t="s">
        <v>112</v>
      </c>
      <c r="E14" s="160">
        <v>366716</v>
      </c>
      <c r="F14" s="159"/>
      <c r="G14" s="87"/>
      <c r="H14" s="87"/>
      <c r="I14" s="65"/>
      <c r="J14" s="87"/>
    </row>
    <row r="15" spans="1:10" ht="15.75">
      <c r="A15" s="158"/>
      <c r="B15" s="29" t="s">
        <v>120</v>
      </c>
      <c r="C15" s="29" t="str">
        <f>CONCATENATE("Personal Property ",J1-2,"")</f>
        <v>Personal Property 2012</v>
      </c>
      <c r="D15" s="158" t="s">
        <v>115</v>
      </c>
      <c r="E15" s="93">
        <v>380747</v>
      </c>
      <c r="F15" s="159"/>
      <c r="G15" s="65"/>
      <c r="H15" s="65"/>
      <c r="I15" s="87"/>
      <c r="J15" s="87"/>
    </row>
    <row r="16" spans="1:10" ht="15.75">
      <c r="A16" s="158"/>
      <c r="B16" s="29" t="s">
        <v>121</v>
      </c>
      <c r="C16" s="29" t="s">
        <v>134</v>
      </c>
      <c r="D16" s="29"/>
      <c r="E16" s="87"/>
      <c r="F16" s="87" t="s">
        <v>112</v>
      </c>
      <c r="G16" s="160">
        <f>IF(E14&gt;E15,E14-E15,0)</f>
        <v>0</v>
      </c>
      <c r="H16" s="65"/>
      <c r="I16" s="87"/>
      <c r="J16" s="87"/>
    </row>
    <row r="17" spans="1:10" ht="15.75">
      <c r="A17" s="158"/>
      <c r="B17" s="158"/>
      <c r="C17" s="29"/>
      <c r="D17" s="29"/>
      <c r="E17" s="87"/>
      <c r="F17" s="87"/>
      <c r="G17" s="65" t="s">
        <v>127</v>
      </c>
      <c r="H17" s="65"/>
      <c r="I17" s="87"/>
      <c r="J17" s="87"/>
    </row>
    <row r="18" spans="1:10" ht="15.75">
      <c r="A18" s="158"/>
      <c r="B18" s="158"/>
      <c r="C18" s="29"/>
      <c r="D18" s="158"/>
      <c r="E18" s="65"/>
      <c r="F18" s="87"/>
      <c r="G18" s="65"/>
      <c r="H18" s="65"/>
      <c r="I18" s="87"/>
      <c r="J18" s="87"/>
    </row>
    <row r="19" spans="1:10" ht="15.75">
      <c r="A19" s="158" t="s">
        <v>122</v>
      </c>
      <c r="B19" s="94" t="str">
        <f>CONCATENATE("Valuation of Property that has Changed in Use during ",J1-1,":")</f>
        <v>Valuation of Property that has Changed in Use during 2013:</v>
      </c>
      <c r="C19" s="29"/>
      <c r="D19" s="29"/>
      <c r="E19" s="87"/>
      <c r="F19" s="87"/>
      <c r="G19" s="87">
        <v>20973</v>
      </c>
      <c r="H19" s="87"/>
      <c r="I19" s="87"/>
      <c r="J19" s="87"/>
    </row>
    <row r="20" spans="1:10" ht="15.75">
      <c r="A20" s="158"/>
      <c r="B20" s="29"/>
      <c r="C20" s="29"/>
      <c r="D20" s="158"/>
      <c r="E20" s="65"/>
      <c r="F20" s="87"/>
      <c r="G20" s="161"/>
      <c r="H20" s="65"/>
      <c r="I20" s="87"/>
      <c r="J20" s="87"/>
    </row>
    <row r="21" spans="1:10" ht="15.75">
      <c r="A21" s="158" t="s">
        <v>129</v>
      </c>
      <c r="B21" s="94" t="s">
        <v>133</v>
      </c>
      <c r="C21" s="29"/>
      <c r="D21" s="29"/>
      <c r="E21" s="87"/>
      <c r="F21" s="87"/>
      <c r="G21" s="160">
        <f>G11+G16+G19</f>
        <v>39827</v>
      </c>
      <c r="H21" s="65"/>
      <c r="I21" s="87"/>
      <c r="J21" s="87"/>
    </row>
    <row r="22" spans="1:10" ht="15.75">
      <c r="A22" s="158"/>
      <c r="B22" s="158"/>
      <c r="C22" s="94"/>
      <c r="D22" s="29"/>
      <c r="E22" s="87"/>
      <c r="F22" s="87"/>
      <c r="G22" s="65"/>
      <c r="H22" s="65"/>
      <c r="I22" s="87"/>
      <c r="J22" s="87"/>
    </row>
    <row r="23" spans="1:10" ht="15.75">
      <c r="A23" s="158" t="s">
        <v>130</v>
      </c>
      <c r="B23" s="29" t="str">
        <f>CONCATENATE("Total Estimated Valuation July 1,",J1-1,"")</f>
        <v>Total Estimated Valuation July 1,2013</v>
      </c>
      <c r="C23" s="29"/>
      <c r="D23" s="29"/>
      <c r="E23" s="160">
        <f>summ!C51</f>
        <v>6096011</v>
      </c>
      <c r="F23" s="87"/>
      <c r="G23" s="87"/>
      <c r="H23" s="87"/>
      <c r="I23" s="159"/>
      <c r="J23" s="87"/>
    </row>
    <row r="24" spans="1:10" ht="15.75">
      <c r="A24" s="158"/>
      <c r="B24" s="158"/>
      <c r="C24" s="29"/>
      <c r="D24" s="29"/>
      <c r="E24" s="65"/>
      <c r="F24" s="87"/>
      <c r="G24" s="87"/>
      <c r="H24" s="87"/>
      <c r="I24" s="159"/>
      <c r="J24" s="87"/>
    </row>
    <row r="25" spans="1:10" ht="15.75">
      <c r="A25" s="158" t="s">
        <v>123</v>
      </c>
      <c r="B25" s="94" t="s">
        <v>137</v>
      </c>
      <c r="C25" s="29"/>
      <c r="D25" s="29"/>
      <c r="E25" s="87"/>
      <c r="F25" s="87"/>
      <c r="G25" s="160">
        <f>E23-G21</f>
        <v>6056184</v>
      </c>
      <c r="H25" s="65"/>
      <c r="I25" s="159"/>
      <c r="J25" s="87"/>
    </row>
    <row r="26" spans="1:10" ht="15.75">
      <c r="A26" s="158"/>
      <c r="B26" s="158"/>
      <c r="C26" s="94"/>
      <c r="D26" s="29"/>
      <c r="E26" s="29"/>
      <c r="F26" s="29"/>
      <c r="G26" s="162"/>
      <c r="H26" s="32"/>
      <c r="I26" s="158"/>
      <c r="J26" s="29"/>
    </row>
    <row r="27" spans="1:10" ht="15.75">
      <c r="A27" s="158" t="s">
        <v>124</v>
      </c>
      <c r="B27" s="29" t="s">
        <v>136</v>
      </c>
      <c r="C27" s="29"/>
      <c r="D27" s="29"/>
      <c r="E27" s="29"/>
      <c r="F27" s="29"/>
      <c r="G27" s="163">
        <f>IF(G21&gt;0,G21/G25,0)</f>
        <v>0.0065762532974559555</v>
      </c>
      <c r="H27" s="32"/>
      <c r="I27" s="29"/>
      <c r="J27" s="29"/>
    </row>
    <row r="28" spans="1:10" ht="15.75">
      <c r="A28" s="158"/>
      <c r="B28" s="158"/>
      <c r="C28" s="29"/>
      <c r="D28" s="29"/>
      <c r="E28" s="29"/>
      <c r="F28" s="29"/>
      <c r="G28" s="32"/>
      <c r="H28" s="32"/>
      <c r="I28" s="29"/>
      <c r="J28" s="29"/>
    </row>
    <row r="29" spans="1:10" ht="15.75">
      <c r="A29" s="158" t="s">
        <v>125</v>
      </c>
      <c r="B29" s="29" t="s">
        <v>135</v>
      </c>
      <c r="C29" s="29"/>
      <c r="D29" s="29"/>
      <c r="E29" s="29"/>
      <c r="F29" s="29"/>
      <c r="G29" s="32"/>
      <c r="H29" s="164" t="s">
        <v>112</v>
      </c>
      <c r="I29" s="29" t="s">
        <v>113</v>
      </c>
      <c r="J29" s="160">
        <f>ROUND(G27*J7,0)</f>
        <v>126</v>
      </c>
    </row>
    <row r="30" spans="1:10" ht="15.75">
      <c r="A30" s="158"/>
      <c r="B30" s="158"/>
      <c r="C30" s="29"/>
      <c r="D30" s="29"/>
      <c r="E30" s="29"/>
      <c r="F30" s="29"/>
      <c r="G30" s="32"/>
      <c r="H30" s="164"/>
      <c r="I30" s="29"/>
      <c r="J30" s="65"/>
    </row>
    <row r="31" spans="1:10" ht="16.5" thickBot="1">
      <c r="A31" s="158" t="s">
        <v>126</v>
      </c>
      <c r="B31" s="94" t="s">
        <v>141</v>
      </c>
      <c r="C31" s="29"/>
      <c r="D31" s="29"/>
      <c r="E31" s="29"/>
      <c r="F31" s="29"/>
      <c r="G31" s="29"/>
      <c r="H31" s="29"/>
      <c r="I31" s="29" t="s">
        <v>113</v>
      </c>
      <c r="J31" s="165">
        <f>J7+J29</f>
        <v>19243</v>
      </c>
    </row>
    <row r="32" spans="1:10" ht="16.5" thickTop="1">
      <c r="A32" s="29"/>
      <c r="B32" s="29"/>
      <c r="C32" s="29"/>
      <c r="D32" s="29"/>
      <c r="E32" s="29"/>
      <c r="F32" s="29"/>
      <c r="G32" s="29"/>
      <c r="H32" s="29"/>
      <c r="I32" s="29"/>
      <c r="J32" s="29"/>
    </row>
    <row r="33" spans="1:10" ht="15.75">
      <c r="A33" s="158" t="s">
        <v>139</v>
      </c>
      <c r="B33" s="94" t="str">
        <f>CONCATENATE("Debt Service Levy in this ",J1," Budget")</f>
        <v>Debt Service Levy in this 2014 Budget</v>
      </c>
      <c r="C33" s="29"/>
      <c r="D33" s="29"/>
      <c r="E33" s="29"/>
      <c r="F33" s="29"/>
      <c r="G33" s="29"/>
      <c r="H33" s="29"/>
      <c r="I33" s="29"/>
      <c r="J33" s="160">
        <v>0</v>
      </c>
    </row>
    <row r="34" spans="1:10" ht="15.75">
      <c r="A34" s="158"/>
      <c r="B34" s="94"/>
      <c r="C34" s="29"/>
      <c r="D34" s="29"/>
      <c r="E34" s="29"/>
      <c r="F34" s="29"/>
      <c r="G34" s="29"/>
      <c r="H34" s="29"/>
      <c r="I34" s="29"/>
      <c r="J34" s="32"/>
    </row>
    <row r="35" spans="1:10" ht="16.5" thickBot="1">
      <c r="A35" s="158" t="s">
        <v>140</v>
      </c>
      <c r="B35" s="94" t="s">
        <v>142</v>
      </c>
      <c r="C35" s="29"/>
      <c r="D35" s="29"/>
      <c r="E35" s="29"/>
      <c r="F35" s="29"/>
      <c r="G35" s="29"/>
      <c r="H35" s="29"/>
      <c r="I35" s="29"/>
      <c r="J35" s="165">
        <f>J31+J33</f>
        <v>19243</v>
      </c>
    </row>
    <row r="36" spans="1:10" ht="16.5" thickTop="1">
      <c r="A36" s="29"/>
      <c r="B36" s="29"/>
      <c r="C36" s="29"/>
      <c r="D36" s="29"/>
      <c r="E36" s="29"/>
      <c r="F36" s="29"/>
      <c r="G36" s="29"/>
      <c r="H36" s="29"/>
      <c r="I36" s="29"/>
      <c r="J36" s="29"/>
    </row>
    <row r="37" spans="1:10" s="166" customFormat="1" ht="18.75">
      <c r="A37" s="442" t="str">
        <f>CONCATENATE("If the ",J1," budget includes tax levies exceeding the total on line 14, you must")</f>
        <v>If the 2014 budget includes tax levies exceeding the total on line 14, you must</v>
      </c>
      <c r="B37" s="442"/>
      <c r="C37" s="442"/>
      <c r="D37" s="442"/>
      <c r="E37" s="442"/>
      <c r="F37" s="442"/>
      <c r="G37" s="442"/>
      <c r="H37" s="442"/>
      <c r="I37" s="442"/>
      <c r="J37" s="442"/>
    </row>
    <row r="38" spans="1:10" s="166" customFormat="1" ht="18.75">
      <c r="A38" s="442" t="s">
        <v>138</v>
      </c>
      <c r="B38" s="442"/>
      <c r="C38" s="442"/>
      <c r="D38" s="442"/>
      <c r="E38" s="442"/>
      <c r="F38" s="442"/>
      <c r="G38" s="442"/>
      <c r="H38" s="442"/>
      <c r="I38" s="442"/>
      <c r="J38" s="442"/>
    </row>
  </sheetData>
  <sheetProtection/>
  <mergeCells count="4">
    <mergeCell ref="A3:J3"/>
    <mergeCell ref="E4:G4"/>
    <mergeCell ref="A37:J37"/>
    <mergeCell ref="A38:J38"/>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3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view="pageBreakPreview" zoomScale="108" zoomScaleNormal="85" zoomScaleSheetLayoutView="108" zoomScalePageLayoutView="0" workbookViewId="0" topLeftCell="A1">
      <selection activeCell="J28" sqref="J28"/>
    </sheetView>
  </sheetViews>
  <sheetFormatPr defaultColWidth="8.796875" defaultRowHeight="15.75" customHeight="1"/>
  <cols>
    <col min="1" max="2" width="3.296875" style="26" customWidth="1"/>
    <col min="3" max="3" width="31.296875" style="26" customWidth="1"/>
    <col min="4" max="4" width="2.296875" style="26" customWidth="1"/>
    <col min="5" max="5" width="15.796875" style="26" customWidth="1"/>
    <col min="6" max="6" width="2" style="26" customWidth="1"/>
    <col min="7" max="7" width="15.796875" style="26" customWidth="1"/>
    <col min="8" max="8" width="1.8984375" style="26" customWidth="1"/>
    <col min="9" max="9" width="1.796875" style="26" customWidth="1"/>
    <col min="10" max="10" width="15.796875" style="26" customWidth="1"/>
    <col min="11" max="16384" width="8.8984375" style="26" customWidth="1"/>
  </cols>
  <sheetData>
    <row r="1" spans="1:10" ht="15.75" customHeight="1">
      <c r="A1" s="29"/>
      <c r="B1" s="29"/>
      <c r="C1" s="155" t="str">
        <f>inputPrYr!C2</f>
        <v>MITCHELL COUNTY</v>
      </c>
      <c r="D1" s="29"/>
      <c r="E1" s="29"/>
      <c r="F1" s="29"/>
      <c r="G1" s="29"/>
      <c r="H1" s="29"/>
      <c r="I1" s="29"/>
      <c r="J1" s="29">
        <f>inputPrYr!C4</f>
        <v>2014</v>
      </c>
    </row>
    <row r="2" spans="1:10" ht="15.75" customHeight="1">
      <c r="A2" s="29"/>
      <c r="B2" s="29"/>
      <c r="C2" s="29"/>
      <c r="D2" s="29"/>
      <c r="E2" s="29" t="s">
        <v>251</v>
      </c>
      <c r="F2" s="29"/>
      <c r="G2" s="29"/>
      <c r="H2" s="29"/>
      <c r="I2" s="29"/>
      <c r="J2" s="29"/>
    </row>
    <row r="3" spans="1:10" ht="15.75">
      <c r="A3" s="415" t="str">
        <f>CONCATENATE("Computation to Determine Limit for ",J1,"")</f>
        <v>Computation to Determine Limit for 2014</v>
      </c>
      <c r="B3" s="443"/>
      <c r="C3" s="443"/>
      <c r="D3" s="443"/>
      <c r="E3" s="443"/>
      <c r="F3" s="443"/>
      <c r="G3" s="443"/>
      <c r="H3" s="443"/>
      <c r="I3" s="443"/>
      <c r="J3" s="443"/>
    </row>
    <row r="4" spans="1:10" ht="15.75">
      <c r="A4" s="29"/>
      <c r="B4" s="29"/>
      <c r="C4" s="29"/>
      <c r="D4" s="29"/>
      <c r="E4" s="443"/>
      <c r="F4" s="443"/>
      <c r="G4" s="443"/>
      <c r="H4" s="156"/>
      <c r="I4" s="29"/>
      <c r="J4" s="157" t="s">
        <v>110</v>
      </c>
    </row>
    <row r="5" spans="1:10" ht="15.75">
      <c r="A5" s="158" t="s">
        <v>111</v>
      </c>
      <c r="B5" s="29" t="str">
        <f>CONCATENATE("Total Tax Levy Amount in ",J1-1," Budget")</f>
        <v>Total Tax Levy Amount in 2013 Budget</v>
      </c>
      <c r="C5" s="29"/>
      <c r="D5" s="29"/>
      <c r="E5" s="87"/>
      <c r="F5" s="87"/>
      <c r="G5" s="87"/>
      <c r="H5" s="159" t="s">
        <v>112</v>
      </c>
      <c r="I5" s="87" t="s">
        <v>113</v>
      </c>
      <c r="J5" s="160">
        <v>46911</v>
      </c>
    </row>
    <row r="6" spans="1:10" ht="15.75">
      <c r="A6" s="158" t="s">
        <v>114</v>
      </c>
      <c r="B6" s="29" t="str">
        <f>CONCATENATE("Debt Service Levy in ",J1-1," Budget")</f>
        <v>Debt Service Levy in 2013 Budget</v>
      </c>
      <c r="C6" s="29"/>
      <c r="D6" s="29"/>
      <c r="E6" s="87"/>
      <c r="F6" s="87"/>
      <c r="G6" s="87"/>
      <c r="H6" s="159" t="s">
        <v>115</v>
      </c>
      <c r="I6" s="87" t="s">
        <v>113</v>
      </c>
      <c r="J6" s="93"/>
    </row>
    <row r="7" spans="1:10" ht="15.75">
      <c r="A7" s="158" t="s">
        <v>116</v>
      </c>
      <c r="B7" s="94" t="s">
        <v>132</v>
      </c>
      <c r="C7" s="29"/>
      <c r="D7" s="29"/>
      <c r="E7" s="87"/>
      <c r="F7" s="87"/>
      <c r="G7" s="87"/>
      <c r="H7" s="87"/>
      <c r="I7" s="87" t="s">
        <v>113</v>
      </c>
      <c r="J7" s="93">
        <f>J5-J6</f>
        <v>46911</v>
      </c>
    </row>
    <row r="8" spans="1:10" ht="15.75">
      <c r="A8" s="29"/>
      <c r="B8" s="29"/>
      <c r="C8" s="29"/>
      <c r="D8" s="29"/>
      <c r="E8" s="87"/>
      <c r="F8" s="87"/>
      <c r="G8" s="87"/>
      <c r="H8" s="87"/>
      <c r="I8" s="87"/>
      <c r="J8" s="87"/>
    </row>
    <row r="9" spans="1:10" ht="15.75">
      <c r="A9" s="29"/>
      <c r="B9" s="94" t="str">
        <f>CONCATENATE("",J1-1," Valuation Information for Valuation Adjustments:")</f>
        <v>2013 Valuation Information for Valuation Adjustments:</v>
      </c>
      <c r="C9" s="29"/>
      <c r="D9" s="29"/>
      <c r="E9" s="87"/>
      <c r="F9" s="87"/>
      <c r="G9" s="87"/>
      <c r="H9" s="87"/>
      <c r="I9" s="87"/>
      <c r="J9" s="87"/>
    </row>
    <row r="10" spans="1:10" ht="15.75">
      <c r="A10" s="29"/>
      <c r="B10" s="29"/>
      <c r="C10" s="94"/>
      <c r="D10" s="29"/>
      <c r="E10" s="87"/>
      <c r="F10" s="87"/>
      <c r="G10" s="87"/>
      <c r="H10" s="87"/>
      <c r="I10" s="87"/>
      <c r="J10" s="87"/>
    </row>
    <row r="11" spans="1:10" ht="15.75">
      <c r="A11" s="158" t="s">
        <v>117</v>
      </c>
      <c r="B11" s="94" t="str">
        <f>CONCATENATE("New Improvements for ",J1-1,":")</f>
        <v>New Improvements for 2013:</v>
      </c>
      <c r="C11" s="29"/>
      <c r="D11" s="29"/>
      <c r="E11" s="159"/>
      <c r="F11" s="159" t="s">
        <v>112</v>
      </c>
      <c r="G11" s="160">
        <v>471056</v>
      </c>
      <c r="H11" s="65"/>
      <c r="I11" s="87"/>
      <c r="J11" s="87"/>
    </row>
    <row r="12" spans="1:10" ht="15.75">
      <c r="A12" s="158"/>
      <c r="B12" s="158"/>
      <c r="C12" s="29"/>
      <c r="D12" s="29"/>
      <c r="E12" s="159"/>
      <c r="F12" s="159"/>
      <c r="G12" s="65"/>
      <c r="H12" s="65"/>
      <c r="I12" s="87"/>
      <c r="J12" s="87"/>
    </row>
    <row r="13" spans="1:10" ht="15.75">
      <c r="A13" s="158" t="s">
        <v>118</v>
      </c>
      <c r="B13" s="94" t="str">
        <f>CONCATENATE("Increase in Personal Property for ",J1-1,":")</f>
        <v>Increase in Personal Property for 2013:</v>
      </c>
      <c r="C13" s="29"/>
      <c r="D13" s="29"/>
      <c r="E13" s="159"/>
      <c r="F13" s="159"/>
      <c r="G13" s="65"/>
      <c r="H13" s="65"/>
      <c r="I13" s="87"/>
      <c r="J13" s="87"/>
    </row>
    <row r="14" spans="1:10" ht="15.75">
      <c r="A14" s="29"/>
      <c r="B14" s="29" t="s">
        <v>119</v>
      </c>
      <c r="C14" s="29" t="str">
        <f>CONCATENATE("Personal Property ",J1-1,"")</f>
        <v>Personal Property 2013</v>
      </c>
      <c r="D14" s="158" t="s">
        <v>112</v>
      </c>
      <c r="E14" s="160">
        <v>787981</v>
      </c>
      <c r="F14" s="159"/>
      <c r="G14" s="87"/>
      <c r="H14" s="87"/>
      <c r="I14" s="65"/>
      <c r="J14" s="87"/>
    </row>
    <row r="15" spans="1:10" ht="15.75">
      <c r="A15" s="158"/>
      <c r="B15" s="29" t="s">
        <v>120</v>
      </c>
      <c r="C15" s="29" t="str">
        <f>CONCATENATE("Personal Property ",J1-2,"")</f>
        <v>Personal Property 2012</v>
      </c>
      <c r="D15" s="158" t="s">
        <v>115</v>
      </c>
      <c r="E15" s="93">
        <v>849031</v>
      </c>
      <c r="F15" s="159"/>
      <c r="G15" s="65"/>
      <c r="H15" s="65"/>
      <c r="I15" s="87"/>
      <c r="J15" s="87"/>
    </row>
    <row r="16" spans="1:10" ht="15.75">
      <c r="A16" s="158"/>
      <c r="B16" s="29" t="s">
        <v>121</v>
      </c>
      <c r="C16" s="29" t="s">
        <v>134</v>
      </c>
      <c r="D16" s="29"/>
      <c r="E16" s="87"/>
      <c r="F16" s="87" t="s">
        <v>112</v>
      </c>
      <c r="G16" s="160">
        <f>IF(E14&gt;E15,E14-E15,0)</f>
        <v>0</v>
      </c>
      <c r="H16" s="65"/>
      <c r="I16" s="87"/>
      <c r="J16" s="87"/>
    </row>
    <row r="17" spans="1:10" ht="15.75">
      <c r="A17" s="158"/>
      <c r="B17" s="158"/>
      <c r="C17" s="29"/>
      <c r="D17" s="29"/>
      <c r="E17" s="87"/>
      <c r="F17" s="87"/>
      <c r="G17" s="65" t="s">
        <v>127</v>
      </c>
      <c r="H17" s="65"/>
      <c r="I17" s="87"/>
      <c r="J17" s="87"/>
    </row>
    <row r="18" spans="1:10" ht="15.75">
      <c r="A18" s="158"/>
      <c r="B18" s="158"/>
      <c r="C18" s="29"/>
      <c r="D18" s="158"/>
      <c r="E18" s="65"/>
      <c r="F18" s="87"/>
      <c r="G18" s="65"/>
      <c r="H18" s="65"/>
      <c r="I18" s="87"/>
      <c r="J18" s="87"/>
    </row>
    <row r="19" spans="1:10" ht="15.75">
      <c r="A19" s="158" t="s">
        <v>122</v>
      </c>
      <c r="B19" s="94" t="str">
        <f>CONCATENATE("Valuation of Property that has Changed in Use during ",J1-1,":")</f>
        <v>Valuation of Property that has Changed in Use during 2013:</v>
      </c>
      <c r="C19" s="29"/>
      <c r="D19" s="29"/>
      <c r="E19" s="87"/>
      <c r="F19" s="87"/>
      <c r="G19" s="87">
        <v>69954</v>
      </c>
      <c r="H19" s="87"/>
      <c r="I19" s="87"/>
      <c r="J19" s="87"/>
    </row>
    <row r="20" spans="1:10" ht="15.75">
      <c r="A20" s="158"/>
      <c r="B20" s="29"/>
      <c r="C20" s="29"/>
      <c r="D20" s="158"/>
      <c r="E20" s="65"/>
      <c r="F20" s="87"/>
      <c r="G20" s="161"/>
      <c r="H20" s="65"/>
      <c r="I20" s="87"/>
      <c r="J20" s="87"/>
    </row>
    <row r="21" spans="1:10" ht="15.75">
      <c r="A21" s="158" t="s">
        <v>129</v>
      </c>
      <c r="B21" s="94" t="s">
        <v>133</v>
      </c>
      <c r="C21" s="29"/>
      <c r="D21" s="29"/>
      <c r="E21" s="87"/>
      <c r="F21" s="87"/>
      <c r="G21" s="160">
        <f>G11+G16+G19</f>
        <v>541010</v>
      </c>
      <c r="H21" s="65"/>
      <c r="I21" s="87"/>
      <c r="J21" s="87"/>
    </row>
    <row r="22" spans="1:10" ht="15.75">
      <c r="A22" s="158"/>
      <c r="B22" s="158"/>
      <c r="C22" s="94"/>
      <c r="D22" s="29"/>
      <c r="E22" s="87"/>
      <c r="F22" s="87"/>
      <c r="G22" s="65"/>
      <c r="H22" s="65"/>
      <c r="I22" s="87"/>
      <c r="J22" s="87"/>
    </row>
    <row r="23" spans="1:10" ht="15.75">
      <c r="A23" s="158" t="s">
        <v>130</v>
      </c>
      <c r="B23" s="29" t="str">
        <f>CONCATENATE("Total Estimated Valuation July 1,",J1-1,"")</f>
        <v>Total Estimated Valuation July 1,2013</v>
      </c>
      <c r="C23" s="29"/>
      <c r="D23" s="29"/>
      <c r="E23" s="160">
        <f>summ!D51</f>
        <v>20446733</v>
      </c>
      <c r="F23" s="87"/>
      <c r="G23" s="87"/>
      <c r="H23" s="87"/>
      <c r="I23" s="159"/>
      <c r="J23" s="87"/>
    </row>
    <row r="24" spans="1:10" ht="15.75">
      <c r="A24" s="158"/>
      <c r="B24" s="158"/>
      <c r="C24" s="29"/>
      <c r="D24" s="29"/>
      <c r="E24" s="65"/>
      <c r="F24" s="87"/>
      <c r="G24" s="87"/>
      <c r="H24" s="87"/>
      <c r="I24" s="159"/>
      <c r="J24" s="87"/>
    </row>
    <row r="25" spans="1:10" ht="15.75">
      <c r="A25" s="158" t="s">
        <v>123</v>
      </c>
      <c r="B25" s="94" t="s">
        <v>137</v>
      </c>
      <c r="C25" s="29"/>
      <c r="D25" s="29"/>
      <c r="E25" s="87"/>
      <c r="F25" s="87"/>
      <c r="G25" s="160">
        <f>E23-G21</f>
        <v>19905723</v>
      </c>
      <c r="H25" s="65"/>
      <c r="I25" s="159"/>
      <c r="J25" s="87"/>
    </row>
    <row r="26" spans="1:10" ht="15.75">
      <c r="A26" s="158"/>
      <c r="B26" s="158"/>
      <c r="C26" s="94"/>
      <c r="D26" s="29"/>
      <c r="E26" s="29"/>
      <c r="F26" s="29"/>
      <c r="G26" s="162"/>
      <c r="H26" s="32"/>
      <c r="I26" s="158"/>
      <c r="J26" s="29"/>
    </row>
    <row r="27" spans="1:10" ht="15.75">
      <c r="A27" s="158" t="s">
        <v>124</v>
      </c>
      <c r="B27" s="29" t="s">
        <v>136</v>
      </c>
      <c r="C27" s="29"/>
      <c r="D27" s="29"/>
      <c r="E27" s="29"/>
      <c r="F27" s="29"/>
      <c r="G27" s="163">
        <f>IF(G21&gt;0,G21/G25,0)</f>
        <v>0.02717861591864812</v>
      </c>
      <c r="H27" s="32"/>
      <c r="I27" s="29"/>
      <c r="J27" s="29"/>
    </row>
    <row r="28" spans="1:10" ht="15.75">
      <c r="A28" s="158"/>
      <c r="B28" s="158"/>
      <c r="C28" s="29"/>
      <c r="D28" s="29"/>
      <c r="E28" s="29"/>
      <c r="F28" s="29"/>
      <c r="G28" s="32"/>
      <c r="H28" s="32"/>
      <c r="I28" s="29"/>
      <c r="J28" s="29"/>
    </row>
    <row r="29" spans="1:10" ht="15.75">
      <c r="A29" s="158" t="s">
        <v>125</v>
      </c>
      <c r="B29" s="29" t="s">
        <v>135</v>
      </c>
      <c r="C29" s="29"/>
      <c r="D29" s="29"/>
      <c r="E29" s="29"/>
      <c r="F29" s="29"/>
      <c r="G29" s="32"/>
      <c r="H29" s="164" t="s">
        <v>112</v>
      </c>
      <c r="I29" s="29" t="s">
        <v>113</v>
      </c>
      <c r="J29" s="160">
        <f>ROUND(G27*J7,0)</f>
        <v>1275</v>
      </c>
    </row>
    <row r="30" spans="1:10" ht="15.75">
      <c r="A30" s="158"/>
      <c r="B30" s="158"/>
      <c r="C30" s="29"/>
      <c r="D30" s="29"/>
      <c r="E30" s="29"/>
      <c r="F30" s="29"/>
      <c r="G30" s="32"/>
      <c r="H30" s="164"/>
      <c r="I30" s="29"/>
      <c r="J30" s="65"/>
    </row>
    <row r="31" spans="1:10" ht="16.5" thickBot="1">
      <c r="A31" s="158" t="s">
        <v>126</v>
      </c>
      <c r="B31" s="94" t="s">
        <v>141</v>
      </c>
      <c r="C31" s="29"/>
      <c r="D31" s="29"/>
      <c r="E31" s="29"/>
      <c r="F31" s="29"/>
      <c r="G31" s="29"/>
      <c r="H31" s="29"/>
      <c r="I31" s="29" t="s">
        <v>113</v>
      </c>
      <c r="J31" s="165">
        <f>J7+J29</f>
        <v>48186</v>
      </c>
    </row>
    <row r="32" spans="1:10" ht="16.5" thickTop="1">
      <c r="A32" s="29"/>
      <c r="B32" s="29"/>
      <c r="C32" s="29"/>
      <c r="D32" s="29"/>
      <c r="E32" s="29"/>
      <c r="F32" s="29"/>
      <c r="G32" s="29"/>
      <c r="H32" s="29"/>
      <c r="I32" s="29"/>
      <c r="J32" s="29"/>
    </row>
    <row r="33" spans="1:10" ht="15.75">
      <c r="A33" s="158" t="s">
        <v>139</v>
      </c>
      <c r="B33" s="94" t="str">
        <f>CONCATENATE("Debt Service Levy in this ",J1," Budget")</f>
        <v>Debt Service Levy in this 2014 Budget</v>
      </c>
      <c r="C33" s="29"/>
      <c r="D33" s="29"/>
      <c r="E33" s="29"/>
      <c r="F33" s="29"/>
      <c r="G33" s="29"/>
      <c r="H33" s="29"/>
      <c r="I33" s="29"/>
      <c r="J33" s="160">
        <v>0</v>
      </c>
    </row>
    <row r="34" spans="1:10" ht="15.75">
      <c r="A34" s="158"/>
      <c r="B34" s="94"/>
      <c r="C34" s="29"/>
      <c r="D34" s="29"/>
      <c r="E34" s="29"/>
      <c r="F34" s="29"/>
      <c r="G34" s="29"/>
      <c r="H34" s="29"/>
      <c r="I34" s="29"/>
      <c r="J34" s="32"/>
    </row>
    <row r="35" spans="1:10" ht="16.5" thickBot="1">
      <c r="A35" s="158" t="s">
        <v>140</v>
      </c>
      <c r="B35" s="94" t="s">
        <v>142</v>
      </c>
      <c r="C35" s="29"/>
      <c r="D35" s="29"/>
      <c r="E35" s="29"/>
      <c r="F35" s="29"/>
      <c r="G35" s="29"/>
      <c r="H35" s="29"/>
      <c r="I35" s="29"/>
      <c r="J35" s="165">
        <f>J31+J33</f>
        <v>48186</v>
      </c>
    </row>
    <row r="36" spans="1:10" ht="16.5" thickTop="1">
      <c r="A36" s="29"/>
      <c r="B36" s="29"/>
      <c r="C36" s="29"/>
      <c r="D36" s="29"/>
      <c r="E36" s="29"/>
      <c r="F36" s="29"/>
      <c r="G36" s="29"/>
      <c r="H36" s="29"/>
      <c r="I36" s="29"/>
      <c r="J36" s="29"/>
    </row>
    <row r="37" spans="1:10" s="166" customFormat="1" ht="18.75">
      <c r="A37" s="442" t="str">
        <f>CONCATENATE("If the ",J1," budget includes tax levies exceeding the total on line 14, you must")</f>
        <v>If the 2014 budget includes tax levies exceeding the total on line 14, you must</v>
      </c>
      <c r="B37" s="442"/>
      <c r="C37" s="442"/>
      <c r="D37" s="442"/>
      <c r="E37" s="442"/>
      <c r="F37" s="442"/>
      <c r="G37" s="442"/>
      <c r="H37" s="442"/>
      <c r="I37" s="442"/>
      <c r="J37" s="442"/>
    </row>
    <row r="38" spans="1:10" s="166" customFormat="1" ht="18.75">
      <c r="A38" s="442" t="s">
        <v>138</v>
      </c>
      <c r="B38" s="442"/>
      <c r="C38" s="442"/>
      <c r="D38" s="442"/>
      <c r="E38" s="442"/>
      <c r="F38" s="442"/>
      <c r="G38" s="442"/>
      <c r="H38" s="442"/>
      <c r="I38" s="442"/>
      <c r="J38" s="442"/>
    </row>
  </sheetData>
  <sheetProtection/>
  <mergeCells count="4">
    <mergeCell ref="A3:J3"/>
    <mergeCell ref="E4:G4"/>
    <mergeCell ref="A37:J37"/>
    <mergeCell ref="A38:J38"/>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4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view="pageBreakPreview" zoomScale="108" zoomScaleSheetLayoutView="108" zoomScalePageLayoutView="0" workbookViewId="0" topLeftCell="A1">
      <selection activeCell="F11" sqref="F11:F12"/>
    </sheetView>
  </sheetViews>
  <sheetFormatPr defaultColWidth="8.796875" defaultRowHeight="15"/>
  <cols>
    <col min="1" max="1" width="17.796875" style="85" customWidth="1"/>
    <col min="2" max="2" width="19.19921875" style="85" customWidth="1"/>
    <col min="3" max="6" width="12.796875" style="85" customWidth="1"/>
    <col min="7" max="16384" width="8.8984375" style="85" customWidth="1"/>
  </cols>
  <sheetData>
    <row r="1" spans="1:6" ht="15.75">
      <c r="A1" s="155"/>
      <c r="B1" s="29"/>
      <c r="C1" s="29"/>
      <c r="D1" s="29"/>
      <c r="E1" s="167"/>
      <c r="F1" s="29"/>
    </row>
    <row r="2" spans="1:6" ht="15.75">
      <c r="A2" s="86" t="str">
        <f>inputPrYr!C2</f>
        <v>MITCHELL COUNTY</v>
      </c>
      <c r="B2" s="86"/>
      <c r="C2" s="29"/>
      <c r="D2" s="29"/>
      <c r="E2" s="167"/>
      <c r="F2" s="29">
        <f>inputPrYr!C4</f>
        <v>2014</v>
      </c>
    </row>
    <row r="3" spans="1:6" ht="15.75">
      <c r="A3" s="155"/>
      <c r="B3" s="86"/>
      <c r="C3" s="29"/>
      <c r="D3" s="29"/>
      <c r="E3" s="167"/>
      <c r="F3" s="29"/>
    </row>
    <row r="4" spans="1:6" ht="15.75">
      <c r="A4" s="155"/>
      <c r="B4" s="29"/>
      <c r="C4" s="29"/>
      <c r="D4" s="29"/>
      <c r="E4" s="167"/>
      <c r="F4" s="29"/>
    </row>
    <row r="5" spans="1:6" ht="15" customHeight="1">
      <c r="A5" s="443" t="s">
        <v>146</v>
      </c>
      <c r="B5" s="443"/>
      <c r="C5" s="443"/>
      <c r="D5" s="443"/>
      <c r="E5" s="443"/>
      <c r="F5" s="443"/>
    </row>
    <row r="6" spans="1:6" ht="14.25" customHeight="1">
      <c r="A6" s="156"/>
      <c r="B6" s="168"/>
      <c r="C6" s="168"/>
      <c r="D6" s="168"/>
      <c r="E6" s="168"/>
      <c r="F6" s="168"/>
    </row>
    <row r="7" spans="1:6" ht="15" customHeight="1">
      <c r="A7" s="169" t="s">
        <v>202</v>
      </c>
      <c r="B7" s="169" t="s">
        <v>203</v>
      </c>
      <c r="C7" s="170" t="s">
        <v>64</v>
      </c>
      <c r="D7" s="170" t="s">
        <v>161</v>
      </c>
      <c r="E7" s="170" t="s">
        <v>162</v>
      </c>
      <c r="F7" s="170" t="s">
        <v>181</v>
      </c>
    </row>
    <row r="8" spans="1:6" ht="15" customHeight="1">
      <c r="A8" s="171" t="s">
        <v>204</v>
      </c>
      <c r="B8" s="171" t="s">
        <v>205</v>
      </c>
      <c r="C8" s="172" t="s">
        <v>180</v>
      </c>
      <c r="D8" s="172" t="s">
        <v>180</v>
      </c>
      <c r="E8" s="172" t="s">
        <v>180</v>
      </c>
      <c r="F8" s="172" t="s">
        <v>182</v>
      </c>
    </row>
    <row r="9" spans="1:6" s="154" customFormat="1" ht="15" customHeight="1" thickBot="1">
      <c r="A9" s="173" t="s">
        <v>178</v>
      </c>
      <c r="B9" s="174" t="s">
        <v>179</v>
      </c>
      <c r="C9" s="175">
        <f>F2-2</f>
        <v>2012</v>
      </c>
      <c r="D9" s="175">
        <f>F2-1</f>
        <v>2013</v>
      </c>
      <c r="E9" s="175">
        <f>F2</f>
        <v>2014</v>
      </c>
      <c r="F9" s="174" t="s">
        <v>26</v>
      </c>
    </row>
    <row r="10" spans="1:6" ht="15" customHeight="1" thickTop="1">
      <c r="A10" s="176" t="s">
        <v>296</v>
      </c>
      <c r="B10" s="176" t="s">
        <v>298</v>
      </c>
      <c r="C10" s="177">
        <v>0</v>
      </c>
      <c r="D10" s="177">
        <v>4500</v>
      </c>
      <c r="E10" s="177">
        <v>4500</v>
      </c>
      <c r="F10" s="176" t="s">
        <v>301</v>
      </c>
    </row>
    <row r="11" spans="1:6" ht="15" customHeight="1">
      <c r="A11" s="53" t="s">
        <v>250</v>
      </c>
      <c r="B11" s="53" t="s">
        <v>299</v>
      </c>
      <c r="C11" s="178">
        <v>5000</v>
      </c>
      <c r="D11" s="178">
        <v>0</v>
      </c>
      <c r="E11" s="178">
        <v>0</v>
      </c>
      <c r="F11" s="176" t="s">
        <v>301</v>
      </c>
    </row>
    <row r="12" spans="1:6" ht="15" customHeight="1">
      <c r="A12" s="53" t="s">
        <v>297</v>
      </c>
      <c r="B12" s="53" t="s">
        <v>300</v>
      </c>
      <c r="C12" s="178">
        <v>0</v>
      </c>
      <c r="D12" s="178">
        <v>7000</v>
      </c>
      <c r="E12" s="178">
        <v>7000</v>
      </c>
      <c r="F12" s="176" t="s">
        <v>301</v>
      </c>
    </row>
    <row r="13" spans="1:6" ht="15" customHeight="1">
      <c r="A13" s="53"/>
      <c r="B13" s="53"/>
      <c r="C13" s="178"/>
      <c r="D13" s="178"/>
      <c r="E13" s="178"/>
      <c r="F13" s="53"/>
    </row>
    <row r="14" spans="1:6" ht="15" customHeight="1">
      <c r="A14" s="53"/>
      <c r="B14" s="53"/>
      <c r="C14" s="178"/>
      <c r="D14" s="178"/>
      <c r="E14" s="178"/>
      <c r="F14" s="53"/>
    </row>
    <row r="15" spans="1:6" ht="15" customHeight="1">
      <c r="A15" s="53"/>
      <c r="B15" s="53"/>
      <c r="C15" s="178"/>
      <c r="D15" s="178"/>
      <c r="E15" s="178"/>
      <c r="F15" s="53"/>
    </row>
    <row r="16" spans="1:6" ht="15" customHeight="1">
      <c r="A16" s="53"/>
      <c r="B16" s="53"/>
      <c r="C16" s="178"/>
      <c r="D16" s="178"/>
      <c r="E16" s="178"/>
      <c r="F16" s="53"/>
    </row>
    <row r="17" spans="1:6" ht="15" customHeight="1">
      <c r="A17" s="53"/>
      <c r="B17" s="53"/>
      <c r="C17" s="178"/>
      <c r="D17" s="178"/>
      <c r="E17" s="178"/>
      <c r="F17" s="53"/>
    </row>
    <row r="18" spans="1:6" ht="15" customHeight="1">
      <c r="A18" s="53"/>
      <c r="B18" s="53"/>
      <c r="C18" s="178"/>
      <c r="D18" s="178"/>
      <c r="E18" s="178"/>
      <c r="F18" s="53"/>
    </row>
    <row r="19" spans="1:6" ht="15" customHeight="1">
      <c r="A19" s="53"/>
      <c r="B19" s="179"/>
      <c r="C19" s="178"/>
      <c r="D19" s="178"/>
      <c r="E19" s="178"/>
      <c r="F19" s="53"/>
    </row>
    <row r="20" spans="1:6" ht="15" customHeight="1">
      <c r="A20" s="53"/>
      <c r="B20" s="53"/>
      <c r="C20" s="178"/>
      <c r="D20" s="178"/>
      <c r="E20" s="178"/>
      <c r="F20" s="53"/>
    </row>
    <row r="21" spans="1:6" ht="15" customHeight="1">
      <c r="A21" s="53"/>
      <c r="B21" s="53"/>
      <c r="C21" s="178"/>
      <c r="D21" s="178"/>
      <c r="E21" s="178"/>
      <c r="F21" s="53"/>
    </row>
    <row r="22" spans="1:6" ht="15" customHeight="1">
      <c r="A22" s="53"/>
      <c r="B22" s="53"/>
      <c r="C22" s="178"/>
      <c r="D22" s="178"/>
      <c r="E22" s="178"/>
      <c r="F22" s="53"/>
    </row>
    <row r="23" spans="1:6" ht="15" customHeight="1">
      <c r="A23" s="53"/>
      <c r="B23" s="53"/>
      <c r="C23" s="178"/>
      <c r="D23" s="178"/>
      <c r="E23" s="178"/>
      <c r="F23" s="53"/>
    </row>
    <row r="24" spans="1:6" ht="15" customHeight="1">
      <c r="A24" s="53"/>
      <c r="B24" s="53"/>
      <c r="C24" s="178"/>
      <c r="D24" s="178"/>
      <c r="E24" s="178"/>
      <c r="F24" s="53"/>
    </row>
    <row r="25" spans="1:6" ht="15" customHeight="1">
      <c r="A25" s="53"/>
      <c r="B25" s="53"/>
      <c r="C25" s="178"/>
      <c r="D25" s="178"/>
      <c r="E25" s="178"/>
      <c r="F25" s="53"/>
    </row>
    <row r="26" spans="1:6" ht="15" customHeight="1">
      <c r="A26" s="53"/>
      <c r="B26" s="53"/>
      <c r="C26" s="178"/>
      <c r="D26" s="178"/>
      <c r="E26" s="178"/>
      <c r="F26" s="53"/>
    </row>
    <row r="27" spans="1:6" ht="15.75">
      <c r="A27" s="79"/>
      <c r="B27" s="180" t="s">
        <v>27</v>
      </c>
      <c r="C27" s="62">
        <f>SUM(C10:C26)</f>
        <v>5000</v>
      </c>
      <c r="D27" s="62">
        <f>SUM(D10:D26)</f>
        <v>11500</v>
      </c>
      <c r="E27" s="62">
        <f>SUM(E10:E26)</f>
        <v>11500</v>
      </c>
      <c r="F27" s="79"/>
    </row>
    <row r="28" spans="1:6" ht="15.75">
      <c r="A28" s="79"/>
      <c r="B28" s="181" t="s">
        <v>200</v>
      </c>
      <c r="C28" s="48"/>
      <c r="D28" s="49"/>
      <c r="E28" s="49"/>
      <c r="F28" s="79"/>
    </row>
    <row r="29" spans="1:6" ht="15.75">
      <c r="A29" s="79"/>
      <c r="B29" s="180" t="s">
        <v>183</v>
      </c>
      <c r="C29" s="62">
        <f>C27</f>
        <v>5000</v>
      </c>
      <c r="D29" s="62">
        <f>SUM(D27-D28)</f>
        <v>11500</v>
      </c>
      <c r="E29" s="62">
        <f>SUM(E27-E28)</f>
        <v>11500</v>
      </c>
      <c r="F29" s="79"/>
    </row>
    <row r="30" spans="1:6" ht="15.75">
      <c r="A30" s="79"/>
      <c r="B30" s="79"/>
      <c r="C30" s="79"/>
      <c r="D30" s="79"/>
      <c r="E30" s="79"/>
      <c r="F30" s="79"/>
    </row>
    <row r="31" spans="1:6" ht="15.75">
      <c r="A31" s="79"/>
      <c r="B31" s="79"/>
      <c r="C31" s="79"/>
      <c r="D31" s="79"/>
      <c r="E31" s="79"/>
      <c r="F31" s="79"/>
    </row>
    <row r="32" spans="1:6" ht="15.75">
      <c r="A32" s="270" t="s">
        <v>201</v>
      </c>
      <c r="B32" s="271" t="str">
        <f>CONCATENATE("Adjustments are required only if the transfer is being made in ",D9," and/or ",E9," from a non-budgeted fund.")</f>
        <v>Adjustments are required only if the transfer is being made in 2013 and/or 2014 from a non-budgeted fund.</v>
      </c>
      <c r="C32" s="79"/>
      <c r="D32" s="79"/>
      <c r="E32" s="79"/>
      <c r="F32" s="79"/>
    </row>
  </sheetData>
  <sheetProtection/>
  <mergeCells count="1">
    <mergeCell ref="A5:F5"/>
  </mergeCells>
  <printOptions/>
  <pageMargins left="0.5" right="0.5" top="0.72" bottom="0.23" header="0.5" footer="0"/>
  <pageSetup blackAndWhite="1" fitToHeight="1" fitToWidth="1" horizontalDpi="120" verticalDpi="120" orientation="portrait" scale="84" r:id="rId1"/>
  <headerFooter alignWithMargins="0">
    <oddHeader>&amp;RState of Kansas
County
</oddHeader>
    <oddFooter>&amp;CPage No. 5
</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42"/>
  <sheetViews>
    <sheetView view="pageBreakPreview" zoomScale="117" zoomScaleNormal="75" zoomScaleSheetLayoutView="117" zoomScalePageLayoutView="0" workbookViewId="0" topLeftCell="F11">
      <selection activeCell="G11" sqref="G11"/>
    </sheetView>
  </sheetViews>
  <sheetFormatPr defaultColWidth="8.796875" defaultRowHeight="15"/>
  <cols>
    <col min="1" max="1" width="5.3984375" style="85" customWidth="1"/>
    <col min="2" max="2" width="20.796875" style="85" customWidth="1"/>
    <col min="3" max="3" width="9.3984375" style="85" customWidth="1"/>
    <col min="4" max="4" width="9.796875" style="85" customWidth="1"/>
    <col min="5" max="5" width="8.796875" style="85" customWidth="1"/>
    <col min="6" max="6" width="12.796875" style="85" customWidth="1"/>
    <col min="7" max="7" width="14" style="85" customWidth="1"/>
    <col min="8" max="13" width="9.796875" style="85" customWidth="1"/>
    <col min="14" max="16384" width="8.8984375" style="85" customWidth="1"/>
  </cols>
  <sheetData>
    <row r="1" spans="2:13" ht="15.75">
      <c r="B1" s="155" t="str">
        <f>inputPrYr!$C$2</f>
        <v>MITCHELL COUNTY</v>
      </c>
      <c r="C1" s="29"/>
      <c r="D1" s="29"/>
      <c r="E1" s="29"/>
      <c r="F1" s="29"/>
      <c r="G1" s="29"/>
      <c r="H1" s="29"/>
      <c r="I1" s="29"/>
      <c r="J1" s="29"/>
      <c r="K1" s="29"/>
      <c r="L1" s="29"/>
      <c r="M1" s="182">
        <f>inputPrYr!$C$4</f>
        <v>2014</v>
      </c>
    </row>
    <row r="2" spans="2:13" ht="15.75">
      <c r="B2" s="155"/>
      <c r="C2" s="29"/>
      <c r="D2" s="29"/>
      <c r="E2" s="29"/>
      <c r="F2" s="29"/>
      <c r="G2" s="29"/>
      <c r="H2" s="29"/>
      <c r="I2" s="29"/>
      <c r="J2" s="29"/>
      <c r="K2" s="29"/>
      <c r="L2" s="29"/>
      <c r="M2" s="167"/>
    </row>
    <row r="3" spans="2:13" ht="15.75">
      <c r="B3" s="183" t="s">
        <v>108</v>
      </c>
      <c r="C3" s="37"/>
      <c r="D3" s="37"/>
      <c r="E3" s="37"/>
      <c r="F3" s="37"/>
      <c r="G3" s="37"/>
      <c r="H3" s="37"/>
      <c r="I3" s="37"/>
      <c r="J3" s="37"/>
      <c r="K3" s="37"/>
      <c r="L3" s="37"/>
      <c r="M3" s="37"/>
    </row>
    <row r="4" spans="2:13" ht="15.75">
      <c r="B4" s="29"/>
      <c r="C4" s="184"/>
      <c r="D4" s="184"/>
      <c r="E4" s="184"/>
      <c r="F4" s="184"/>
      <c r="G4" s="184"/>
      <c r="H4" s="184"/>
      <c r="I4" s="184"/>
      <c r="J4" s="184"/>
      <c r="K4" s="184"/>
      <c r="L4" s="184"/>
      <c r="M4" s="184"/>
    </row>
    <row r="5" spans="2:13" ht="15.75">
      <c r="B5" s="185" t="s">
        <v>219</v>
      </c>
      <c r="C5" s="185" t="s">
        <v>79</v>
      </c>
      <c r="D5" s="185" t="s">
        <v>79</v>
      </c>
      <c r="E5" s="185" t="s">
        <v>93</v>
      </c>
      <c r="F5" s="185"/>
      <c r="G5" s="185" t="s">
        <v>184</v>
      </c>
      <c r="H5" s="29"/>
      <c r="I5" s="29"/>
      <c r="J5" s="186" t="s">
        <v>80</v>
      </c>
      <c r="K5" s="187"/>
      <c r="L5" s="186" t="s">
        <v>80</v>
      </c>
      <c r="M5" s="187"/>
    </row>
    <row r="6" spans="2:13" ht="15.75">
      <c r="B6" s="188" t="s">
        <v>81</v>
      </c>
      <c r="C6" s="188" t="s">
        <v>81</v>
      </c>
      <c r="D6" s="188" t="s">
        <v>185</v>
      </c>
      <c r="E6" s="188" t="s">
        <v>82</v>
      </c>
      <c r="F6" s="188" t="s">
        <v>46</v>
      </c>
      <c r="G6" s="188" t="s">
        <v>147</v>
      </c>
      <c r="H6" s="444" t="s">
        <v>83</v>
      </c>
      <c r="I6" s="445"/>
      <c r="J6" s="446">
        <f>M1-1</f>
        <v>2013</v>
      </c>
      <c r="K6" s="447"/>
      <c r="L6" s="446">
        <f>M1</f>
        <v>2014</v>
      </c>
      <c r="M6" s="447"/>
    </row>
    <row r="7" spans="2:13" ht="15.75">
      <c r="B7" s="191" t="s">
        <v>220</v>
      </c>
      <c r="C7" s="191" t="s">
        <v>84</v>
      </c>
      <c r="D7" s="191" t="s">
        <v>186</v>
      </c>
      <c r="E7" s="191" t="s">
        <v>60</v>
      </c>
      <c r="F7" s="191" t="s">
        <v>85</v>
      </c>
      <c r="G7" s="189" t="str">
        <f>CONCATENATE("Jan 1,",M1-1,"")</f>
        <v>Jan 1,2013</v>
      </c>
      <c r="H7" s="180" t="s">
        <v>93</v>
      </c>
      <c r="I7" s="180" t="s">
        <v>94</v>
      </c>
      <c r="J7" s="180" t="s">
        <v>93</v>
      </c>
      <c r="K7" s="180" t="s">
        <v>94</v>
      </c>
      <c r="L7" s="180" t="s">
        <v>93</v>
      </c>
      <c r="M7" s="180" t="s">
        <v>94</v>
      </c>
    </row>
    <row r="8" spans="2:13" ht="15.75">
      <c r="B8" s="190" t="s">
        <v>86</v>
      </c>
      <c r="C8" s="51"/>
      <c r="D8" s="51"/>
      <c r="E8" s="192"/>
      <c r="F8" s="193"/>
      <c r="G8" s="193"/>
      <c r="H8" s="51"/>
      <c r="I8" s="51"/>
      <c r="J8" s="193"/>
      <c r="K8" s="193"/>
      <c r="L8" s="193"/>
      <c r="M8" s="193"/>
    </row>
    <row r="9" spans="2:13" ht="15.75">
      <c r="B9" s="194"/>
      <c r="C9" s="274"/>
      <c r="D9" s="274"/>
      <c r="E9" s="195"/>
      <c r="F9" s="196"/>
      <c r="G9" s="197"/>
      <c r="H9" s="198"/>
      <c r="I9" s="198"/>
      <c r="J9" s="197"/>
      <c r="K9" s="197"/>
      <c r="L9" s="197"/>
      <c r="M9" s="197"/>
    </row>
    <row r="10" spans="2:13" ht="15.75">
      <c r="B10" s="194"/>
      <c r="C10" s="274"/>
      <c r="D10" s="274"/>
      <c r="E10" s="195"/>
      <c r="F10" s="196"/>
      <c r="G10" s="197"/>
      <c r="H10" s="198"/>
      <c r="I10" s="198"/>
      <c r="J10" s="197"/>
      <c r="K10" s="197"/>
      <c r="L10" s="197"/>
      <c r="M10" s="197"/>
    </row>
    <row r="11" spans="2:13" ht="15.75">
      <c r="B11" s="194"/>
      <c r="C11" s="274"/>
      <c r="D11" s="274"/>
      <c r="E11" s="195"/>
      <c r="F11" s="196"/>
      <c r="G11" s="197"/>
      <c r="H11" s="198"/>
      <c r="I11" s="198"/>
      <c r="J11" s="197"/>
      <c r="K11" s="197"/>
      <c r="L11" s="197"/>
      <c r="M11" s="197"/>
    </row>
    <row r="12" spans="2:13" ht="15.75">
      <c r="B12" s="194"/>
      <c r="C12" s="274"/>
      <c r="D12" s="274"/>
      <c r="E12" s="195"/>
      <c r="F12" s="196"/>
      <c r="G12" s="197"/>
      <c r="H12" s="198"/>
      <c r="I12" s="198"/>
      <c r="J12" s="197"/>
      <c r="K12" s="197"/>
      <c r="L12" s="197"/>
      <c r="M12" s="197"/>
    </row>
    <row r="13" spans="2:13" ht="15.75">
      <c r="B13" s="194"/>
      <c r="C13" s="274"/>
      <c r="D13" s="274"/>
      <c r="E13" s="195"/>
      <c r="F13" s="196"/>
      <c r="G13" s="197"/>
      <c r="H13" s="198"/>
      <c r="I13" s="198"/>
      <c r="J13" s="197"/>
      <c r="K13" s="197"/>
      <c r="L13" s="197"/>
      <c r="M13" s="197"/>
    </row>
    <row r="14" spans="2:13" ht="15.75">
      <c r="B14" s="194"/>
      <c r="C14" s="274"/>
      <c r="D14" s="274"/>
      <c r="E14" s="195"/>
      <c r="F14" s="196"/>
      <c r="G14" s="197"/>
      <c r="H14" s="198"/>
      <c r="I14" s="198"/>
      <c r="J14" s="197"/>
      <c r="K14" s="197"/>
      <c r="L14" s="197"/>
      <c r="M14" s="197"/>
    </row>
    <row r="15" spans="2:13" ht="15.75">
      <c r="B15" s="194"/>
      <c r="C15" s="274"/>
      <c r="D15" s="274"/>
      <c r="E15" s="195"/>
      <c r="F15" s="196"/>
      <c r="G15" s="197"/>
      <c r="H15" s="198"/>
      <c r="I15" s="198"/>
      <c r="J15" s="197"/>
      <c r="K15" s="197"/>
      <c r="L15" s="197"/>
      <c r="M15" s="197"/>
    </row>
    <row r="16" spans="2:13" ht="15.75">
      <c r="B16" s="194"/>
      <c r="C16" s="274"/>
      <c r="D16" s="274"/>
      <c r="E16" s="195"/>
      <c r="F16" s="196"/>
      <c r="G16" s="197"/>
      <c r="H16" s="198"/>
      <c r="I16" s="198"/>
      <c r="J16" s="197"/>
      <c r="K16" s="197"/>
      <c r="L16" s="197"/>
      <c r="M16" s="197"/>
    </row>
    <row r="17" spans="2:13" ht="15.75">
      <c r="B17" s="194"/>
      <c r="C17" s="274"/>
      <c r="D17" s="274"/>
      <c r="E17" s="195"/>
      <c r="F17" s="196"/>
      <c r="G17" s="197"/>
      <c r="H17" s="198"/>
      <c r="I17" s="198"/>
      <c r="J17" s="197"/>
      <c r="K17" s="197"/>
      <c r="L17" s="197"/>
      <c r="M17" s="197"/>
    </row>
    <row r="18" spans="2:13" ht="15.75">
      <c r="B18" s="194"/>
      <c r="C18" s="274"/>
      <c r="D18" s="274"/>
      <c r="E18" s="195"/>
      <c r="F18" s="196"/>
      <c r="G18" s="197"/>
      <c r="H18" s="198"/>
      <c r="I18" s="198"/>
      <c r="J18" s="197"/>
      <c r="K18" s="197"/>
      <c r="L18" s="197"/>
      <c r="M18" s="197"/>
    </row>
    <row r="19" spans="2:13" ht="15.75">
      <c r="B19" s="199" t="s">
        <v>87</v>
      </c>
      <c r="C19" s="200"/>
      <c r="D19" s="200"/>
      <c r="E19" s="201"/>
      <c r="F19" s="202"/>
      <c r="G19" s="203">
        <f>SUM(G9:G18)</f>
        <v>0</v>
      </c>
      <c r="H19" s="204"/>
      <c r="I19" s="204"/>
      <c r="J19" s="203">
        <f>SUM(J9:J18)</f>
        <v>0</v>
      </c>
      <c r="K19" s="203">
        <f>SUM(K9:K18)</f>
        <v>0</v>
      </c>
      <c r="L19" s="203">
        <f>SUM(L9:L18)</f>
        <v>0</v>
      </c>
      <c r="M19" s="203">
        <f>SUM(M9:M18)</f>
        <v>0</v>
      </c>
    </row>
    <row r="20" spans="2:13" ht="15.75">
      <c r="B20" s="180" t="s">
        <v>88</v>
      </c>
      <c r="C20" s="205"/>
      <c r="D20" s="205"/>
      <c r="E20" s="206"/>
      <c r="F20" s="207"/>
      <c r="G20" s="207"/>
      <c r="H20" s="208"/>
      <c r="I20" s="208"/>
      <c r="J20" s="207"/>
      <c r="K20" s="207"/>
      <c r="L20" s="207"/>
      <c r="M20" s="207"/>
    </row>
    <row r="21" spans="2:13" ht="15.75">
      <c r="B21" s="194"/>
      <c r="C21" s="274"/>
      <c r="D21" s="274"/>
      <c r="E21" s="195"/>
      <c r="F21" s="196"/>
      <c r="G21" s="197"/>
      <c r="H21" s="198"/>
      <c r="I21" s="198"/>
      <c r="J21" s="197"/>
      <c r="K21" s="197"/>
      <c r="L21" s="197"/>
      <c r="M21" s="197"/>
    </row>
    <row r="22" spans="2:13" ht="15.75">
      <c r="B22" s="194"/>
      <c r="C22" s="274"/>
      <c r="D22" s="274"/>
      <c r="E22" s="195"/>
      <c r="F22" s="196"/>
      <c r="G22" s="197"/>
      <c r="H22" s="198"/>
      <c r="I22" s="198"/>
      <c r="J22" s="197"/>
      <c r="K22" s="197"/>
      <c r="L22" s="197"/>
      <c r="M22" s="197"/>
    </row>
    <row r="23" spans="2:13" ht="15.75">
      <c r="B23" s="194"/>
      <c r="C23" s="274"/>
      <c r="D23" s="274"/>
      <c r="E23" s="195"/>
      <c r="F23" s="196"/>
      <c r="G23" s="197"/>
      <c r="H23" s="198"/>
      <c r="I23" s="198"/>
      <c r="J23" s="197"/>
      <c r="K23" s="197"/>
      <c r="L23" s="197"/>
      <c r="M23" s="197"/>
    </row>
    <row r="24" spans="2:13" ht="15.75">
      <c r="B24" s="194"/>
      <c r="C24" s="274"/>
      <c r="D24" s="274"/>
      <c r="E24" s="195"/>
      <c r="F24" s="196"/>
      <c r="G24" s="197"/>
      <c r="H24" s="198"/>
      <c r="I24" s="198"/>
      <c r="J24" s="197"/>
      <c r="K24" s="197"/>
      <c r="L24" s="197"/>
      <c r="M24" s="197"/>
    </row>
    <row r="25" spans="2:13" ht="15.75">
      <c r="B25" s="194"/>
      <c r="C25" s="274"/>
      <c r="D25" s="274"/>
      <c r="E25" s="195"/>
      <c r="F25" s="196"/>
      <c r="G25" s="197"/>
      <c r="H25" s="198"/>
      <c r="I25" s="198"/>
      <c r="J25" s="197"/>
      <c r="K25" s="197"/>
      <c r="L25" s="197"/>
      <c r="M25" s="197"/>
    </row>
    <row r="26" spans="2:13" ht="15.75">
      <c r="B26" s="194"/>
      <c r="C26" s="274"/>
      <c r="D26" s="274"/>
      <c r="E26" s="195"/>
      <c r="F26" s="196"/>
      <c r="G26" s="197"/>
      <c r="H26" s="198"/>
      <c r="I26" s="198"/>
      <c r="J26" s="197"/>
      <c r="K26" s="197"/>
      <c r="L26" s="197"/>
      <c r="M26" s="197"/>
    </row>
    <row r="27" spans="2:13" ht="15.75">
      <c r="B27" s="199" t="s">
        <v>89</v>
      </c>
      <c r="C27" s="200"/>
      <c r="D27" s="200"/>
      <c r="E27" s="209"/>
      <c r="F27" s="202"/>
      <c r="G27" s="210">
        <f>SUM(G21:G26)</f>
        <v>0</v>
      </c>
      <c r="H27" s="204"/>
      <c r="I27" s="204"/>
      <c r="J27" s="210">
        <f>SUM(J21:J26)</f>
        <v>0</v>
      </c>
      <c r="K27" s="210">
        <f>SUM(K21:K26)</f>
        <v>0</v>
      </c>
      <c r="L27" s="203">
        <f>SUM(L21:L26)</f>
        <v>0</v>
      </c>
      <c r="M27" s="210">
        <f>SUM(M21:M26)</f>
        <v>0</v>
      </c>
    </row>
    <row r="28" spans="2:13" ht="15.75">
      <c r="B28" s="180" t="s">
        <v>90</v>
      </c>
      <c r="C28" s="205"/>
      <c r="D28" s="205"/>
      <c r="E28" s="206"/>
      <c r="F28" s="207"/>
      <c r="G28" s="211"/>
      <c r="H28" s="208"/>
      <c r="I28" s="208"/>
      <c r="J28" s="207"/>
      <c r="K28" s="207"/>
      <c r="L28" s="207"/>
      <c r="M28" s="207"/>
    </row>
    <row r="29" spans="2:13" ht="15.75">
      <c r="B29" s="194"/>
      <c r="C29" s="274"/>
      <c r="D29" s="274"/>
      <c r="E29" s="195"/>
      <c r="F29" s="196"/>
      <c r="G29" s="197"/>
      <c r="H29" s="198"/>
      <c r="I29" s="198"/>
      <c r="J29" s="197"/>
      <c r="K29" s="197"/>
      <c r="L29" s="197"/>
      <c r="M29" s="197"/>
    </row>
    <row r="30" spans="2:13" ht="15.75">
      <c r="B30" s="194"/>
      <c r="C30" s="274"/>
      <c r="D30" s="274"/>
      <c r="E30" s="195"/>
      <c r="F30" s="196"/>
      <c r="G30" s="197"/>
      <c r="H30" s="198"/>
      <c r="I30" s="198"/>
      <c r="J30" s="197"/>
      <c r="K30" s="197"/>
      <c r="L30" s="197"/>
      <c r="M30" s="197"/>
    </row>
    <row r="31" spans="2:13" ht="15.75">
      <c r="B31" s="194"/>
      <c r="C31" s="274"/>
      <c r="D31" s="274"/>
      <c r="E31" s="195"/>
      <c r="F31" s="196"/>
      <c r="G31" s="197"/>
      <c r="H31" s="198"/>
      <c r="I31" s="198"/>
      <c r="J31" s="197"/>
      <c r="K31" s="197"/>
      <c r="L31" s="197"/>
      <c r="M31" s="197"/>
    </row>
    <row r="32" spans="2:13" ht="15.75">
      <c r="B32" s="194"/>
      <c r="C32" s="274"/>
      <c r="D32" s="274"/>
      <c r="E32" s="195"/>
      <c r="F32" s="196"/>
      <c r="G32" s="197"/>
      <c r="H32" s="198"/>
      <c r="I32" s="198"/>
      <c r="J32" s="197"/>
      <c r="K32" s="197"/>
      <c r="L32" s="197"/>
      <c r="M32" s="197"/>
    </row>
    <row r="33" spans="2:13" ht="15.75">
      <c r="B33" s="194"/>
      <c r="C33" s="274"/>
      <c r="D33" s="274"/>
      <c r="E33" s="195"/>
      <c r="F33" s="196"/>
      <c r="G33" s="197"/>
      <c r="H33" s="198"/>
      <c r="I33" s="198"/>
      <c r="J33" s="197"/>
      <c r="K33" s="197"/>
      <c r="L33" s="197"/>
      <c r="M33" s="197"/>
    </row>
    <row r="34" spans="2:13" ht="15.75">
      <c r="B34" s="194"/>
      <c r="C34" s="274"/>
      <c r="D34" s="274"/>
      <c r="E34" s="195"/>
      <c r="F34" s="196"/>
      <c r="G34" s="197"/>
      <c r="H34" s="198"/>
      <c r="I34" s="198"/>
      <c r="J34" s="197"/>
      <c r="K34" s="197"/>
      <c r="L34" s="197"/>
      <c r="M34" s="197"/>
    </row>
    <row r="35" spans="2:29" ht="15.75">
      <c r="B35" s="194"/>
      <c r="C35" s="274"/>
      <c r="D35" s="274"/>
      <c r="E35" s="195"/>
      <c r="F35" s="196"/>
      <c r="G35" s="197"/>
      <c r="H35" s="198"/>
      <c r="I35" s="198"/>
      <c r="J35" s="197"/>
      <c r="K35" s="197"/>
      <c r="L35" s="197"/>
      <c r="M35" s="197"/>
      <c r="N35" s="26"/>
      <c r="O35" s="26"/>
      <c r="P35" s="26"/>
      <c r="Q35" s="26"/>
      <c r="R35" s="26"/>
      <c r="S35" s="26"/>
      <c r="T35" s="26"/>
      <c r="U35" s="26"/>
      <c r="V35" s="26"/>
      <c r="W35" s="26"/>
      <c r="X35" s="26"/>
      <c r="Y35" s="26"/>
      <c r="Z35" s="26"/>
      <c r="AA35" s="26"/>
      <c r="AB35" s="26"/>
      <c r="AC35" s="26"/>
    </row>
    <row r="36" spans="2:13" ht="15.75">
      <c r="B36" s="199" t="s">
        <v>187</v>
      </c>
      <c r="C36" s="199"/>
      <c r="D36" s="199"/>
      <c r="E36" s="209"/>
      <c r="F36" s="202"/>
      <c r="G36" s="210">
        <f>SUM(G29:G35)</f>
        <v>0</v>
      </c>
      <c r="H36" s="202"/>
      <c r="I36" s="202"/>
      <c r="J36" s="210">
        <f>SUM(J29:J35)</f>
        <v>0</v>
      </c>
      <c r="K36" s="210">
        <f>SUM(K29:K35)</f>
        <v>0</v>
      </c>
      <c r="L36" s="210">
        <f>SUM(L29:L35)</f>
        <v>0</v>
      </c>
      <c r="M36" s="210">
        <f>SUM(M29:M35)</f>
        <v>0</v>
      </c>
    </row>
    <row r="37" spans="2:13" ht="15.75">
      <c r="B37" s="199" t="s">
        <v>91</v>
      </c>
      <c r="C37" s="199"/>
      <c r="D37" s="199"/>
      <c r="E37" s="199"/>
      <c r="F37" s="202"/>
      <c r="G37" s="210">
        <f>SUM(G19+G27+G36)</f>
        <v>0</v>
      </c>
      <c r="H37" s="202"/>
      <c r="I37" s="202"/>
      <c r="J37" s="210">
        <f>SUM(J19+J27+J36)</f>
        <v>0</v>
      </c>
      <c r="K37" s="210">
        <f>SUM(K19+K27+K36)</f>
        <v>0</v>
      </c>
      <c r="L37" s="210">
        <f>SUM(L19+L27+L36)</f>
        <v>0</v>
      </c>
      <c r="M37" s="210">
        <f>SUM(M19+M27+M36)</f>
        <v>0</v>
      </c>
    </row>
    <row r="38" spans="2:13" ht="15.75">
      <c r="B38" s="26"/>
      <c r="C38" s="26"/>
      <c r="D38" s="26"/>
      <c r="E38" s="26"/>
      <c r="F38" s="26"/>
      <c r="G38" s="26"/>
      <c r="H38" s="26"/>
      <c r="I38" s="26"/>
      <c r="J38" s="26"/>
      <c r="K38" s="26"/>
      <c r="L38" s="26"/>
      <c r="M38" s="26"/>
    </row>
    <row r="39" spans="6:13" ht="15.75">
      <c r="F39" s="212"/>
      <c r="G39" s="212"/>
      <c r="J39" s="212"/>
      <c r="K39" s="212"/>
      <c r="L39" s="212"/>
      <c r="M39" s="212"/>
    </row>
    <row r="40" spans="6:14" ht="15.75">
      <c r="F40" s="26"/>
      <c r="H40" s="213"/>
      <c r="N40" s="26"/>
    </row>
    <row r="41" spans="2:13" ht="15.75">
      <c r="B41" s="26"/>
      <c r="C41" s="26"/>
      <c r="D41" s="26"/>
      <c r="E41" s="26"/>
      <c r="F41" s="26"/>
      <c r="G41" s="26"/>
      <c r="H41" s="26"/>
      <c r="I41" s="26"/>
      <c r="J41" s="26"/>
      <c r="K41" s="26"/>
      <c r="L41" s="26"/>
      <c r="M41" s="26"/>
    </row>
    <row r="42" spans="2:13" ht="15.75">
      <c r="B42" s="26"/>
      <c r="C42" s="26"/>
      <c r="D42" s="26"/>
      <c r="E42" s="26"/>
      <c r="F42" s="26"/>
      <c r="G42" s="26"/>
      <c r="H42" s="26"/>
      <c r="I42" s="26"/>
      <c r="J42" s="26"/>
      <c r="K42" s="26"/>
      <c r="L42" s="26"/>
      <c r="M42" s="26"/>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2" r:id="rId1"/>
  <headerFooter alignWithMargins="0">
    <oddHeader>&amp;RState of Kansas
County
</oddHeader>
    <oddFooter>&amp;CPage No.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john</cp:lastModifiedBy>
  <cp:lastPrinted>2013-08-07T13:15:54Z</cp:lastPrinted>
  <dcterms:created xsi:type="dcterms:W3CDTF">1998-08-26T13:26:11Z</dcterms:created>
  <dcterms:modified xsi:type="dcterms:W3CDTF">2013-08-07T13:15:57Z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