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<sst xmlns="http://schemas.openxmlformats.org/spreadsheetml/2006/main" count="1215" uniqueCount="829">
  <si>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</si>
  <si>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</si>
  <si>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</si>
  <si>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</si>
  <si>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</si>
  <si>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</si>
  <si>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</si>
  <si>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</si>
  <si>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</si>
  <si>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</si>
  <si>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</si>
  <si>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</si>
  <si>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</si>
  <si>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</si>
  <si>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</si>
  <si>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</si>
  <si>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</si>
  <si>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</si>
  <si>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</si>
  <si>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</si>
  <si>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</si>
  <si>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</si>
  <si>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</si>
  <si>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</si>
  <si>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</si>
  <si>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</si>
  <si>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</si>
  <si>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</si>
  <si>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</si>
  <si>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</si>
  <si>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</si>
  <si>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</si>
  <si>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</si>
  <si>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</si>
  <si>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</si>
  <si>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</si>
  <si>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</si>
  <si>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</si>
  <si>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</si>
  <si>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</si>
  <si>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</si>
  <si>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</si>
  <si>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</si>
  <si>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</si>
  <si>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</si>
  <si>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</si>
  <si>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</si>
  <si>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</si>
  <si>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</si>
  <si>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</si>
  <si>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</si>
  <si>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</si>
  <si>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</si>
  <si>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</si>
  <si>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</si>
  <si>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</si>
  <si>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</si>
  <si>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</si>
  <si>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</si>
  <si>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</si>
  <si>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</si>
  <si>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</si>
  <si>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</si>
  <si>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</si>
  <si>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</si>
  <si>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</si>
  <si>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</si>
  <si>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</si>
  <si>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</si>
  <si>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</si>
  <si>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</si>
  <si>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</si>
  <si>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</si>
  <si>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</si>
  <si>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</si>
  <si>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</si>
  <si>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</si>
  <si>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</si>
  <si>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</si>
  <si>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</si>
  <si>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</si>
  <si>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</si>
  <si>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</si>
  <si>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</si>
  <si>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</si>
  <si>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</si>
  <si>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</si>
  <si>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</si>
  <si>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</si>
  <si>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</si>
  <si>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</si>
  <si>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</si>
  <si>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</si>
  <si>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</si>
  <si>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</si>
  <si>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</si>
  <si>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</si>
  <si>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</si>
  <si>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</si>
  <si>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</si>
  <si>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</si>
  <si>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</si>
  <si>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</si>
  <si>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</si>
  <si>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</si>
  <si>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</si>
  <si>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</si>
  <si>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</si>
  <si>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</si>
  <si>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</si>
  <si>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</si>
  <si>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</si>
  <si>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</si>
  <si>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</si>
  <si>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</si>
  <si>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</si>
  <si>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</si>
  <si>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</si>
  <si>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</si>
  <si>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</si>
  <si>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</si>
  <si>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</si>
  <si>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</si>
  <si>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</si>
  <si>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</si>
  <si>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</si>
  <si>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</si>
  <si>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</si>
  <si>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</si>
  <si>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</si>
  <si>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</si>
  <si>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</si>
  <si>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</si>
  <si>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</si>
  <si>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</si>
  <si>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</si>
  <si>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</si>
  <si>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</si>
  <si>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</si>
  <si>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</si>
  <si>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</si>
  <si>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</si>
  <si>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</si>
  <si>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</si>
  <si>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</si>
  <si>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</si>
  <si>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</si>
  <si>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</si>
  <si>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</si>
  <si>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</si>
  <si>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</si>
  <si>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</si>
  <si>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</si>
  <si>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</si>
  <si>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</si>
  <si>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</si>
  <si>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</si>
  <si>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</si>
  <si>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</si>
  <si>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</si>
  <si>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</si>
  <si>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</si>
  <si>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</si>
  <si>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</si>
  <si>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</si>
  <si>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</si>
  <si>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</si>
  <si>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</si>
  <si>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</si>
  <si>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</si>
  <si>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</si>
  <si>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</si>
  <si>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</si>
  <si>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</si>
  <si>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</si>
  <si>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</si>
  <si>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</si>
  <si>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</si>
  <si>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</si>
  <si>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</si>
  <si>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</si>
  <si>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</si>
  <si>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</si>
  <si>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</si>
  <si>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</si>
  <si>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</si>
  <si>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</si>
  <si>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</si>
  <si>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</si>
  <si>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</si>
  <si>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</si>
  <si>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</si>
  <si>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</si>
  <si>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</si>
  <si>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</si>
  <si>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</si>
  <si>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</si>
  <si>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</si>
  <si>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</si>
  <si>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</si>
  <si>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</si>
  <si>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</si>
  <si>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</si>
  <si>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</si>
  <si>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</si>
  <si>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</si>
  <si>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</si>
  <si>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</si>
  <si>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</si>
  <si>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</si>
  <si>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</si>
  <si>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</si>
  <si>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</si>
  <si>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</si>
  <si>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</si>
  <si>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</si>
  <si>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</si>
  <si>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</si>
  <si>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</si>
  <si>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</si>
  <si>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</si>
  <si>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</si>
  <si>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</si>
  <si>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</si>
  <si>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</si>
  <si>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</si>
  <si>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</si>
  <si>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</si>
  <si>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</si>
  <si>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</si>
  <si>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</si>
  <si>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</si>
  <si>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</si>
  <si>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</si>
  <si>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</si>
  <si>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</si>
  <si>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</si>
  <si>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</si>
  <si>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</si>
  <si>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</si>
  <si>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</si>
  <si>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</si>
  <si>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</si>
  <si>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</si>
  <si>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</si>
  <si>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</si>
  <si>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</si>
  <si>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</si>
  <si>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</si>
  <si>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</si>
  <si>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</si>
  <si>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</si>
  <si>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</si>
  <si>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</si>
  <si>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</si>
  <si>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</si>
  <si>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</si>
  <si>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</si>
  <si>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</si>
  <si>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</si>
  <si>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</si>
  <si>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</si>
  <si>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</si>
  <si>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</si>
  <si>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</si>
  <si>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</si>
  <si>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</si>
  <si>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</si>
  <si>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</si>
  <si>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</si>
  <si>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</si>
  <si>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</si>
  <si>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</si>
  <si>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</si>
  <si>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</si>
  <si>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</si>
  <si>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</si>
  <si>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</si>
  <si>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</si>
  <si>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</si>
  <si>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</si>
  <si>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</si>
  <si>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</si>
  <si>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</si>
  <si>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</si>
  <si>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</si>
  <si>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</si>
  <si>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</si>
  <si>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</si>
  <si>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</si>
  <si>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</si>
  <si>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</si>
  <si>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</si>
  <si>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</si>
  <si>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</si>
  <si>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</si>
  <si>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</si>
  <si>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</si>
  <si>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</si>
  <si>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</si>
  <si>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</si>
  <si>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</si>
  <si>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</si>
  <si>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</si>
  <si>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</si>
  <si>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</si>
  <si>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</si>
  <si>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</si>
  <si>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</si>
  <si>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</si>
  <si>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</si>
  <si>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</si>
  <si>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</si>
  <si>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</si>
  <si>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</si>
  <si>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</si>
  <si>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</si>
  <si>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</si>
  <si>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</si>
  <si>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</si>
  <si>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</si>
  <si>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</si>
  <si>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</si>
  <si>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</si>
  <si>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</si>
  <si>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</si>
  <si>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</si>
  <si>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</si>
  <si>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</si>
  <si>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</si>
  <si>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</si>
  <si>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</si>
  <si>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</si>
  <si>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</si>
  <si>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</si>
  <si>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</si>
  <si>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</si>
  <si>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</si>
  <si>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</si>
  <si>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</si>
  <si>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</si>
  <si>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</si>
  <si>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</si>
  <si>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</si>
  <si>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</si>
  <si>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</si>
  <si>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</si>
  <si>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</si>
  <si>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</si>
  <si>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</si>
  <si>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</si>
  <si>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</si>
  <si>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</si>
  <si>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</si>
  <si>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</si>
  <si>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</si>
  <si>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</si>
  <si>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</si>
  <si>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</si>
  <si>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</si>
  <si>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</si>
  <si>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</si>
  <si>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</si>
  <si>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</si>
  <si>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</si>
  <si>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</si>
  <si>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</si>
  <si>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</si>
  <si>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</si>
  <si>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</si>
  <si>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</si>
  <si>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</si>
  <si>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</si>
  <si>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</si>
  <si>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</si>
  <si>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</si>
  <si>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</si>
  <si>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</si>
  <si>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</si>
  <si>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</si>
  <si>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</si>
  <si>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</si>
  <si>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</si>
  <si>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</si>
  <si>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</si>
  <si>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</si>
  <si>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</si>
  <si>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</si>
  <si>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</si>
  <si>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</si>
  <si>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</si>
  <si>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</si>
  <si>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</si>
  <si>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</si>
  <si>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</si>
  <si>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</si>
  <si>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</si>
  <si>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</si>
  <si>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</si>
  <si>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</si>
  <si>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</si>
  <si>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</si>
  <si>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</si>
  <si>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</si>
  <si>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</si>
  <si>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</si>
  <si>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</si>
  <si>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</si>
  <si>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</si>
  <si>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</si>
  <si>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</si>
  <si>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</si>
  <si>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</si>
  <si>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</si>
  <si>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</si>
  <si>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</si>
  <si>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</si>
  <si>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</si>
  <si>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</si>
  <si>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</si>
  <si>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</si>
  <si>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</si>
  <si>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</si>
  <si>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</si>
  <si>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</si>
  <si>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</si>
  <si>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</si>
  <si>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</si>
  <si>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</si>
  <si>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</si>
  <si>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</si>
  <si>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</si>
  <si>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</si>
  <si>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</si>
  <si>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</si>
  <si>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</si>
  <si>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</si>
  <si>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</si>
  <si>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</si>
  <si>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</si>
  <si>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</si>
  <si>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</si>
  <si>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</si>
  <si>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</si>
  <si>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</si>
  <si>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</si>
  <si>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</si>
  <si>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</si>
  <si>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</si>
  <si>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</si>
  <si>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</si>
  <si>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</si>
  <si>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</si>
  <si>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</si>
  <si>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</si>
  <si>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</si>
  <si>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</si>
  <si>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</si>
  <si>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</si>
  <si>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</si>
  <si>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</si>
  <si>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</si>
  <si>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</si>
  <si>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</si>
  <si>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</si>
  <si>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</si>
  <si>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</si>
  <si>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</si>
  <si>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</si>
  <si>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</si>
  <si>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</si>
  <si>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</si>
  <si>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</si>
  <si>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</si>
  <si>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</si>
  <si>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</si>
  <si>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</si>
  <si>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</si>
  <si>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</si>
  <si>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</si>
  <si>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</si>
  <si>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</si>
  <si>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</si>
  <si>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</si>
  <si>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</si>
  <si>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</si>
  <si>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</si>
  <si>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</si>
  <si>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</si>
  <si>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</si>
  <si>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</si>
  <si>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</si>
  <si>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</si>
  <si>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</si>
  <si>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</si>
  <si>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</si>
  <si>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</si>
  <si>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</si>
  <si>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</si>
  <si>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</si>
  <si>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</si>
  <si>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</si>
  <si>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</si>
  <si>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</si>
  <si>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</si>
  <si>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</si>
  <si>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</si>
  <si>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</si>
  <si>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</si>
  <si>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</si>
  <si>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</si>
  <si>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</si>
  <si>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</si>
  <si>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</si>
  <si>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</si>
  <si>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</si>
  <si>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</si>
  <si>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</si>
  <si>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</si>
  <si>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</si>
  <si>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</si>
  <si>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</si>
  <si>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</si>
  <si>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</si>
  <si>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</si>
  <si>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</si>
  <si>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</si>
  <si>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</si>
  <si>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</si>
  <si>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</si>
  <si>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</si>
  <si>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</si>
  <si>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</si>
  <si>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</si>
  <si>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</si>
  <si>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</si>
  <si>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</si>
  <si>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</si>
  <si>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</si>
  <si>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</si>
  <si>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</si>
  <si>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</si>
  <si>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</si>
  <si>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</si>
  <si>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</si>
  <si>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</si>
  <si>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</si>
  <si>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</si>
  <si>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</si>
  <si>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</si>
  <si>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</si>
  <si>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</si>
  <si>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</si>
  <si>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</si>
  <si>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</si>
  <si>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</si>
  <si>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</si>
  <si>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</si>
  <si>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</si>
  <si>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</si>
  <si>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</si>
  <si>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</si>
  <si>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</si>
  <si>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</si>
  <si>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</si>
  <si>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</si>
  <si>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</si>
  <si>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</si>
  <si>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</si>
  <si>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</si>
  <si>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</si>
  <si>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</si>
  <si>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</si>
  <si>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</si>
  <si>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</si>
  <si>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</si>
  <si>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</si>
  <si>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</si>
  <si>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</si>
  <si>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</si>
  <si>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</si>
  <si>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</si>
  <si>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</si>
  <si>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</si>
  <si>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</si>
  <si>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</si>
  <si>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</si>
  <si>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</si>
  <si>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</si>
  <si>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</si>
  <si>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</si>
  <si>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</si>
  <si>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</si>
  <si>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</si>
  <si>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</si>
  <si>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</si>
  <si>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</si>
  <si>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</si>
  <si>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</si>
  <si>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</si>
  <si>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</si>
  <si>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</si>
  <si>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</si>
  <si>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</si>
  <si>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</si>
  <si>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</si>
  <si>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</si>
  <si>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</si>
  <si>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</si>
  <si>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</si>
  <si>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</si>
  <si>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</si>
  <si>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</si>
  <si>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</si>
  <si>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</si>
  <si>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</si>
  <si>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</si>
  <si>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</si>
  <si>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</si>
  <si>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</si>
  <si>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</si>
  <si>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</si>
  <si>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</si>
  <si>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</si>
  <si>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</si>
  <si>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</si>
  <si>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</si>
  <si>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</si>
  <si>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</si>
  <si>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</si>
  <si>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</si>
  <si>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</si>
  <si>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</si>
  <si>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</si>
  <si>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</si>
  <si>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</si>
  <si>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</si>
  <si>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</si>
  <si>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</si>
  <si>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</si>
  <si>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</si>
  <si>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</si>
  <si>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</si>
  <si>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</si>
  <si>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</si>
  <si>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</si>
  <si>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</si>
  <si>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</si>
  <si>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</si>
  <si>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</si>
  <si>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</si>
  <si>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</si>
  <si>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</si>
  <si>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</si>
  <si>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</si>
  <si>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</si>
  <si>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</si>
  <si>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</si>
  <si>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</si>
  <si>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</si>
  <si>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</si>
  <si>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</si>
  <si>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</si>
  <si>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</si>
  <si>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</si>
  <si>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</si>
  <si>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</si>
  <si>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</si>
  <si>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</si>
  <si>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</si>
  <si>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</si>
  <si>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</si>
  <si>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</si>
  <si>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</si>
  <si>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</si>
  <si>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</si>
  <si>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</si>
  <si>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</si>
  <si>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</si>
  <si>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</si>
  <si>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</si>
  <si>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</si>
  <si>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</si>
  <si>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</si>
  <si>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</si>
  <si>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</si>
  <si>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</si>
  <si>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</si>
  <si>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</si>
  <si>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</si>
  <si>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</si>
  <si>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</si>
  <si>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</si>
  <si>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</si>
  <si>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</si>
  <si>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</si>
  <si>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</si>
  <si>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</si>
  <si>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</si>
  <si>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</si>
  <si>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</si>
  <si>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</si>
  <si>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</si>
  <si>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</si>
  <si>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</si>
  <si>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</si>
  <si>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</si>
  <si>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</si>
  <si>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</si>
  <si>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</si>
  <si>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</si>
  <si>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</si>
  <si>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</si>
  <si>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</si>
  <si>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</si>
  <si>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</si>
  <si>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</si>
  <si>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</si>
  <si>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</si>
  <si>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</si>
  <si>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</si>
  <si>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</si>
  <si>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</si>
  <si>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</si>
  <si>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</si>
  <si>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</si>
  <si>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</si>
  <si>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</si>
  <si>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</si>
  <si>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</si>
  <si>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</si>
  <si>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</si>
  <si>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</si>
  <si>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</si>
  <si>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</si>
  <si>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</si>
  <si>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</si>
  <si>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</si>
  <si>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</si>
  <si>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</si>
  <si>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</si>
  <si>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</si>
  <si>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</si>
  <si>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</si>
  <si>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</si>
  <si>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</si>
  <si>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</si>
  <si>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</si>
  <si>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</si>
  <si>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</si>
  <si>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</si>
  <si>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</si>
  <si>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</si>
  <si>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</si>
  <si>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</si>
  <si>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</si>
  <si>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</si>
  <si>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</si>
  <si>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</si>
  <si>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</si>
  <si>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</si>
  <si>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</si>
  <si>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</si>
  <si>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</si>
  <si>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</si>
  <si>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</si>
  <si>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</si>
  <si>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</si>
  <si>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</si>
  <si>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</si>
  <si>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</si>
  <si>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</si>
  <si>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</si>
  <si>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</si>
  <si>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</si>
  <si>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</si>
  <si>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</si>
  <si>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</si>
  <si>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</si>
  <si>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</si>
  <si>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</si>
  <si>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</si>
  <si>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</si>
  <si>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</si>
  <si>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</si>
  <si>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</si>
  <si>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</si>
  <si>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</si>
  <si>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</si>
  <si>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</si>
  <si>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</si>
  <si>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</si>
  <si>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Basehor Community Library</t>
  </si>
  <si>
    <t>Leavenworth County</t>
  </si>
  <si>
    <t>August 8, 2014</t>
  </si>
  <si>
    <t>6:30 p.m.</t>
  </si>
  <si>
    <t xml:space="preserve">Basehor Community Library, 1400 158th St., Basehor, KS </t>
  </si>
  <si>
    <t xml:space="preserve">Basehor Community Library, 1400 158th St., Basehor, KS  </t>
  </si>
  <si>
    <t>Janet Klasinski</t>
  </si>
  <si>
    <t>Leavenworth County Clerk</t>
  </si>
  <si>
    <t>300 Walnut St.</t>
  </si>
  <si>
    <t>Leavenworth, KS  66048</t>
  </si>
  <si>
    <t>jklasinski@leavenworthcounty.org</t>
  </si>
  <si>
    <t>General Fund</t>
  </si>
  <si>
    <t>Capital Improvement</t>
  </si>
  <si>
    <t>12-1258</t>
  </si>
  <si>
    <t>3/1 &amp; 9/1</t>
  </si>
  <si>
    <t>Series 2006</t>
  </si>
  <si>
    <t>NEKLS Grants</t>
  </si>
  <si>
    <t>State Grants</t>
  </si>
  <si>
    <t>Donations</t>
  </si>
  <si>
    <t>Transfer in from Capital Improvement Acct.</t>
  </si>
  <si>
    <t>Wages</t>
  </si>
  <si>
    <t>Legal &amp; Financial</t>
  </si>
  <si>
    <t>Technology</t>
  </si>
  <si>
    <t>Library Operations</t>
  </si>
  <si>
    <t>Employee Benefits</t>
  </si>
  <si>
    <t>Materials</t>
  </si>
  <si>
    <t>Continuing Education</t>
  </si>
  <si>
    <t>Advertising</t>
  </si>
  <si>
    <t>Postage</t>
  </si>
  <si>
    <t>Furniture &amp; Equipment</t>
  </si>
  <si>
    <t>Transfer to Capital Improvement</t>
  </si>
  <si>
    <t>Building Maintenance</t>
  </si>
  <si>
    <t>Utilities</t>
  </si>
  <si>
    <t>Interest Payment</t>
  </si>
  <si>
    <t>Principal Payment</t>
  </si>
  <si>
    <t>Cash Basis</t>
  </si>
  <si>
    <t>Trans to General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</si>
</sst>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12" fillId="22" borderId="14" xfId="68" applyFill="1" applyBorder="1" applyAlignment="1" applyProtection="1">
      <alignment horizontal="left" vertical="center"/>
      <protection locked="0"/>
    </xf>
    <xf numFmtId="3" fontId="4" fillId="22" borderId="10" xfId="0" applyNumberFormat="1" applyFont="1" applyFill="1" applyBorder="1" applyAlignment="1" applyProtection="1">
      <alignment horizontal="left" vertical="center"/>
      <protection locked="0"/>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klasinski@leavenworthcounty.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M35" sqref="M35"/>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Basehor Community Library</v>
      </c>
      <c r="C1" s="18"/>
      <c r="D1" s="18"/>
      <c r="E1" s="18"/>
      <c r="F1" s="18"/>
      <c r="G1" s="18"/>
      <c r="H1" s="18"/>
      <c r="I1" s="18"/>
      <c r="J1" s="18"/>
      <c r="K1" s="18"/>
      <c r="L1" s="182">
        <f>inputPrYr!D6</f>
        <v>2014</v>
      </c>
    </row>
    <row r="2" spans="2:12" ht="15.75">
      <c r="B2" s="18" t="str">
        <f>inputPrYr!$D$4</f>
        <v>Leavenworth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t="s">
        <v>807</v>
      </c>
      <c r="C10" s="380">
        <v>38932</v>
      </c>
      <c r="D10" s="194">
        <v>4.85</v>
      </c>
      <c r="E10" s="767">
        <v>2990000</v>
      </c>
      <c r="F10" s="56">
        <v>2900000</v>
      </c>
      <c r="G10" s="195" t="s">
        <v>806</v>
      </c>
      <c r="H10" s="195">
        <v>41334</v>
      </c>
      <c r="I10" s="767">
        <v>139827</v>
      </c>
      <c r="J10" s="194">
        <v>30000</v>
      </c>
      <c r="K10" s="767">
        <v>138284</v>
      </c>
      <c r="L10" s="194">
        <v>35000</v>
      </c>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2900000</v>
      </c>
      <c r="G12" s="204"/>
      <c r="H12" s="204"/>
      <c r="I12" s="203">
        <f>SUM(I10:I11)</f>
        <v>139827</v>
      </c>
      <c r="J12" s="203">
        <f>SUM(J10:J11)</f>
        <v>30000</v>
      </c>
      <c r="K12" s="203">
        <f>SUM(K10:K11)</f>
        <v>138284</v>
      </c>
      <c r="L12" s="203">
        <f>SUM(L10:L11)</f>
        <v>35000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2900000</v>
      </c>
      <c r="G21" s="547"/>
      <c r="H21" s="549"/>
      <c r="I21" s="208">
        <f>SUM(I12+I16+I20)</f>
        <v>139827</v>
      </c>
      <c r="J21" s="208">
        <f>SUM(J12+J16+J20)</f>
        <v>30000</v>
      </c>
      <c r="K21" s="208">
        <f>SUM(K12+K16+K20)</f>
        <v>138284</v>
      </c>
      <c r="L21" s="208">
        <f>SUM(L12+L16+L20)</f>
        <v>35000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4">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Basehor Community Library</v>
      </c>
      <c r="C1" s="222"/>
      <c r="D1" s="18"/>
      <c r="E1" s="182"/>
    </row>
    <row r="2" spans="2:5" ht="15.75">
      <c r="B2" s="18" t="str">
        <f>inputPrYr!D4</f>
        <v>Leavenworth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50614</v>
      </c>
      <c r="D7" s="373">
        <f>C62</f>
        <v>98832</v>
      </c>
      <c r="E7" s="45">
        <f>D62</f>
        <v>71736</v>
      </c>
    </row>
    <row r="8" spans="2:5" ht="15.75">
      <c r="B8" s="226" t="s">
        <v>127</v>
      </c>
      <c r="C8" s="227"/>
      <c r="D8" s="227"/>
      <c r="E8" s="123"/>
    </row>
    <row r="9" spans="2:5" ht="15.75">
      <c r="B9" s="119" t="s">
        <v>33</v>
      </c>
      <c r="C9" s="366">
        <v>545928</v>
      </c>
      <c r="D9" s="373">
        <f>IF(inputPrYr!H18&gt;0,inputPrYr!G19,inputPrYr!E19)</f>
        <v>554043</v>
      </c>
      <c r="E9" s="128" t="s">
        <v>28</v>
      </c>
    </row>
    <row r="10" spans="2:5" ht="15.75">
      <c r="B10" s="119" t="s">
        <v>34</v>
      </c>
      <c r="C10" s="366">
        <v>25184</v>
      </c>
      <c r="D10" s="366">
        <v>0</v>
      </c>
      <c r="E10" s="198"/>
    </row>
    <row r="11" spans="2:5" ht="15.75">
      <c r="B11" s="119" t="s">
        <v>35</v>
      </c>
      <c r="C11" s="366">
        <v>80317</v>
      </c>
      <c r="D11" s="366">
        <v>65840</v>
      </c>
      <c r="E11" s="45">
        <f>mvalloc!D11</f>
        <v>80460</v>
      </c>
    </row>
    <row r="12" spans="2:5" ht="15.75">
      <c r="B12" s="119" t="s">
        <v>36</v>
      </c>
      <c r="C12" s="366">
        <v>1170</v>
      </c>
      <c r="D12" s="366">
        <v>1018</v>
      </c>
      <c r="E12" s="45">
        <f>mvalloc!E11</f>
        <v>1169</v>
      </c>
    </row>
    <row r="13" spans="2:5" ht="15.75">
      <c r="B13" s="227" t="s">
        <v>109</v>
      </c>
      <c r="C13" s="366">
        <v>1464</v>
      </c>
      <c r="D13" s="366">
        <v>1539</v>
      </c>
      <c r="E13" s="45">
        <f>mvalloc!F11</f>
        <v>1379</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t="s">
        <v>808</v>
      </c>
      <c r="C17" s="366">
        <v>858</v>
      </c>
      <c r="D17" s="366"/>
      <c r="E17" s="198"/>
    </row>
    <row r="18" spans="2:5" ht="15.75">
      <c r="B18" s="228" t="s">
        <v>809</v>
      </c>
      <c r="C18" s="366">
        <v>8970</v>
      </c>
      <c r="D18" s="366"/>
      <c r="E18" s="198"/>
    </row>
    <row r="19" spans="2:5" ht="15.75">
      <c r="B19" s="228" t="s">
        <v>218</v>
      </c>
      <c r="C19" s="366">
        <v>21512</v>
      </c>
      <c r="D19" s="366">
        <v>13000</v>
      </c>
      <c r="E19" s="198"/>
    </row>
    <row r="20" spans="2:5" ht="15.75">
      <c r="B20" s="228" t="s">
        <v>810</v>
      </c>
      <c r="C20" s="366">
        <v>5339</v>
      </c>
      <c r="D20" s="366"/>
      <c r="E20" s="198"/>
    </row>
    <row r="21" spans="2:5" ht="15.75">
      <c r="B21" s="228" t="s">
        <v>811</v>
      </c>
      <c r="C21" s="366">
        <v>16000</v>
      </c>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253</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706995</v>
      </c>
      <c r="D33" s="368">
        <f>SUM(D9:D31)</f>
        <v>635440</v>
      </c>
      <c r="E33" s="234">
        <f>SUM(E9:E31)</f>
        <v>83008</v>
      </c>
    </row>
    <row r="34" spans="2:5" ht="15.75">
      <c r="B34" s="233" t="s">
        <v>40</v>
      </c>
      <c r="C34" s="368">
        <f>C7+C33</f>
        <v>757609</v>
      </c>
      <c r="D34" s="368">
        <f>D7+D33</f>
        <v>734272</v>
      </c>
      <c r="E34" s="234">
        <f>E7+E33</f>
        <v>154744</v>
      </c>
    </row>
    <row r="35" spans="2:5" ht="15.75">
      <c r="B35" s="119" t="s">
        <v>41</v>
      </c>
      <c r="C35" s="121"/>
      <c r="D35" s="121"/>
      <c r="E35" s="36"/>
    </row>
    <row r="36" spans="2:5" ht="15.75">
      <c r="B36" s="228"/>
      <c r="C36" s="366"/>
      <c r="D36" s="366"/>
      <c r="E36" s="198"/>
    </row>
    <row r="37" spans="2:5" ht="15.75">
      <c r="B37" s="228" t="s">
        <v>812</v>
      </c>
      <c r="C37" s="366">
        <v>297872</v>
      </c>
      <c r="D37" s="366">
        <v>300000</v>
      </c>
      <c r="E37" s="198">
        <v>310000</v>
      </c>
    </row>
    <row r="38" spans="2:5" ht="15.75">
      <c r="B38" s="228" t="s">
        <v>816</v>
      </c>
      <c r="C38" s="366">
        <v>67585</v>
      </c>
      <c r="D38" s="366">
        <v>65000</v>
      </c>
      <c r="E38" s="198">
        <v>75000</v>
      </c>
    </row>
    <row r="39" spans="2:5" ht="15.75">
      <c r="B39" s="228" t="s">
        <v>817</v>
      </c>
      <c r="C39" s="366">
        <v>113862</v>
      </c>
      <c r="D39" s="366">
        <v>106000</v>
      </c>
      <c r="E39" s="198">
        <v>120000</v>
      </c>
    </row>
    <row r="40" spans="2:5" ht="15.75">
      <c r="B40" s="228" t="s">
        <v>813</v>
      </c>
      <c r="C40" s="366">
        <v>4868</v>
      </c>
      <c r="D40" s="366">
        <v>5000</v>
      </c>
      <c r="E40" s="198">
        <v>5000</v>
      </c>
    </row>
    <row r="41" spans="2:5" ht="15.75">
      <c r="B41" s="228" t="s">
        <v>814</v>
      </c>
      <c r="C41" s="366">
        <v>46769</v>
      </c>
      <c r="D41" s="366">
        <v>38100</v>
      </c>
      <c r="E41" s="198">
        <v>48000</v>
      </c>
    </row>
    <row r="42" spans="2:5" ht="15.75">
      <c r="B42" s="228" t="s">
        <v>815</v>
      </c>
      <c r="C42" s="366">
        <v>21338</v>
      </c>
      <c r="D42" s="366">
        <v>50000</v>
      </c>
      <c r="E42" s="198">
        <v>24947</v>
      </c>
    </row>
    <row r="43" spans="2:5" ht="15.75">
      <c r="B43" s="228" t="s">
        <v>824</v>
      </c>
      <c r="C43" s="366">
        <v>30130</v>
      </c>
      <c r="D43" s="366">
        <v>0</v>
      </c>
      <c r="E43" s="198">
        <v>35000</v>
      </c>
    </row>
    <row r="44" spans="2:5" ht="15.75">
      <c r="B44" s="228" t="s">
        <v>818</v>
      </c>
      <c r="C44" s="366">
        <v>7002</v>
      </c>
      <c r="D44" s="366">
        <v>5200</v>
      </c>
      <c r="E44" s="198">
        <v>8000</v>
      </c>
    </row>
    <row r="45" spans="2:5" ht="15.75">
      <c r="B45" s="228" t="s">
        <v>218</v>
      </c>
      <c r="C45" s="366">
        <v>4338</v>
      </c>
      <c r="D45" s="366">
        <v>15436</v>
      </c>
      <c r="E45" s="198">
        <v>10000</v>
      </c>
    </row>
    <row r="46" spans="2:5" ht="15.75">
      <c r="B46" s="228" t="s">
        <v>819</v>
      </c>
      <c r="C46" s="366">
        <v>3062</v>
      </c>
      <c r="D46" s="366">
        <v>7500</v>
      </c>
      <c r="E46" s="198">
        <v>5000</v>
      </c>
    </row>
    <row r="47" spans="2:5" ht="15.75">
      <c r="B47" s="228" t="s">
        <v>820</v>
      </c>
      <c r="C47" s="366">
        <v>3458</v>
      </c>
      <c r="D47" s="366">
        <v>5000</v>
      </c>
      <c r="E47" s="198">
        <v>5000</v>
      </c>
    </row>
    <row r="48" spans="2:5" ht="15.75">
      <c r="B48" s="228" t="s">
        <v>821</v>
      </c>
      <c r="C48" s="366">
        <v>12312</v>
      </c>
      <c r="D48" s="366">
        <v>7300</v>
      </c>
      <c r="E48" s="198">
        <v>15000</v>
      </c>
    </row>
    <row r="49" spans="2:5" ht="15.75">
      <c r="B49" s="228" t="s">
        <v>823</v>
      </c>
      <c r="C49" s="366">
        <v>46181</v>
      </c>
      <c r="D49" s="366">
        <v>48000</v>
      </c>
      <c r="E49" s="198">
        <v>45000</v>
      </c>
    </row>
    <row r="50" spans="2:5" ht="15.75">
      <c r="B50" s="228"/>
      <c r="C50" s="366"/>
      <c r="D50" s="366"/>
      <c r="E50" s="198"/>
    </row>
    <row r="51" spans="2:5" ht="15.75">
      <c r="B51" s="228" t="s">
        <v>822</v>
      </c>
      <c r="C51" s="366"/>
      <c r="D51" s="366">
        <v>10000</v>
      </c>
      <c r="E51" s="198">
        <v>10000</v>
      </c>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658777</v>
      </c>
      <c r="D61" s="368">
        <f>SUM(D36:D59)</f>
        <v>662536</v>
      </c>
      <c r="E61" s="234">
        <f>SUM(E36:E59)</f>
        <v>715947</v>
      </c>
      <c r="F61" s="16"/>
      <c r="G61" s="489">
        <f>D62</f>
        <v>71736</v>
      </c>
      <c r="H61" s="488" t="str">
        <f>CONCATENATE("",E3-1," Ending Cash Balance (est.)")</f>
        <v>2013 Ending Cash Balance (est.)</v>
      </c>
      <c r="I61" s="584"/>
      <c r="J61" s="483"/>
      <c r="K61" s="16"/>
    </row>
    <row r="62" spans="2:11" ht="15.75">
      <c r="B62" s="119" t="s">
        <v>126</v>
      </c>
      <c r="C62" s="369">
        <f>C34-C61</f>
        <v>98832</v>
      </c>
      <c r="D62" s="369">
        <f>D34-D61</f>
        <v>71736</v>
      </c>
      <c r="E62" s="128" t="s">
        <v>28</v>
      </c>
      <c r="F62" s="16"/>
      <c r="G62" s="489">
        <f>E33</f>
        <v>83008</v>
      </c>
      <c r="H62" s="482" t="str">
        <f>CONCATENATE("",E3," Non-AV Receipts (est.)")</f>
        <v>2014 Non-AV Receipts (est.)</v>
      </c>
      <c r="I62" s="584"/>
      <c r="J62" s="483"/>
      <c r="K62" s="16"/>
    </row>
    <row r="63" spans="2:11" ht="15.75">
      <c r="B63" s="138" t="str">
        <f>CONCATENATE("",E3-2,"/",E3-1," Budget Authority Amount:")</f>
        <v>2012/2013 Budget Authority Amount:</v>
      </c>
      <c r="C63" s="120">
        <f>inputOth!B41</f>
        <v>683100</v>
      </c>
      <c r="D63" s="387">
        <f>inputPrYr!D19</f>
        <v>662536</v>
      </c>
      <c r="E63" s="128" t="s">
        <v>28</v>
      </c>
      <c r="F63" s="251"/>
      <c r="G63" s="481">
        <f>IF(E67&gt;0,E66,E68)</f>
        <v>561203</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715947</v>
      </c>
      <c r="H64" s="482" t="str">
        <f>CONCATENATE("Total ",E3," Resources Available")</f>
        <v>Total 2014 Resources Available</v>
      </c>
      <c r="I64" s="584"/>
      <c r="J64" s="483"/>
      <c r="K64" s="16"/>
    </row>
    <row r="65" spans="2:11" ht="15.75">
      <c r="B65" s="385" t="str">
        <f>CONCATENATE(C81,"     ",D81)</f>
        <v>     </v>
      </c>
      <c r="C65" s="696" t="s">
        <v>659</v>
      </c>
      <c r="D65" s="697"/>
      <c r="E65" s="45">
        <f>E61+E64</f>
        <v>715947</v>
      </c>
      <c r="F65" s="16"/>
      <c r="G65" s="480"/>
      <c r="H65" s="482"/>
      <c r="I65" s="482"/>
      <c r="J65" s="483"/>
      <c r="K65" s="16"/>
    </row>
    <row r="66" spans="2:11" ht="15.75">
      <c r="B66" s="385" t="str">
        <f>CONCATENATE(C82,"     ",D82)</f>
        <v>     </v>
      </c>
      <c r="C66" s="493"/>
      <c r="D66" s="492" t="s">
        <v>660</v>
      </c>
      <c r="E66" s="42">
        <f>IF(E65-E34&gt;0,E65-E34,0)</f>
        <v>561203</v>
      </c>
      <c r="F66" s="16"/>
      <c r="G66" s="481">
        <f>ROUND(C61*0.05+C61,0)</f>
        <v>691716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24231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561203</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5.636</v>
      </c>
      <c r="H71" s="488" t="str">
        <f>CONCATENATE("",E3," Fund Mill Rate")</f>
        <v>2014 Fund Mill Rate</v>
      </c>
      <c r="I71" s="570"/>
      <c r="J71" s="589"/>
      <c r="K71" s="16"/>
    </row>
    <row r="72" spans="2:11" ht="15.75">
      <c r="B72" s="18"/>
      <c r="C72" s="18"/>
      <c r="D72" s="18"/>
      <c r="E72" s="18"/>
      <c r="F72" s="591"/>
      <c r="G72" s="592">
        <f>summ!E16</f>
        <v>5.608</v>
      </c>
      <c r="H72" s="488" t="str">
        <f>CONCATENATE("",E3-1," Fund Mill Rate")</f>
        <v>2013 Fund Mill Rate</v>
      </c>
      <c r="I72" s="570"/>
      <c r="J72" s="589"/>
      <c r="K72" s="16"/>
    </row>
    <row r="73" spans="2:11" ht="15.75">
      <c r="B73" s="18"/>
      <c r="C73" s="222"/>
      <c r="D73" s="222"/>
      <c r="E73" s="222"/>
      <c r="F73" s="575"/>
      <c r="G73" s="593">
        <f>summ!H23</f>
        <v>7.138</v>
      </c>
      <c r="H73" s="488" t="str">
        <f>CONCATENATE("Total ",E3," Mill Rate")</f>
        <v>Total 2014 Mill Rate</v>
      </c>
      <c r="I73" s="570"/>
      <c r="J73" s="589"/>
      <c r="K73" s="16"/>
    </row>
    <row r="74" spans="2:11" ht="15.75">
      <c r="B74" s="138"/>
      <c r="C74" s="18" t="s">
        <v>227</v>
      </c>
      <c r="D74" s="18"/>
      <c r="E74" s="18"/>
      <c r="F74" s="575"/>
      <c r="G74" s="592">
        <f>summ!E23</f>
        <v>7.1419999999999995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34">
      <selection activeCell="E37" sqref="E3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Basehor Community Library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v>36736</v>
      </c>
      <c r="D6" s="379">
        <f>C54</f>
        <v>44361</v>
      </c>
      <c r="E6" s="239">
        <f>D54</f>
        <v>44299</v>
      </c>
    </row>
    <row r="7" spans="2:5" ht="15.75">
      <c r="B7" s="240" t="s">
        <v>127</v>
      </c>
      <c r="C7" s="377"/>
      <c r="D7" s="379"/>
      <c r="E7" s="239"/>
    </row>
    <row r="8" spans="2:5" ht="15.75">
      <c r="B8" s="113" t="s">
        <v>33</v>
      </c>
      <c r="C8" s="366">
        <v>145494</v>
      </c>
      <c r="D8" s="377">
        <f>IF(inputPrYr!H18&gt;0,inputPrYr!G20,inputPrYr!E20)</f>
        <v>151534</v>
      </c>
      <c r="E8" s="241" t="s">
        <v>28</v>
      </c>
    </row>
    <row r="9" spans="2:5" ht="15.75">
      <c r="B9" s="113" t="s">
        <v>34</v>
      </c>
      <c r="C9" s="366">
        <v>6423</v>
      </c>
      <c r="D9" s="366">
        <v>0</v>
      </c>
      <c r="E9" s="242"/>
    </row>
    <row r="10" spans="2:5" ht="15.75">
      <c r="B10" s="113" t="s">
        <v>35</v>
      </c>
      <c r="C10" s="366">
        <v>20936</v>
      </c>
      <c r="D10" s="366">
        <v>17551</v>
      </c>
      <c r="E10" s="243">
        <f>mvalloc!D12</f>
        <v>22006</v>
      </c>
    </row>
    <row r="11" spans="2:5" ht="15.75">
      <c r="B11" s="113" t="s">
        <v>36</v>
      </c>
      <c r="C11" s="366">
        <v>305</v>
      </c>
      <c r="D11" s="366">
        <v>271</v>
      </c>
      <c r="E11" s="243">
        <f>mvalloc!E12</f>
        <v>320</v>
      </c>
    </row>
    <row r="12" spans="2:5" ht="15.75">
      <c r="B12" s="244" t="s">
        <v>109</v>
      </c>
      <c r="C12" s="366">
        <v>356</v>
      </c>
      <c r="D12" s="366">
        <v>410</v>
      </c>
      <c r="E12" s="243">
        <f>mvalloc!F12</f>
        <v>377</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v>245</v>
      </c>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173759</v>
      </c>
      <c r="D29" s="376">
        <f>SUM(D8:D27)</f>
        <v>169766</v>
      </c>
      <c r="E29" s="248">
        <f>SUM(E8:E27)</f>
        <v>22703</v>
      </c>
    </row>
    <row r="30" spans="2:5" ht="15.75">
      <c r="B30" s="233" t="s">
        <v>40</v>
      </c>
      <c r="C30" s="376">
        <f>C6+C29</f>
        <v>210495</v>
      </c>
      <c r="D30" s="376">
        <f>D6+D29</f>
        <v>214127</v>
      </c>
      <c r="E30" s="249">
        <f>E6+E29</f>
        <v>67002</v>
      </c>
    </row>
    <row r="31" spans="2:5" ht="15.75">
      <c r="B31" s="240" t="s">
        <v>41</v>
      </c>
      <c r="C31" s="377"/>
      <c r="D31" s="377"/>
      <c r="E31" s="243"/>
    </row>
    <row r="32" spans="2:5" ht="15.75">
      <c r="B32" s="250"/>
      <c r="C32" s="366"/>
      <c r="D32" s="366"/>
      <c r="E32" s="242"/>
    </row>
    <row r="33" spans="2:5" ht="15.75">
      <c r="B33" s="250"/>
      <c r="C33" s="366"/>
      <c r="D33" s="366"/>
      <c r="E33" s="242"/>
    </row>
    <row r="34" spans="2:5" ht="15.75">
      <c r="B34" s="250" t="s">
        <v>825</v>
      </c>
      <c r="C34" s="366">
        <v>141134</v>
      </c>
      <c r="D34" s="366">
        <v>139828</v>
      </c>
      <c r="E34" s="242">
        <v>138284</v>
      </c>
    </row>
    <row r="35" spans="2:5" ht="15.75">
      <c r="B35" s="250" t="s">
        <v>826</v>
      </c>
      <c r="C35" s="366">
        <v>25000</v>
      </c>
      <c r="D35" s="366">
        <v>30000</v>
      </c>
      <c r="E35" s="242">
        <v>35000</v>
      </c>
    </row>
    <row r="36" spans="2:5" ht="15.75">
      <c r="B36" s="250" t="s">
        <v>827</v>
      </c>
      <c r="C36" s="366"/>
      <c r="D36" s="366"/>
      <c r="E36" s="242">
        <v>43321</v>
      </c>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166134</v>
      </c>
      <c r="D53" s="376">
        <f>SUM(D32:D51)</f>
        <v>169828</v>
      </c>
      <c r="E53" s="248">
        <f>SUM(E32:E51)</f>
        <v>216605</v>
      </c>
      <c r="F53" s="597"/>
      <c r="G53" s="489">
        <f>D54</f>
        <v>44299</v>
      </c>
      <c r="H53" s="488" t="str">
        <f>CONCATENATE("",E1-1," Ending Cash Balance (est.)")</f>
        <v>2013 Ending Cash Balance (est.)</v>
      </c>
      <c r="I53" s="584"/>
      <c r="J53" s="599"/>
      <c r="K53" s="597"/>
    </row>
    <row r="54" spans="2:11" ht="15.75">
      <c r="B54" s="113" t="s">
        <v>126</v>
      </c>
      <c r="C54" s="374">
        <f>C30-C53</f>
        <v>44361</v>
      </c>
      <c r="D54" s="374">
        <f>D30-D53</f>
        <v>44299</v>
      </c>
      <c r="E54" s="241" t="s">
        <v>28</v>
      </c>
      <c r="F54"/>
      <c r="G54" s="489">
        <f>E29</f>
        <v>22703</v>
      </c>
      <c r="H54" s="482" t="str">
        <f>CONCATENATE("",E1," Non-AV Receipts (est.)")</f>
        <v>2014 Non-AV Receipts (est.)</v>
      </c>
      <c r="I54" s="584"/>
      <c r="J54" s="599"/>
      <c r="K54" s="597"/>
    </row>
    <row r="55" spans="2:11" ht="15.75">
      <c r="B55" s="138" t="str">
        <f>CONCATENATE("",E1-2,"/",E1-1," Budget Authority Amount:")</f>
        <v>2012/2013 Budget Authority Amount:</v>
      </c>
      <c r="C55" s="120">
        <f>inputOth!B42</f>
        <v>166134</v>
      </c>
      <c r="D55" s="387">
        <f>inputPrYr!D20</f>
        <v>212285</v>
      </c>
      <c r="E55" s="241" t="s">
        <v>28</v>
      </c>
      <c r="F55" s="251"/>
      <c r="G55" s="481">
        <f>IF(E59&gt;0,E58,E60)</f>
        <v>149603</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216605</v>
      </c>
      <c r="H56" s="482" t="str">
        <f>CONCATENATE("Total ",E1," Resources Available")</f>
        <v>Total 2014 Resources Available</v>
      </c>
      <c r="I56" s="584"/>
      <c r="J56" s="599"/>
      <c r="K56" s="597"/>
    </row>
    <row r="57" spans="2:11" ht="15.75">
      <c r="B57" s="385" t="str">
        <f>CONCATENATE(C68,"     ",D68)</f>
        <v>     </v>
      </c>
      <c r="C57" s="696" t="s">
        <v>659</v>
      </c>
      <c r="D57" s="697"/>
      <c r="E57" s="45">
        <f>E53+E56</f>
        <v>216605</v>
      </c>
      <c r="F57"/>
      <c r="G57" s="480"/>
      <c r="H57" s="482"/>
      <c r="I57" s="482"/>
      <c r="J57" s="599"/>
      <c r="K57" s="597"/>
    </row>
    <row r="58" spans="2:11" ht="15.75">
      <c r="B58" s="385" t="str">
        <f>CONCATENATE(C69,"     ",D69)</f>
        <v>     </v>
      </c>
      <c r="C58" s="493"/>
      <c r="D58" s="492" t="s">
        <v>660</v>
      </c>
      <c r="E58" s="42">
        <f>IF(E57-E30&gt;0,E57-E30,0)</f>
        <v>149603</v>
      </c>
      <c r="F58"/>
      <c r="G58" s="481">
        <f>C53</f>
        <v>166134</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50471</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149603</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v>7</v>
      </c>
      <c r="D62" s="18"/>
      <c r="E62" s="18"/>
      <c r="F62"/>
      <c r="G62" s="588"/>
      <c r="H62" s="488"/>
      <c r="I62" s="570"/>
      <c r="J62" s="589"/>
      <c r="K62" s="597"/>
    </row>
    <row r="63" spans="6:11" ht="15.75">
      <c r="F63"/>
      <c r="G63" s="590">
        <f>summ!H17</f>
        <v>1.502</v>
      </c>
      <c r="H63" s="488" t="str">
        <f>CONCATENATE("",E1," Fund Mill Rate")</f>
        <v>2014 Fund Mill Rate</v>
      </c>
      <c r="I63" s="570"/>
      <c r="J63" s="589"/>
      <c r="K63" s="597"/>
    </row>
    <row r="64" spans="6:11" ht="15.75">
      <c r="F64"/>
      <c r="G64" s="592">
        <f>summ!E17</f>
        <v>1.534</v>
      </c>
      <c r="H64" s="488" t="str">
        <f>CONCATENATE("",E1-1," Fund Mill Rate")</f>
        <v>2013 Fund Mill Rate</v>
      </c>
      <c r="I64" s="570"/>
      <c r="J64" s="589"/>
      <c r="K64" s="597"/>
    </row>
    <row r="65" spans="6:11" ht="15.75">
      <c r="F65"/>
      <c r="G65" s="593">
        <f>summ!H23</f>
        <v>7.138</v>
      </c>
      <c r="H65" s="488" t="str">
        <f>CONCATENATE("Total ",E1," Mill Rate")</f>
        <v>Total 2014 Mill Rate</v>
      </c>
      <c r="I65" s="570"/>
      <c r="J65" s="589"/>
      <c r="K65" s="597"/>
    </row>
    <row r="66" spans="6:11" ht="15.75">
      <c r="F66"/>
      <c r="G66" s="592">
        <f>summ!E23</f>
        <v>7.1419999999999995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Basehor Community Library</v>
      </c>
      <c r="C1" s="18"/>
      <c r="D1" s="18"/>
      <c r="E1" s="182"/>
    </row>
    <row r="2" spans="2:5" ht="15.75">
      <c r="B2" s="18" t="str">
        <f>inputPrYr!D4</f>
        <v>Leavenworth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7.138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7.1419999999999995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7.138</v>
      </c>
      <c r="H86" s="488" t="str">
        <f>CONCATENATE("Total ",E3," Mill Rate")</f>
        <v>Total 2014 Mill Rate</v>
      </c>
      <c r="I86" s="570"/>
      <c r="J86" s="589"/>
      <c r="K86" s="16"/>
    </row>
    <row r="87" spans="3:11" ht="15.75" customHeight="1">
      <c r="C87" s="95">
        <f>IF(C33&gt;C35,"See Tab A","")</f>
      </c>
      <c r="D87" s="95">
        <f>IF(D33&gt;D35,"See Tab C","")</f>
      </c>
      <c r="F87" s="16"/>
      <c r="G87" s="592">
        <f>summ!E23</f>
        <v>7.1419999999999995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Basehor Community Library</v>
      </c>
      <c r="C1" s="222"/>
      <c r="D1" s="18"/>
      <c r="E1" s="182"/>
    </row>
    <row r="2" spans="2:5" ht="15.75">
      <c r="B2" s="18" t="str">
        <f>inputPrYr!D4</f>
        <v>Leavenworth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3" sqref="G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Basehor Community Library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
        <v>804</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357096</v>
      </c>
      <c r="C7" s="268" t="s">
        <v>239</v>
      </c>
      <c r="D7" s="267"/>
      <c r="E7" s="268" t="s">
        <v>239</v>
      </c>
      <c r="F7" s="267"/>
      <c r="G7" s="268" t="s">
        <v>239</v>
      </c>
      <c r="H7" s="267"/>
      <c r="I7" s="268" t="s">
        <v>239</v>
      </c>
      <c r="J7" s="267"/>
      <c r="K7" s="269">
        <f>SUM(B7+D7+F7+H7+J7)</f>
        <v>357096</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t="s">
        <v>68</v>
      </c>
      <c r="B10" s="267">
        <v>297</v>
      </c>
      <c r="C10" s="273"/>
      <c r="D10" s="267"/>
      <c r="E10" s="273"/>
      <c r="F10" s="267"/>
      <c r="G10" s="273"/>
      <c r="H10" s="267"/>
      <c r="I10" s="273"/>
      <c r="J10" s="267"/>
      <c r="K10" s="255"/>
    </row>
    <row r="11" spans="1:11" ht="15.75">
      <c r="A11" s="273" t="s">
        <v>68</v>
      </c>
      <c r="B11" s="267">
        <v>3670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3967</v>
      </c>
      <c r="C17" s="270" t="s">
        <v>39</v>
      </c>
      <c r="D17" s="269">
        <f>SUM(D9:D16)</f>
        <v>0</v>
      </c>
      <c r="E17" s="270" t="s">
        <v>39</v>
      </c>
      <c r="F17" s="283">
        <f>SUM(F9:F16)</f>
        <v>0</v>
      </c>
      <c r="G17" s="270" t="s">
        <v>39</v>
      </c>
      <c r="H17" s="269">
        <f>SUM(H9:H16)</f>
        <v>0</v>
      </c>
      <c r="I17" s="270" t="s">
        <v>39</v>
      </c>
      <c r="J17" s="269">
        <f>SUM(J9:J16)</f>
        <v>0</v>
      </c>
      <c r="K17" s="269">
        <f>SUM(B17+D17+F17+H17+J17)</f>
        <v>3967</v>
      </c>
    </row>
    <row r="18" spans="1:11" ht="15.75">
      <c r="A18" s="270" t="s">
        <v>40</v>
      </c>
      <c r="B18" s="269">
        <f>SUM(B7+B17)</f>
        <v>361063</v>
      </c>
      <c r="C18" s="270" t="s">
        <v>40</v>
      </c>
      <c r="D18" s="269">
        <f>SUM(D7+D17)</f>
        <v>0</v>
      </c>
      <c r="E18" s="270" t="s">
        <v>40</v>
      </c>
      <c r="F18" s="269">
        <f>SUM(F7+F17)</f>
        <v>0</v>
      </c>
      <c r="G18" s="270" t="s">
        <v>40</v>
      </c>
      <c r="H18" s="269">
        <f>SUM(H7+H17)</f>
        <v>0</v>
      </c>
      <c r="I18" s="270" t="s">
        <v>40</v>
      </c>
      <c r="J18" s="269">
        <f>SUM(J7+J17)</f>
        <v>0</v>
      </c>
      <c r="K18" s="269">
        <f>SUM(B18+D18+F18+H18+J18)</f>
        <v>361063</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t="s">
        <v>828</v>
      </c>
      <c r="B21" s="267">
        <v>16000</v>
      </c>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16000</v>
      </c>
      <c r="C28" s="270" t="s">
        <v>42</v>
      </c>
      <c r="D28" s="269">
        <f>SUM(D20:D27)</f>
        <v>0</v>
      </c>
      <c r="E28" s="270" t="s">
        <v>42</v>
      </c>
      <c r="F28" s="283">
        <f>SUM(F20:F27)</f>
        <v>0</v>
      </c>
      <c r="G28" s="270" t="s">
        <v>42</v>
      </c>
      <c r="H28" s="283">
        <f>SUM(H20:H27)</f>
        <v>0</v>
      </c>
      <c r="I28" s="270" t="s">
        <v>42</v>
      </c>
      <c r="J28" s="269">
        <f>SUM(J20:J27)</f>
        <v>0</v>
      </c>
      <c r="K28" s="269">
        <f>SUM(B28+D28+F28+H28+J28)</f>
        <v>16000</v>
      </c>
    </row>
    <row r="29" spans="1:12" ht="15.75">
      <c r="A29" s="270" t="s">
        <v>240</v>
      </c>
      <c r="B29" s="269">
        <f>SUM(B18-B28)</f>
        <v>345063</v>
      </c>
      <c r="C29" s="270" t="s">
        <v>240</v>
      </c>
      <c r="D29" s="269">
        <f>SUM(D18-D28)</f>
        <v>0</v>
      </c>
      <c r="E29" s="270" t="s">
        <v>240</v>
      </c>
      <c r="F29" s="269">
        <f>SUM(F18-F28)</f>
        <v>0</v>
      </c>
      <c r="G29" s="270" t="s">
        <v>240</v>
      </c>
      <c r="H29" s="269">
        <f>SUM(H18-H28)</f>
        <v>0</v>
      </c>
      <c r="I29" s="270" t="s">
        <v>240</v>
      </c>
      <c r="J29" s="269">
        <f>SUM(J18-J28)</f>
        <v>0</v>
      </c>
      <c r="K29" s="284">
        <f>SUM(B29+D29+F29+H29+J29)</f>
        <v>345063</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345063</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8</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29" sqref="G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Basehor Community Library</v>
      </c>
      <c r="B4" s="650"/>
      <c r="C4" s="650"/>
      <c r="D4" s="650"/>
      <c r="E4" s="650"/>
      <c r="F4" s="650"/>
      <c r="G4" s="650"/>
      <c r="H4" s="650"/>
    </row>
    <row r="5" spans="1:8" ht="15.75">
      <c r="A5" s="719" t="str">
        <f>inputPrYr!D4</f>
        <v>Leavenworth County</v>
      </c>
      <c r="B5" s="719"/>
      <c r="C5" s="719"/>
      <c r="D5" s="719"/>
      <c r="E5" s="719"/>
      <c r="F5" s="719"/>
      <c r="G5" s="719"/>
      <c r="H5" s="719"/>
    </row>
    <row r="6" spans="1:8" ht="15.75">
      <c r="A6" s="670" t="str">
        <f>CONCATENATE("will meet on ",inputBudSum!B7," at ",inputBudSum!B9," at ",inputBudSum!B11," for the purpose of hearing and")</f>
        <v>will meet on August 8, 2014 at 6:30 p.m. at Basehor Community Library, 1400 158th St., Basehor,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Basehor Community Library, 1400 158th St., Basehor,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99575</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658777</v>
      </c>
      <c r="C16" s="622">
        <f>IF(inputPrYr!D38&gt;0,inputPrYr!D38,"  ")</f>
        <v>5.636</v>
      </c>
      <c r="D16" s="560">
        <f>IF(gen!$D$61&lt;&gt;0,gen!$D$61,"  ")</f>
        <v>662536</v>
      </c>
      <c r="E16" s="625">
        <f>IF(inputOth!D16&gt;0,inputOth!D16,"  ")</f>
        <v>5.608</v>
      </c>
      <c r="F16" s="560">
        <f>IF(gen!$E$61&lt;&gt;0,gen!$E$61,"  ")</f>
        <v>715947</v>
      </c>
      <c r="G16" s="243">
        <f>IF(gen!$E$68&lt;&gt;0,gen!$E$68,"  ")</f>
        <v>561203</v>
      </c>
      <c r="H16" s="622">
        <f>IF(gen!E68&gt;0,ROUND(G16/$F$27*1000,3)," ")</f>
        <v>5.636</v>
      </c>
      <c r="J16" s="708" t="str">
        <f>CONCATENATE("Want The Mill Rate The Same As For ",I3-1,"?")</f>
        <v>Want The Mill Rate The Same As For 2013?</v>
      </c>
      <c r="K16" s="711"/>
      <c r="L16" s="711"/>
      <c r="M16" s="712"/>
    </row>
    <row r="17" spans="1:13" ht="15.75">
      <c r="A17" s="36" t="s">
        <v>271</v>
      </c>
      <c r="B17" s="123">
        <f>IF(DebtService!$C$53&lt;&gt;0,DebtService!$C$53,"  ")</f>
        <v>166134</v>
      </c>
      <c r="C17" s="622">
        <f>IF(inputPrYr!D39&gt;0,inputPrYr!D39,"  ")</f>
        <v>1.502</v>
      </c>
      <c r="D17" s="560">
        <f>IF(DebtService!$D$53&lt;&gt;0,DebtService!$D$53,"  ")</f>
        <v>169828</v>
      </c>
      <c r="E17" s="625">
        <f>IF(inputOth!D17&gt;0,inputOth!D17,"  ")</f>
        <v>1.534</v>
      </c>
      <c r="F17" s="560">
        <f>IF(DebtService!$E$53&lt;&gt;0,DebtService!$E$53,"  ")</f>
        <v>216605</v>
      </c>
      <c r="G17" s="243">
        <f>IF(DebtService!$E$60&lt;&gt;0,DebtService!$E$60,"  ")</f>
        <v>149603</v>
      </c>
      <c r="H17" s="622">
        <f>IF(DebtService!E60&gt;0,ROUND(G17/$F$27*1000,3)," ")</f>
        <v>1.502</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7.1419999999999995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357</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v>16000</v>
      </c>
      <c r="C22" s="623"/>
      <c r="D22" s="621"/>
      <c r="E22" s="626"/>
      <c r="F22" s="621"/>
      <c r="G22" s="628"/>
      <c r="H22" s="623"/>
      <c r="J22" s="511"/>
      <c r="K22" s="511"/>
      <c r="L22" s="511"/>
      <c r="M22" s="511"/>
    </row>
    <row r="23" spans="1:13" ht="15.75">
      <c r="A23" s="33" t="s">
        <v>134</v>
      </c>
      <c r="B23" s="619">
        <f>SUM(B16:B22)</f>
        <v>840911</v>
      </c>
      <c r="C23" s="624">
        <f aca="true" t="shared" si="0" ref="C23:H23">SUM(C16:C21)</f>
        <v>7.138</v>
      </c>
      <c r="D23" s="619">
        <f t="shared" si="0"/>
        <v>832364</v>
      </c>
      <c r="E23" s="627">
        <f t="shared" si="0"/>
        <v>7.1419999999999995</v>
      </c>
      <c r="F23" s="619">
        <f t="shared" si="0"/>
        <v>932552</v>
      </c>
      <c r="G23" s="619">
        <f t="shared" si="0"/>
        <v>710806</v>
      </c>
      <c r="H23" s="627">
        <f t="shared" si="0"/>
        <v>7.138</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10000</v>
      </c>
      <c r="E24" s="126"/>
      <c r="F24" s="620">
        <f>transfers!E26</f>
        <v>10000</v>
      </c>
      <c r="G24" s="238"/>
      <c r="H24" s="295"/>
      <c r="J24" s="503"/>
      <c r="K24" s="498"/>
      <c r="L24" s="498"/>
      <c r="M24" s="504"/>
    </row>
    <row r="25" spans="1:13" ht="16.5" thickBot="1">
      <c r="A25" s="33" t="s">
        <v>169</v>
      </c>
      <c r="B25" s="129">
        <f>SUM(B23-B24)</f>
        <v>840911</v>
      </c>
      <c r="C25" s="296"/>
      <c r="D25" s="129">
        <f>SUM(D23-D24)</f>
        <v>822364</v>
      </c>
      <c r="E25" s="296"/>
      <c r="F25" s="484">
        <f>SUM(F23-F24)</f>
        <v>922552</v>
      </c>
      <c r="G25" s="238"/>
      <c r="H25" s="295"/>
      <c r="J25" s="503" t="str">
        <f>CONCATENATE("",I3," Ad Valorem Tax Revenue:")</f>
        <v>2014 Ad Valorem Tax Revenue:</v>
      </c>
      <c r="K25" s="498"/>
      <c r="L25" s="498"/>
      <c r="M25" s="499">
        <f>G23</f>
        <v>710806</v>
      </c>
    </row>
    <row r="26" spans="1:13" ht="16.5" thickTop="1">
      <c r="A26" s="33" t="s">
        <v>54</v>
      </c>
      <c r="B26" s="619">
        <f>inputPrYr!E44</f>
        <v>714397</v>
      </c>
      <c r="C26" s="215"/>
      <c r="D26" s="619">
        <f>inputPrYr!E24</f>
        <v>705577</v>
      </c>
      <c r="E26" s="215"/>
      <c r="F26" s="83" t="s">
        <v>174</v>
      </c>
      <c r="G26" s="18"/>
      <c r="H26" s="18"/>
      <c r="J26" s="503" t="str">
        <f>CONCATENATE("",I3-1," Ad Valorem Tax Revenue:")</f>
        <v>2013 Ad Valorem Tax Revenue:</v>
      </c>
      <c r="K26" s="498"/>
      <c r="L26" s="498"/>
      <c r="M26" s="512">
        <f>ROUND(F27*M18/1000,0)</f>
        <v>711163</v>
      </c>
    </row>
    <row r="27" spans="1:13" ht="15.75">
      <c r="A27" s="33" t="s">
        <v>170</v>
      </c>
      <c r="B27" s="42">
        <f>inputPrYr!E45</f>
        <v>100065849</v>
      </c>
      <c r="C27" s="215"/>
      <c r="D27" s="42">
        <f>inputOth!E24</f>
        <v>98781093</v>
      </c>
      <c r="E27" s="215"/>
      <c r="F27" s="42">
        <f>inputOth!E7</f>
        <v>99574801</v>
      </c>
      <c r="G27" s="18"/>
      <c r="H27" s="18"/>
      <c r="J27" s="513" t="s">
        <v>667</v>
      </c>
      <c r="K27" s="514"/>
      <c r="L27" s="514"/>
      <c r="M27" s="502">
        <f>M25-M26</f>
        <v>-357</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2945000</v>
      </c>
      <c r="C31" s="156"/>
      <c r="D31" s="297">
        <f>inputPrYr!E48</f>
        <v>2925000</v>
      </c>
      <c r="E31" s="18"/>
      <c r="F31" s="297">
        <f>debt!F12</f>
        <v>2900000</v>
      </c>
      <c r="G31" s="18"/>
      <c r="H31" s="52"/>
      <c r="J31" s="503" t="str">
        <f>CONCATENATE("Current ",I3," Estimated Mill Rate:")</f>
        <v>Current 2014 Estimated Mill Rate:</v>
      </c>
      <c r="K31" s="498"/>
      <c r="L31" s="498"/>
      <c r="M31" s="505">
        <f>H23</f>
        <v>7.138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2945000</v>
      </c>
      <c r="C35" s="18"/>
      <c r="D35" s="298">
        <f>SUM(D31:D34)</f>
        <v>2925000</v>
      </c>
      <c r="E35" s="18"/>
      <c r="F35" s="298">
        <f>SUM(F31:F34)</f>
        <v>2900000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Basehor Community Library</v>
      </c>
      <c r="B40" s="678"/>
      <c r="C40" s="99"/>
      <c r="D40" s="18"/>
      <c r="E40" s="18"/>
      <c r="F40" s="18"/>
      <c r="G40" s="18"/>
      <c r="H40" s="52"/>
    </row>
    <row r="41" spans="1:8" ht="15.75">
      <c r="A41" s="706" t="str">
        <f>inputBudSum!B5</f>
        <v>Basehor Community Library</v>
      </c>
      <c r="B41" s="707"/>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Basehor Community Library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99574801</v>
      </c>
      <c r="E16" s="18"/>
      <c r="F16" s="52"/>
    </row>
    <row r="17" spans="1:6" ht="15.75">
      <c r="A17" s="18"/>
      <c r="B17" s="18"/>
      <c r="C17" s="18"/>
      <c r="D17" s="18"/>
      <c r="E17" s="18"/>
      <c r="F17" s="52"/>
    </row>
    <row r="18" spans="1:6" ht="15.75">
      <c r="A18" s="18"/>
      <c r="B18" s="723" t="s">
        <v>318</v>
      </c>
      <c r="C18" s="723"/>
      <c r="D18" s="309">
        <f>IF(D16&gt;0,(D16*0.001),"")</f>
        <v>99574.801</v>
      </c>
      <c r="E18" s="18"/>
      <c r="F18" s="52"/>
    </row>
    <row r="19" spans="1:6" ht="15.75">
      <c r="A19" s="18"/>
      <c r="B19" s="138"/>
      <c r="C19" s="138"/>
      <c r="D19" s="310"/>
      <c r="E19" s="18"/>
      <c r="F19" s="52"/>
    </row>
    <row r="20" spans="1:6" ht="15.75">
      <c r="A20" s="720" t="s">
        <v>316</v>
      </c>
      <c r="B20" s="716"/>
      <c r="C20" s="716"/>
      <c r="D20" s="311">
        <f>inputOth!E12</f>
        <v>1370056</v>
      </c>
      <c r="E20" s="62"/>
      <c r="F20" s="62"/>
    </row>
    <row r="21" spans="1:6" ht="15">
      <c r="A21" s="62"/>
      <c r="B21" s="62"/>
      <c r="C21" s="62"/>
      <c r="D21" s="312"/>
      <c r="E21" s="62"/>
      <c r="F21" s="62"/>
    </row>
    <row r="22" spans="1:6" ht="15.75">
      <c r="A22" s="62"/>
      <c r="B22" s="720" t="s">
        <v>317</v>
      </c>
      <c r="C22" s="721"/>
      <c r="D22" s="313">
        <f>IF(D20&gt;0,(D20*0.001),"")</f>
        <v>1370.056</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Basehor Community Library District with respect to financing the 2014 annual budget for Basehor Community Library , Leavenworth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Basehor Community Library district budget exceed the amount levied to finance the</v>
      </c>
      <c r="C9"/>
      <c r="D9"/>
      <c r="E9"/>
      <c r="F9"/>
      <c r="G9"/>
      <c r="H9"/>
    </row>
    <row r="10" spans="2:8" ht="15.75">
      <c r="B10" s="12" t="str">
        <f>CONCATENATE("",inputPrYr!D6-1," ",inputPrYr!D3," except with regard to revenue produced and attributable to the")</f>
        <v>2013 Basehor Community Library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Basehor Community Library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Basehor Community Library that is our desire to notify the public of the possibility of increased property taxes to finance the 2014 Basehor Community Library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Basehor Community Library District Board, Leavenworth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Basehor Community Library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7">
      <selection activeCell="E58" sqref="E5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662536</v>
      </c>
      <c r="E19" s="35">
        <v>554043</v>
      </c>
      <c r="G19" s="45">
        <f>IF(H18&gt;0,ROUND(E19-(E19*H18),0),0)</f>
        <v>0</v>
      </c>
    </row>
    <row r="20" spans="1:7" ht="15.75">
      <c r="A20" s="18"/>
      <c r="B20" s="33" t="s">
        <v>271</v>
      </c>
      <c r="C20" s="111" t="s">
        <v>157</v>
      </c>
      <c r="D20" s="35">
        <v>212285</v>
      </c>
      <c r="E20" s="35">
        <v>151534</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705577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874821</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5.636</v>
      </c>
      <c r="E38" s="37"/>
    </row>
    <row r="39" spans="1:5" ht="15.75">
      <c r="A39" s="18"/>
      <c r="B39" s="36" t="str">
        <f>B20</f>
        <v>Debt Service</v>
      </c>
      <c r="C39" s="18"/>
      <c r="D39" s="47">
        <v>1.502</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7.138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714397</v>
      </c>
    </row>
    <row r="45" spans="1:5" ht="15.75">
      <c r="A45" s="49" t="str">
        <f>CONCATENATE("Assessed Valuation (",D6-2," budget column)")</f>
        <v>Assessed Valuation (2012 budget column)</v>
      </c>
      <c r="B45" s="27"/>
      <c r="C45" s="18"/>
      <c r="D45" s="18"/>
      <c r="E45" s="51">
        <v>100065849</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v>2945000</v>
      </c>
      <c r="E48" s="56">
        <v>2925000</v>
      </c>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3" sqref="B4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Basehor Community Library</v>
      </c>
      <c r="B1" s="60"/>
      <c r="C1" s="60"/>
      <c r="D1" s="60"/>
      <c r="E1" s="60">
        <f>inputPrYr!D6</f>
        <v>2014</v>
      </c>
    </row>
    <row r="2" spans="1:5" ht="15.75">
      <c r="A2" s="60" t="str">
        <f>inputPrYr!D4</f>
        <v>Leavenworth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99574801</v>
      </c>
    </row>
    <row r="8" spans="1:5" ht="15.75">
      <c r="A8" s="66" t="str">
        <f>CONCATENATE("New Improvements for ",inputPrYr!D6-1,"")</f>
        <v>New Improvements for 2013</v>
      </c>
      <c r="B8" s="67"/>
      <c r="C8" s="67"/>
      <c r="D8" s="67"/>
      <c r="E8" s="68">
        <v>1143392</v>
      </c>
    </row>
    <row r="9" spans="1:5" ht="15.75">
      <c r="A9" s="66" t="str">
        <f>CONCATENATE("Personal Property excluding oil, gas, and mobile homes- ",inputPrYr!D6-1,"")</f>
        <v>Personal Property excluding oil, gas, and mobile homes- 2013</v>
      </c>
      <c r="B9" s="67"/>
      <c r="C9" s="67"/>
      <c r="D9" s="67"/>
      <c r="E9" s="68">
        <v>1839308</v>
      </c>
    </row>
    <row r="10" spans="1:5" ht="15.75">
      <c r="A10" s="66" t="str">
        <f>CONCATENATE("Property that has changed in use for ",inputPrYr!D6-1,"")</f>
        <v>Property that has changed in use for 2013</v>
      </c>
      <c r="B10" s="67"/>
      <c r="C10" s="67"/>
      <c r="D10" s="67"/>
      <c r="E10" s="68">
        <v>171793</v>
      </c>
    </row>
    <row r="11" spans="1:5" ht="15.75">
      <c r="A11" s="65" t="str">
        <f>CONCATENATE("Personal Property excluding oil, gas, and mobile homes- ",inputPrYr!D6-2,"")</f>
        <v>Personal Property excluding oil, gas, and mobile homes- 2012</v>
      </c>
      <c r="B11" s="40"/>
      <c r="C11" s="40"/>
      <c r="D11" s="40"/>
      <c r="E11" s="68">
        <v>1864054</v>
      </c>
    </row>
    <row r="12" spans="1:5" ht="15.75">
      <c r="A12" s="66" t="str">
        <f>CONCATENATE("Neighborhood Revitalization - ",E1,"")</f>
        <v>Neighborhood Revitalization - 2014</v>
      </c>
      <c r="B12" s="67"/>
      <c r="C12" s="67"/>
      <c r="D12" s="67"/>
      <c r="E12" s="68">
        <v>1370056</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5.608</v>
      </c>
      <c r="E16" s="72"/>
    </row>
    <row r="17" spans="1:5" ht="15.75">
      <c r="A17" s="66" t="s">
        <v>271</v>
      </c>
      <c r="B17" s="67"/>
      <c r="C17" s="69"/>
      <c r="D17" s="75">
        <v>1.534</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7.1419999999999995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98781093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102466</v>
      </c>
    </row>
    <row r="28" spans="1:5" ht="15.75">
      <c r="A28" s="66" t="s">
        <v>15</v>
      </c>
      <c r="B28" s="67"/>
      <c r="C28" s="67"/>
      <c r="D28" s="84"/>
      <c r="E28" s="35">
        <v>1489</v>
      </c>
    </row>
    <row r="29" spans="1:5" ht="15.75">
      <c r="A29" s="66" t="s">
        <v>171</v>
      </c>
      <c r="B29" s="67"/>
      <c r="C29" s="67"/>
      <c r="D29" s="84"/>
      <c r="E29" s="35">
        <v>1756</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683100</v>
      </c>
      <c r="C41" s="92" t="s">
        <v>214</v>
      </c>
      <c r="D41" s="93"/>
      <c r="E41" s="93"/>
    </row>
    <row r="42" spans="1:5" ht="15.75">
      <c r="A42" s="94" t="str">
        <f>inputPrYr!B20</f>
        <v>Debt Service</v>
      </c>
      <c r="B42" s="56">
        <v>166134</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792</v>
      </c>
      <c r="C3" s="538"/>
      <c r="J3" s="539" t="s">
        <v>713</v>
      </c>
    </row>
    <row r="4" spans="1:10" ht="15.75">
      <c r="A4" s="339"/>
      <c r="B4" s="339"/>
      <c r="C4" s="339"/>
      <c r="D4" s="340"/>
      <c r="E4" s="339"/>
      <c r="F4" s="339"/>
      <c r="J4" s="539" t="s">
        <v>714</v>
      </c>
    </row>
    <row r="5" spans="1:10" ht="15.75">
      <c r="A5" s="537" t="s">
        <v>710</v>
      </c>
      <c r="B5" s="538" t="s">
        <v>792</v>
      </c>
      <c r="C5" s="339"/>
      <c r="D5" s="340"/>
      <c r="E5" s="339"/>
      <c r="F5" s="339"/>
      <c r="J5" s="539" t="s">
        <v>715</v>
      </c>
    </row>
    <row r="6" spans="1:10" ht="15.75">
      <c r="A6" s="339"/>
      <c r="B6" s="339"/>
      <c r="C6" s="339"/>
      <c r="D6" s="340"/>
      <c r="E6" s="339"/>
      <c r="F6" s="339"/>
      <c r="J6" s="539" t="s">
        <v>716</v>
      </c>
    </row>
    <row r="7" spans="1:10" ht="15.75">
      <c r="A7" s="341" t="s">
        <v>320</v>
      </c>
      <c r="B7" s="342" t="s">
        <v>794</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29, 2014</v>
      </c>
      <c r="E8" s="339"/>
      <c r="F8" s="339"/>
      <c r="J8" s="539" t="s">
        <v>718</v>
      </c>
    </row>
    <row r="9" spans="1:10" ht="15.75">
      <c r="A9" s="341" t="s">
        <v>321</v>
      </c>
      <c r="B9" s="342" t="s">
        <v>795</v>
      </c>
      <c r="C9" s="346"/>
      <c r="D9" s="341"/>
      <c r="E9" s="339"/>
      <c r="F9" s="339"/>
      <c r="J9" s="539" t="s">
        <v>719</v>
      </c>
    </row>
    <row r="10" spans="1:10" ht="15.75">
      <c r="A10" s="341"/>
      <c r="B10" s="341"/>
      <c r="C10" s="341"/>
      <c r="D10" s="341"/>
      <c r="E10" s="339"/>
      <c r="F10" s="339"/>
      <c r="J10" s="539" t="s">
        <v>720</v>
      </c>
    </row>
    <row r="11" spans="1:10" ht="15.75">
      <c r="A11" s="341" t="s">
        <v>322</v>
      </c>
      <c r="B11" s="347" t="s">
        <v>796</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797</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41849</v>
      </c>
    </row>
    <row r="21" spans="1:7" ht="15.75">
      <c r="A21" s="341" t="s">
        <v>321</v>
      </c>
      <c r="B21" s="341" t="s">
        <v>326</v>
      </c>
      <c r="C21" s="341"/>
      <c r="D21" s="341"/>
      <c r="E21" s="341"/>
      <c r="G21" s="543">
        <f>IF(B7="","",MONTH(G20))</f>
        <v>7</v>
      </c>
    </row>
    <row r="22" spans="1:7" ht="15.75">
      <c r="A22" s="341"/>
      <c r="B22" s="341"/>
      <c r="C22" s="341"/>
      <c r="D22" s="341"/>
      <c r="E22" s="341"/>
      <c r="G22" s="544">
        <f>IF(B7="","",DAY(G20))</f>
        <v>29</v>
      </c>
    </row>
    <row r="23" spans="1:7" ht="15.75">
      <c r="A23" s="341" t="s">
        <v>322</v>
      </c>
      <c r="B23" s="341" t="s">
        <v>328</v>
      </c>
      <c r="C23" s="341"/>
      <c r="D23" s="341"/>
      <c r="E23" s="341"/>
      <c r="G23" s="545">
        <f>IF(B7="","",YEAR(G20))</f>
        <v>2014</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5">
      <selection activeCell="C38" sqref="C38"/>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Leavenworth County, State of Kansas</v>
      </c>
      <c r="B4" s="670"/>
      <c r="C4" s="670"/>
      <c r="D4" s="670"/>
      <c r="E4" s="670"/>
      <c r="F4" s="670"/>
      <c r="G4" s="670"/>
    </row>
    <row r="5" spans="1:7" ht="15.75">
      <c r="A5" s="97" t="s">
        <v>156</v>
      </c>
      <c r="B5" s="24"/>
      <c r="C5" s="24"/>
      <c r="D5" s="24"/>
      <c r="E5" s="24"/>
      <c r="F5" s="24"/>
      <c r="G5" s="24"/>
    </row>
    <row r="6" spans="1:7" ht="15.75">
      <c r="A6" s="650" t="str">
        <f>inputPrYr!D3</f>
        <v>Basehor Community Library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715947</v>
      </c>
      <c r="F23" s="558">
        <f>IF(gen!$E$68&lt;&gt;0,gen!$E$68,"  ")</f>
        <v>561203</v>
      </c>
      <c r="G23" s="559" t="str">
        <f>IF(AND(gen!E68=0,$G$32&gt;=0)," ",IF(AND(F23&gt;0,$G$32=0)," ",IF(AND(F23&gt;0,$G$32&gt;0),ROUND(F23/$G$32*1000,3))))</f>
        <v> </v>
      </c>
    </row>
    <row r="24" spans="1:7" ht="15.75">
      <c r="A24" s="119" t="s">
        <v>271</v>
      </c>
      <c r="B24" s="116"/>
      <c r="C24" s="111" t="s">
        <v>157</v>
      </c>
      <c r="D24" s="120">
        <f>IF(DebtService!C62&gt;0,DebtService!C62," ")</f>
        <v>7</v>
      </c>
      <c r="E24" s="243">
        <f>IF(DebtService!$E$53&lt;&gt;0,DebtService!$E$53,"  ")</f>
        <v>216605</v>
      </c>
      <c r="F24" s="243">
        <f>IF(DebtService!$E$60&lt;&gt;0,DebtService!$E$60,"  ")</f>
        <v>149603</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v>8</v>
      </c>
      <c r="E29" s="561"/>
      <c r="F29" s="562"/>
      <c r="G29" s="563"/>
    </row>
    <row r="30" spans="1:7" ht="15.75">
      <c r="A30" s="127" t="s">
        <v>134</v>
      </c>
      <c r="B30" s="67"/>
      <c r="C30" s="116"/>
      <c r="D30" s="128" t="s">
        <v>28</v>
      </c>
      <c r="E30" s="564">
        <f>SUM(E23:E28)</f>
        <v>932552</v>
      </c>
      <c r="F30" s="565">
        <f>SUM(F23:F28)</f>
        <v>710806</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t="s">
        <v>798</v>
      </c>
      <c r="B36" s="520"/>
      <c r="C36" s="69"/>
      <c r="D36" s="69"/>
      <c r="E36" s="139"/>
      <c r="F36" s="69"/>
      <c r="G36" s="18"/>
    </row>
    <row r="37" spans="1:7" ht="15.75">
      <c r="A37" s="521" t="s">
        <v>799</v>
      </c>
      <c r="B37" s="521"/>
      <c r="C37" s="69"/>
      <c r="D37" s="69"/>
      <c r="E37" s="391"/>
      <c r="F37" s="69"/>
      <c r="G37" s="69"/>
    </row>
    <row r="38" spans="1:7" ht="15.75">
      <c r="A38" s="20" t="s">
        <v>564</v>
      </c>
      <c r="B38" s="69"/>
      <c r="C38" s="69"/>
      <c r="D38" s="69"/>
      <c r="E38" s="553"/>
      <c r="F38" s="69"/>
      <c r="G38" s="69"/>
    </row>
    <row r="39" spans="1:7" ht="15.75">
      <c r="A39" s="520" t="s">
        <v>800</v>
      </c>
      <c r="B39" s="520"/>
      <c r="C39" s="69"/>
      <c r="D39" s="69" t="s">
        <v>729</v>
      </c>
      <c r="E39" s="554"/>
      <c r="F39" s="554"/>
      <c r="G39" s="69"/>
    </row>
    <row r="40" spans="1:7" ht="15.75">
      <c r="A40" s="521" t="s">
        <v>801</v>
      </c>
      <c r="B40" s="521"/>
      <c r="C40" s="52"/>
      <c r="D40" s="69"/>
      <c r="E40" s="554"/>
      <c r="F40" s="554"/>
      <c r="G40" s="69"/>
    </row>
    <row r="41" spans="1:7" ht="15.75">
      <c r="A41" s="20" t="s">
        <v>728</v>
      </c>
      <c r="B41" s="69"/>
      <c r="C41" s="18"/>
      <c r="D41" s="69" t="s">
        <v>729</v>
      </c>
      <c r="E41" s="555"/>
      <c r="F41" s="69"/>
      <c r="G41" s="69"/>
    </row>
    <row r="42" spans="1:7" ht="15.75">
      <c r="A42" s="766" t="s">
        <v>802</v>
      </c>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klasinski@leavenworthcounty.org"/>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Basehor Community Library</v>
      </c>
      <c r="D1" s="18"/>
      <c r="E1" s="18"/>
      <c r="F1" s="18"/>
      <c r="G1" s="18"/>
      <c r="H1" s="18"/>
      <c r="I1" s="18"/>
      <c r="J1" s="18">
        <f>inputPrYr!D6</f>
        <v>2014</v>
      </c>
    </row>
    <row r="2" spans="1:10" ht="15.75" customHeight="1">
      <c r="A2" s="18"/>
      <c r="B2" s="18"/>
      <c r="C2" s="18" t="str">
        <f>inputPrYr!D4</f>
        <v>Leavenworth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705577</v>
      </c>
    </row>
    <row r="6" spans="1:10" ht="15.75">
      <c r="A6" s="145" t="s">
        <v>94</v>
      </c>
      <c r="B6" s="18" t="str">
        <f>CONCATENATE("Debt Service Levy in ",J1-1," Budget")</f>
        <v>Debt Service Levy in 2013 Budget</v>
      </c>
      <c r="C6" s="18"/>
      <c r="D6" s="18"/>
      <c r="E6" s="37"/>
      <c r="F6" s="37"/>
      <c r="G6" s="37"/>
      <c r="H6" s="146" t="s">
        <v>95</v>
      </c>
      <c r="I6" s="37" t="s">
        <v>93</v>
      </c>
      <c r="J6" s="147">
        <f>inputPrYr!E20</f>
        <v>151534</v>
      </c>
    </row>
    <row r="7" spans="1:10" ht="15.75">
      <c r="A7" s="145" t="s">
        <v>119</v>
      </c>
      <c r="B7" s="25" t="s">
        <v>113</v>
      </c>
      <c r="C7" s="18"/>
      <c r="D7" s="18"/>
      <c r="E7" s="37"/>
      <c r="F7" s="37"/>
      <c r="G7" s="37"/>
      <c r="H7" s="37"/>
      <c r="I7" s="37" t="s">
        <v>93</v>
      </c>
      <c r="J7" s="41">
        <f>J5-J6</f>
        <v>554043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1143392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1839308</v>
      </c>
      <c r="F14" s="146"/>
      <c r="G14" s="37"/>
      <c r="H14" s="37"/>
      <c r="I14" s="149"/>
      <c r="J14" s="37"/>
    </row>
    <row r="15" spans="1:10" ht="15.75">
      <c r="A15" s="145"/>
      <c r="B15" s="18" t="s">
        <v>99</v>
      </c>
      <c r="C15" s="18" t="str">
        <f>CONCATENATE("Personal Property ",J1-2,"")</f>
        <v>Personal Property 2012</v>
      </c>
      <c r="D15" s="145" t="s">
        <v>95</v>
      </c>
      <c r="E15" s="41">
        <f>inputOth!E11</f>
        <v>1864054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171793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1315185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99574801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98259616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0.013384796863036794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7416</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561459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149603</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711062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Basehor Community Library</v>
      </c>
      <c r="C1" s="18"/>
      <c r="D1" s="18"/>
      <c r="E1" s="18"/>
      <c r="F1" s="18"/>
      <c r="G1" s="18"/>
      <c r="H1" s="18"/>
      <c r="I1" s="155"/>
      <c r="J1" s="18"/>
    </row>
    <row r="2" spans="1:10" ht="15.75">
      <c r="A2" s="18"/>
      <c r="B2" s="18" t="str">
        <f>inputPrYr!D4</f>
        <v>Leavenworth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554043</v>
      </c>
      <c r="D11" s="123">
        <f>IF(E17=0,0,E17-D12-D13-D14)</f>
        <v>80460</v>
      </c>
      <c r="E11" s="123">
        <f>IF(E19=0,0,E19-E12-E13-E14)</f>
        <v>1169</v>
      </c>
      <c r="F11" s="123">
        <f>IF(E21=0,0,E21-F12-F13-F14)</f>
        <v>1379</v>
      </c>
      <c r="G11" s="18"/>
      <c r="H11" s="18"/>
      <c r="I11" s="18"/>
      <c r="J11" s="18"/>
    </row>
    <row r="12" spans="1:10" ht="15.75">
      <c r="A12" s="18"/>
      <c r="B12" s="36" t="str">
        <f>inputPrYr!B20</f>
        <v>Debt Service</v>
      </c>
      <c r="C12" s="123">
        <f>inputPrYr!E20</f>
        <v>151534</v>
      </c>
      <c r="D12" s="123">
        <f>IF($E$17=0,0,ROUND(C12*$C$24,0))</f>
        <v>22006</v>
      </c>
      <c r="E12" s="123">
        <f>IF($E$19=0,0,ROUND(C12*$D$26,0))</f>
        <v>320</v>
      </c>
      <c r="F12" s="123">
        <f>IF($E21=0,0,ROUND(C12*$E$28,0))</f>
        <v>377</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705577</v>
      </c>
      <c r="D15" s="130">
        <f>SUM(D11:D14)</f>
        <v>102466</v>
      </c>
      <c r="E15" s="130">
        <f>SUM(E11:E14)</f>
        <v>1489</v>
      </c>
      <c r="F15" s="203">
        <f>SUM(F11:F14)</f>
        <v>1756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102466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1489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1756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0.14522298771076722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0.0021103295600621904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0.0024887432555199505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2" sqref="E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Basehor Community Library</v>
      </c>
      <c r="B2" s="165"/>
      <c r="C2" s="18"/>
      <c r="D2" s="18"/>
      <c r="E2" s="155"/>
      <c r="F2" s="18"/>
    </row>
    <row r="3" spans="1:6" ht="15.75">
      <c r="A3" s="165" t="str">
        <f>inputPrYr!D4</f>
        <v>Leavenworth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t="s">
        <v>803</v>
      </c>
      <c r="B11" s="46" t="s">
        <v>804</v>
      </c>
      <c r="C11" s="140"/>
      <c r="D11" s="140">
        <v>10000</v>
      </c>
      <c r="E11" s="140">
        <v>10000</v>
      </c>
      <c r="F11" s="46" t="s">
        <v>805</v>
      </c>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10000</v>
      </c>
      <c r="E24" s="176">
        <f>SUM(E10:E23)</f>
        <v>10000</v>
      </c>
      <c r="F24" s="177"/>
      <c r="G24" s="61"/>
    </row>
    <row r="25" spans="1:7" ht="15.75">
      <c r="A25" s="30"/>
      <c r="B25" s="178" t="s">
        <v>550</v>
      </c>
      <c r="C25" s="179"/>
      <c r="D25" s="180"/>
      <c r="E25" s="180"/>
      <c r="F25" s="177"/>
      <c r="G25" s="61"/>
    </row>
    <row r="26" spans="1:7" ht="15.75">
      <c r="A26" s="30"/>
      <c r="B26" s="175" t="s">
        <v>166</v>
      </c>
      <c r="C26" s="176">
        <f>C24</f>
        <v>0</v>
      </c>
      <c r="D26" s="176">
        <f>SUM(D24-D25)</f>
        <v>10000</v>
      </c>
      <c r="E26" s="176">
        <f>SUM(E24-E25)</f>
        <v>10000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scheer</cp:lastModifiedBy>
  <cp:lastPrinted>2013-07-02T18:54:10Z</cp:lastPrinted>
  <dcterms:created xsi:type="dcterms:W3CDTF">1999-08-06T13:59:57Z</dcterms:created>
  <dcterms:modified xsi:type="dcterms:W3CDTF">2013-07-02T19:00:57Z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