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3"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68" i="5" s="1"/>
  <c r="E71" s="1"/>
  <c r="E9" i="16"/>
  <c r="E30" i="5" s="1"/>
  <c r="E33" s="1"/>
  <c r="E8" i="16"/>
  <c r="E51" i="15" s="1"/>
  <c r="E54" s="1"/>
  <c r="E7" i="16"/>
  <c r="H48" i="4"/>
  <c r="D39" i="5"/>
  <c r="D77"/>
  <c r="D60" i="15"/>
  <c r="D56" i="4"/>
  <c r="J148" i="26"/>
  <c r="H134"/>
  <c r="C137" s="1"/>
  <c r="J137" s="1"/>
  <c r="H120"/>
  <c r="C123" s="1"/>
  <c r="H114"/>
  <c r="F117" s="1"/>
  <c r="H117" s="1"/>
  <c r="F123" s="1"/>
  <c r="H100"/>
  <c r="C103" s="1"/>
  <c r="H94"/>
  <c r="F97" s="1"/>
  <c r="H97" s="1"/>
  <c r="F103" s="1"/>
  <c r="H80"/>
  <c r="C83" s="1"/>
  <c r="H74"/>
  <c r="F77" s="1"/>
  <c r="H77" s="1"/>
  <c r="F83" s="1"/>
  <c r="H48"/>
  <c r="F50"/>
  <c r="J50" s="1"/>
  <c r="H41"/>
  <c r="B28"/>
  <c r="H28" s="1"/>
  <c r="H25"/>
  <c r="C25"/>
  <c r="A8" i="24"/>
  <c r="A46" i="23"/>
  <c r="A41"/>
  <c r="A6"/>
  <c r="A38" i="22"/>
  <c r="A33"/>
  <c r="A19"/>
  <c r="A6"/>
  <c r="A34" i="21"/>
  <c r="A33"/>
  <c r="A6"/>
  <c r="A64" i="20"/>
  <c r="A61"/>
  <c r="A33"/>
  <c r="A28"/>
  <c r="A25"/>
  <c r="A16"/>
  <c r="A6"/>
  <c r="A6" i="8"/>
  <c r="A8"/>
  <c r="D16" i="16"/>
  <c r="C14" i="7"/>
  <c r="C13"/>
  <c r="C12"/>
  <c r="C11"/>
  <c r="E24" i="2"/>
  <c r="D20" i="8" s="1"/>
  <c r="J6" i="10"/>
  <c r="D36" i="2"/>
  <c r="A45"/>
  <c r="A44"/>
  <c r="E1" i="15"/>
  <c r="C61" s="1"/>
  <c r="H60"/>
  <c r="E17" i="7"/>
  <c r="E19"/>
  <c r="E21"/>
  <c r="E23"/>
  <c r="G13" s="1"/>
  <c r="E14" i="5" s="1"/>
  <c r="D9"/>
  <c r="D21" s="1"/>
  <c r="D20" s="1"/>
  <c r="C21"/>
  <c r="C22" s="1"/>
  <c r="C34" s="1"/>
  <c r="C33"/>
  <c r="D33"/>
  <c r="D9" i="16"/>
  <c r="D47" i="5"/>
  <c r="D59" s="1"/>
  <c r="D58" s="1"/>
  <c r="C59"/>
  <c r="C60" s="1"/>
  <c r="C72" s="1"/>
  <c r="C71"/>
  <c r="D71"/>
  <c r="D10" i="16"/>
  <c r="D9" i="15"/>
  <c r="D30" s="1"/>
  <c r="C30"/>
  <c r="C31" s="1"/>
  <c r="C55" s="1"/>
  <c r="C54"/>
  <c r="G59"/>
  <c r="D54"/>
  <c r="G54"/>
  <c r="D8" i="16"/>
  <c r="D35" i="5"/>
  <c r="D87" s="1"/>
  <c r="C35"/>
  <c r="F3"/>
  <c r="D6" s="1"/>
  <c r="D44" s="1"/>
  <c r="D73"/>
  <c r="D89" s="1"/>
  <c r="C73"/>
  <c r="D33" i="6"/>
  <c r="C33"/>
  <c r="F3"/>
  <c r="B33" s="1"/>
  <c r="C66"/>
  <c r="D66"/>
  <c r="C64"/>
  <c r="C52"/>
  <c r="C53" s="1"/>
  <c r="C65" s="1"/>
  <c r="D64"/>
  <c r="D67" s="1"/>
  <c r="E64"/>
  <c r="D52"/>
  <c r="E52"/>
  <c r="C31"/>
  <c r="C19"/>
  <c r="C20" s="1"/>
  <c r="C32" s="1"/>
  <c r="D31"/>
  <c r="D19"/>
  <c r="E19"/>
  <c r="E31"/>
  <c r="D52" i="4"/>
  <c r="D50"/>
  <c r="D49" s="1"/>
  <c r="D56" i="15"/>
  <c r="C56"/>
  <c r="C69" s="1"/>
  <c r="B56"/>
  <c r="G11" i="7"/>
  <c r="E15" i="4" s="1"/>
  <c r="E14"/>
  <c r="D9"/>
  <c r="D28" s="1"/>
  <c r="C28"/>
  <c r="C29" s="1"/>
  <c r="C50"/>
  <c r="C49" s="1"/>
  <c r="D7" i="16"/>
  <c r="C52" i="4"/>
  <c r="F3"/>
  <c r="G55" s="1"/>
  <c r="D6" i="15"/>
  <c r="E6"/>
  <c r="C6" i="5"/>
  <c r="J28" i="17"/>
  <c r="H28"/>
  <c r="F28"/>
  <c r="A28" i="3"/>
  <c r="D28"/>
  <c r="I5" i="17"/>
  <c r="G5"/>
  <c r="E5"/>
  <c r="C5"/>
  <c r="A5"/>
  <c r="D28" i="2"/>
  <c r="A28"/>
  <c r="A24"/>
  <c r="D17"/>
  <c r="E17"/>
  <c r="K1" i="17"/>
  <c r="F2" s="1"/>
  <c r="A1"/>
  <c r="K7"/>
  <c r="B17"/>
  <c r="K17"/>
  <c r="D17"/>
  <c r="F17"/>
  <c r="F18" s="1"/>
  <c r="H17"/>
  <c r="H18" s="1"/>
  <c r="H29" s="1"/>
  <c r="H30" s="1"/>
  <c r="J17"/>
  <c r="J18" s="1"/>
  <c r="J29" s="1"/>
  <c r="J30" s="1"/>
  <c r="B28"/>
  <c r="D28"/>
  <c r="D18"/>
  <c r="D29" s="1"/>
  <c r="D30" s="1"/>
  <c r="G11" i="10"/>
  <c r="E14"/>
  <c r="E15"/>
  <c r="G18"/>
  <c r="E22"/>
  <c r="A11" i="14"/>
  <c r="A9"/>
  <c r="F41" i="9"/>
  <c r="E41"/>
  <c r="D31" i="3"/>
  <c r="D32"/>
  <c r="J1" i="10"/>
  <c r="B18" s="1"/>
  <c r="D30" i="6"/>
  <c r="E63"/>
  <c r="D63"/>
  <c r="C63"/>
  <c r="E30"/>
  <c r="C20" i="5"/>
  <c r="D32"/>
  <c r="C32"/>
  <c r="C58"/>
  <c r="D70"/>
  <c r="C70"/>
  <c r="D20" i="16"/>
  <c r="D22" s="1"/>
  <c r="D18"/>
  <c r="B10"/>
  <c r="B9"/>
  <c r="B8"/>
  <c r="B7"/>
  <c r="F1"/>
  <c r="A16" s="1"/>
  <c r="A1"/>
  <c r="D11"/>
  <c r="D12"/>
  <c r="C13"/>
  <c r="A47" i="14"/>
  <c r="A46"/>
  <c r="A45"/>
  <c r="A44"/>
  <c r="A43"/>
  <c r="A42"/>
  <c r="E1"/>
  <c r="A39" s="1"/>
  <c r="J2" i="7"/>
  <c r="C9" s="1"/>
  <c r="D22" i="14"/>
  <c r="I3" i="8"/>
  <c r="A11" s="1"/>
  <c r="A37" i="2"/>
  <c r="A15"/>
  <c r="E20" i="9"/>
  <c r="E16"/>
  <c r="E12"/>
  <c r="K20"/>
  <c r="J20"/>
  <c r="I20"/>
  <c r="H20"/>
  <c r="K16"/>
  <c r="J16"/>
  <c r="I16"/>
  <c r="H16"/>
  <c r="K12"/>
  <c r="K21" s="1"/>
  <c r="J12"/>
  <c r="J21" s="1"/>
  <c r="I12"/>
  <c r="I21" s="1"/>
  <c r="H12"/>
  <c r="H21" s="1"/>
  <c r="K1"/>
  <c r="E8" s="1"/>
  <c r="F28" s="1"/>
  <c r="F21" i="8"/>
  <c r="E16"/>
  <c r="E17" s="1"/>
  <c r="M20" s="1"/>
  <c r="B39" i="2"/>
  <c r="B21" i="8"/>
  <c r="A10" i="14"/>
  <c r="A8"/>
  <c r="A7"/>
  <c r="B5" i="12"/>
  <c r="B27"/>
  <c r="B31"/>
  <c r="B10"/>
  <c r="B9"/>
  <c r="B19"/>
  <c r="B23"/>
  <c r="D21" i="8"/>
  <c r="E24" i="13"/>
  <c r="E26" s="1"/>
  <c r="F18" i="8" s="1"/>
  <c r="D24" i="13"/>
  <c r="D26"/>
  <c r="D18" i="8" s="1"/>
  <c r="C24" i="13"/>
  <c r="C26" s="1"/>
  <c r="B18" i="8" s="1"/>
  <c r="F13"/>
  <c r="A10"/>
  <c r="F1" i="13"/>
  <c r="E9" s="1"/>
  <c r="A3"/>
  <c r="A2"/>
  <c r="C44" i="5"/>
  <c r="B9" i="7"/>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0"/>
  <c r="A16"/>
  <c r="A4"/>
  <c r="B14" i="7"/>
  <c r="B13"/>
  <c r="B2"/>
  <c r="B1"/>
  <c r="B11"/>
  <c r="C18" i="6"/>
  <c r="D18"/>
  <c r="E18"/>
  <c r="C51"/>
  <c r="D51"/>
  <c r="E51"/>
  <c r="C29" i="15"/>
  <c r="C53"/>
  <c r="D53"/>
  <c r="B4" i="16"/>
  <c r="C78" i="5"/>
  <c r="B73"/>
  <c r="C15" i="7"/>
  <c r="A11" i="3"/>
  <c r="B18" i="17"/>
  <c r="B29" s="1"/>
  <c r="B35" i="5"/>
  <c r="C30" i="6"/>
  <c r="C9" i="13"/>
  <c r="J7" i="9"/>
  <c r="A36" i="10"/>
  <c r="A26" i="14"/>
  <c r="B40"/>
  <c r="D6" i="4"/>
  <c r="E13" i="3"/>
  <c r="A10"/>
  <c r="D13" i="8"/>
  <c r="A6" i="14"/>
  <c r="A24"/>
  <c r="C40"/>
  <c r="G12" i="7"/>
  <c r="E14" i="15" s="1"/>
  <c r="K28" i="17"/>
  <c r="E6" i="16"/>
  <c r="A26"/>
  <c r="B6"/>
  <c r="D6"/>
  <c r="A35" i="14"/>
  <c r="C46" i="3"/>
  <c r="G14" i="7"/>
  <c r="E52" i="5" s="1"/>
  <c r="C40"/>
  <c r="E6"/>
  <c r="E44" s="1"/>
  <c r="C6" i="4"/>
  <c r="B52"/>
  <c r="E6"/>
  <c r="A14" i="14"/>
  <c r="E47" i="4"/>
  <c r="E50" s="1"/>
  <c r="E54" s="1"/>
  <c r="C67" i="6"/>
  <c r="C87" i="5"/>
  <c r="B37" s="1"/>
  <c r="C17" i="8"/>
  <c r="D27" i="7"/>
  <c r="E13" s="1"/>
  <c r="D69" i="15"/>
  <c r="F31" i="7"/>
  <c r="C89" i="5"/>
  <c r="B75" s="1"/>
  <c r="E77"/>
  <c r="E39"/>
  <c r="E60" i="15"/>
  <c r="E56" i="4"/>
  <c r="D34" i="6"/>
  <c r="G43" i="4"/>
  <c r="H46"/>
  <c r="H50"/>
  <c r="H53"/>
  <c r="G59"/>
  <c r="G52" i="15"/>
  <c r="H55"/>
  <c r="H57"/>
  <c r="H59"/>
  <c r="H62"/>
  <c r="C57" i="4"/>
  <c r="H45"/>
  <c r="H47"/>
  <c r="H51"/>
  <c r="H54" i="15"/>
  <c r="H56"/>
  <c r="E21" i="9"/>
  <c r="G50" i="4"/>
  <c r="C27"/>
  <c r="K30" i="17"/>
  <c r="J19" i="8"/>
  <c r="M14"/>
  <c r="J12"/>
  <c r="J20"/>
  <c r="J59" i="4"/>
  <c r="J58"/>
  <c r="D7" i="15" l="1"/>
  <c r="C70"/>
  <c r="B30" i="17"/>
  <c r="F29"/>
  <c r="F30" s="1"/>
  <c r="K18"/>
  <c r="D40" i="6"/>
  <c r="D53" s="1"/>
  <c r="D65" s="1"/>
  <c r="C68"/>
  <c r="J83" i="26"/>
  <c r="J123"/>
  <c r="D7" i="5"/>
  <c r="D22" s="1"/>
  <c r="D34" s="1"/>
  <c r="C88"/>
  <c r="D7" i="6"/>
  <c r="D20" s="1"/>
  <c r="D32" s="1"/>
  <c r="C35"/>
  <c r="D45" i="5"/>
  <c r="D60" s="1"/>
  <c r="D72" s="1"/>
  <c r="C90"/>
  <c r="J103" i="26"/>
  <c r="C34" i="6"/>
  <c r="D13" i="16"/>
  <c r="C70" i="4"/>
  <c r="B16" i="8"/>
  <c r="C25" i="7"/>
  <c r="D14" s="1"/>
  <c r="E49" i="5" s="1"/>
  <c r="E13" i="16"/>
  <c r="J5" i="10"/>
  <c r="J7" s="1"/>
  <c r="D12" i="7"/>
  <c r="E11" i="15" s="1"/>
  <c r="E14" i="7"/>
  <c r="E50" i="5" s="1"/>
  <c r="G15" i="7"/>
  <c r="E12"/>
  <c r="E12" i="15" s="1"/>
  <c r="E29" i="7"/>
  <c r="J17" i="8"/>
  <c r="J16"/>
  <c r="C6" i="16"/>
  <c r="D6" i="6"/>
  <c r="D39" s="1"/>
  <c r="G14" i="8"/>
  <c r="F15" i="3"/>
  <c r="D9" i="7"/>
  <c r="B13" i="8"/>
  <c r="C6" i="6"/>
  <c r="C39" s="1"/>
  <c r="H7" i="9"/>
  <c r="G28"/>
  <c r="H28"/>
  <c r="B66" i="6"/>
  <c r="A18" i="3"/>
  <c r="E6" i="6"/>
  <c r="E39" s="1"/>
  <c r="F16" i="8"/>
  <c r="E23" i="3"/>
  <c r="D16" i="8"/>
  <c r="D17" s="1"/>
  <c r="D19" s="1"/>
  <c r="D70" i="4"/>
  <c r="E49"/>
  <c r="F53"/>
  <c r="C51"/>
  <c r="C71" s="1"/>
  <c r="E12" i="5"/>
  <c r="D13" i="7"/>
  <c r="D11" s="1"/>
  <c r="F36" i="5"/>
  <c r="E37"/>
  <c r="E32"/>
  <c r="E24" i="3"/>
  <c r="F74" i="5"/>
  <c r="E25" i="3"/>
  <c r="E70" i="5"/>
  <c r="E75"/>
  <c r="D9" i="13"/>
  <c r="G16" i="10"/>
  <c r="G20" s="1"/>
  <c r="G24" s="1"/>
  <c r="G26" s="1"/>
  <c r="E45" i="5"/>
  <c r="D90"/>
  <c r="B76" s="1"/>
  <c r="D29" i="15"/>
  <c r="D31"/>
  <c r="D55" s="1"/>
  <c r="D70" s="1"/>
  <c r="B59" s="1"/>
  <c r="B17" i="8"/>
  <c r="B19" s="1"/>
  <c r="B29" i="13"/>
  <c r="A12" i="14"/>
  <c r="B58" i="15"/>
  <c r="D88" i="5"/>
  <c r="B38" s="1"/>
  <c r="E7"/>
  <c r="D27" i="4"/>
  <c r="F57" i="15"/>
  <c r="E58"/>
  <c r="E53"/>
  <c r="D35" i="6" l="1"/>
  <c r="E7"/>
  <c r="E20" s="1"/>
  <c r="E32" s="1"/>
  <c r="E33" s="1"/>
  <c r="E40"/>
  <c r="E53" s="1"/>
  <c r="E65" s="1"/>
  <c r="E66" s="1"/>
  <c r="D68"/>
  <c r="E7" i="15"/>
  <c r="K29" i="17"/>
  <c r="E29" i="3"/>
  <c r="B54" i="4"/>
  <c r="F12" i="7"/>
  <c r="F13"/>
  <c r="E13" i="5" s="1"/>
  <c r="F14" i="7"/>
  <c r="E51" i="5" s="1"/>
  <c r="E59" s="1"/>
  <c r="E60" s="1"/>
  <c r="E76" s="1"/>
  <c r="E78" s="1"/>
  <c r="E58" s="1"/>
  <c r="E11"/>
  <c r="J28" i="10"/>
  <c r="J30" s="1"/>
  <c r="E11" i="7"/>
  <c r="E12" i="4" s="1"/>
  <c r="D7"/>
  <c r="D29" s="1"/>
  <c r="D51" s="1"/>
  <c r="G45" s="1"/>
  <c r="E11"/>
  <c r="D15" i="7"/>
  <c r="F17" i="8"/>
  <c r="F19" s="1"/>
  <c r="E15" i="7" l="1"/>
  <c r="G25" i="3"/>
  <c r="F25"/>
  <c r="F11" i="7"/>
  <c r="E13" i="15"/>
  <c r="E30" s="1"/>
  <c r="E21" i="5"/>
  <c r="D71" i="4"/>
  <c r="B55" s="1"/>
  <c r="E7"/>
  <c r="E22" i="5" l="1"/>
  <c r="E38" s="1"/>
  <c r="E40" s="1"/>
  <c r="E13" i="4"/>
  <c r="E28" s="1"/>
  <c r="G46" s="1"/>
  <c r="F15" i="7"/>
  <c r="G55" i="15"/>
  <c r="E31"/>
  <c r="E59" s="1"/>
  <c r="E61" s="1"/>
  <c r="E29" i="4"/>
  <c r="E55" s="1"/>
  <c r="E57" s="1"/>
  <c r="G53" s="1"/>
  <c r="E27" l="1"/>
  <c r="G24" i="3"/>
  <c r="F24"/>
  <c r="G62" i="15"/>
  <c r="G56"/>
  <c r="G57" s="1"/>
  <c r="G60" s="1"/>
  <c r="J32" i="10"/>
  <c r="J34" s="1"/>
  <c r="E29" i="15"/>
  <c r="F23" i="3"/>
  <c r="F29" s="1"/>
  <c r="G47" i="4"/>
  <c r="G48" s="1"/>
  <c r="G51" s="1"/>
  <c r="G16" i="8"/>
  <c r="G17" s="1"/>
  <c r="M19" s="1"/>
  <c r="M21" s="1"/>
  <c r="E20" i="5"/>
  <c r="H16" i="8" l="1"/>
  <c r="H17" s="1"/>
  <c r="F30" i="3"/>
  <c r="G23"/>
</calcChain>
</file>

<file path=xl/sharedStrings.xml><?xml version="1.0" encoding="utf-8"?>
<sst xmlns="http://schemas.openxmlformats.org/spreadsheetml/2006/main" count="1104" uniqueCount="747">
  <si>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</si>
  <si>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</si>
  <si>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</si>
  <si>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</si>
  <si>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</si>
  <si>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</si>
  <si>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</si>
  <si>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</si>
  <si>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</si>
  <si>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</si>
  <si>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</si>
  <si>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</si>
  <si>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</si>
  <si>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</si>
  <si>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</si>
  <si>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</si>
  <si>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</si>
  <si>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</si>
  <si>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</si>
  <si>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</si>
  <si>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</si>
  <si>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</si>
  <si>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</si>
  <si>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</si>
  <si>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</si>
  <si>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</si>
  <si>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</si>
  <si>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</si>
  <si>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</si>
  <si>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</si>
  <si>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</si>
  <si>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</si>
  <si>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</si>
  <si>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</si>
  <si>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</si>
  <si>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</si>
  <si>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</si>
  <si>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</si>
  <si>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</si>
  <si>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</si>
  <si>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</si>
  <si>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</si>
  <si>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</si>
  <si>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</si>
  <si>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</si>
  <si>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</si>
  <si>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</si>
  <si>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</si>
  <si>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</si>
  <si>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</si>
  <si>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</si>
  <si>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</si>
  <si>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</si>
  <si>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</si>
  <si>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</si>
  <si>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</si>
  <si>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</si>
  <si>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</si>
  <si>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</si>
  <si>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</si>
  <si>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</si>
  <si>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</si>
  <si>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</si>
  <si>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</si>
  <si>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</si>
  <si>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</si>
  <si>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</si>
  <si>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</si>
  <si>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</si>
  <si>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</si>
  <si>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</si>
  <si>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</si>
  <si>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</si>
  <si>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</si>
  <si>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</si>
  <si>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</si>
  <si>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</si>
  <si>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</si>
  <si>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</si>
  <si>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</si>
  <si>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</si>
  <si>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</si>
  <si>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</si>
  <si>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</si>
  <si>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</si>
  <si>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</si>
  <si>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</si>
  <si>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</si>
  <si>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</si>
  <si>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</si>
  <si>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</si>
  <si>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</si>
  <si>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</si>
  <si>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</si>
  <si>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</si>
  <si>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</si>
  <si>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</si>
  <si>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</si>
  <si>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</si>
  <si>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</si>
  <si>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</si>
  <si>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</si>
  <si>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</si>
  <si>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</si>
  <si>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</si>
  <si>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</si>
  <si>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</si>
  <si>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</si>
  <si>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</si>
  <si>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</si>
  <si>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</si>
  <si>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</si>
  <si>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</si>
  <si>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</si>
  <si>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</si>
  <si>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</si>
  <si>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</si>
  <si>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</si>
  <si>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</si>
  <si>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</si>
  <si>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</si>
  <si>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</si>
  <si>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</si>
  <si>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</si>
  <si>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</si>
  <si>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</si>
  <si>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</si>
  <si>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</si>
  <si>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</si>
  <si>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</si>
  <si>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</si>
  <si>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</si>
  <si>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</si>
  <si>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</si>
  <si>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</si>
  <si>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</si>
  <si>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</si>
  <si>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</si>
  <si>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</si>
  <si>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</si>
  <si>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</si>
  <si>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</si>
  <si>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</si>
  <si>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</si>
  <si>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</si>
  <si>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</si>
  <si>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</si>
  <si>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</si>
  <si>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</si>
  <si>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</si>
  <si>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</si>
  <si>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</si>
  <si>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</si>
  <si>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</si>
  <si>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</si>
  <si>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</si>
  <si>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</si>
  <si>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</si>
  <si>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</si>
  <si>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</si>
  <si>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</si>
  <si>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</si>
  <si>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</si>
  <si>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</si>
  <si>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</si>
  <si>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</si>
  <si>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</si>
  <si>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</si>
  <si>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</si>
  <si>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</si>
  <si>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</si>
  <si>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</si>
  <si>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</si>
  <si>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</si>
  <si>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</si>
  <si>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</si>
  <si>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</si>
  <si>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</si>
  <si>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</si>
  <si>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</si>
  <si>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</si>
  <si>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</si>
  <si>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</si>
  <si>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</si>
  <si>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</si>
  <si>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</si>
  <si>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</si>
  <si>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</si>
  <si>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</si>
  <si>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</si>
  <si>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</si>
  <si>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</si>
  <si>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</si>
  <si>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</si>
  <si>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</si>
  <si>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</si>
  <si>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</si>
  <si>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</si>
  <si>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</si>
  <si>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</si>
  <si>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</si>
  <si>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</si>
  <si>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</si>
  <si>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</si>
  <si>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</si>
  <si>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</si>
  <si>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</si>
  <si>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</si>
  <si>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</si>
  <si>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</si>
  <si>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</si>
  <si>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</si>
  <si>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</si>
  <si>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</si>
  <si>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</si>
  <si>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</si>
  <si>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</si>
  <si>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</si>
  <si>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</si>
  <si>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</si>
  <si>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</si>
  <si>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</si>
  <si>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</si>
  <si>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</si>
  <si>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</si>
  <si>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</si>
  <si>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</si>
  <si>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</si>
  <si>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</si>
  <si>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</si>
  <si>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</si>
  <si>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</si>
  <si>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</si>
  <si>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</si>
  <si>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</si>
  <si>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</si>
  <si>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</si>
  <si>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</si>
  <si>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</si>
  <si>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</si>
  <si>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</si>
  <si>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</si>
  <si>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</si>
  <si>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</si>
  <si>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</si>
  <si>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</si>
  <si>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</si>
  <si>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</si>
  <si>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</si>
  <si>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</si>
  <si>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</si>
  <si>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</si>
  <si>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</si>
  <si>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</si>
  <si>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</si>
  <si>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</si>
  <si>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</si>
  <si>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</si>
  <si>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</si>
  <si>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</si>
  <si>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</si>
  <si>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</si>
  <si>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</si>
  <si>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</si>
  <si>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</si>
  <si>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</si>
  <si>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</si>
  <si>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</si>
  <si>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</si>
  <si>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</si>
  <si>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</si>
  <si>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</si>
  <si>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</si>
  <si>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</si>
  <si>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</si>
  <si>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</si>
  <si>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</si>
  <si>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</si>
  <si>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</si>
  <si>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</si>
  <si>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</si>
  <si>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</si>
  <si>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</si>
  <si>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</si>
  <si>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</si>
  <si>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</si>
  <si>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</si>
  <si>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</si>
  <si>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</si>
  <si>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</si>
  <si>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</si>
  <si>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</si>
  <si>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</si>
  <si>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</si>
  <si>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</si>
  <si>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</si>
  <si>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</si>
  <si>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</si>
  <si>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</si>
  <si>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</si>
  <si>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</si>
  <si>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</si>
  <si>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</si>
  <si>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</si>
  <si>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</si>
  <si>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</si>
  <si>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</si>
  <si>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</si>
  <si>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</si>
  <si>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</si>
  <si>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</si>
  <si>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</si>
  <si>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</si>
  <si>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</si>
  <si>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</si>
  <si>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</si>
  <si>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</si>
  <si>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</si>
  <si>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</si>
  <si>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</si>
  <si>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</si>
  <si>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</si>
  <si>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</si>
  <si>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</si>
  <si>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</si>
  <si>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</si>
  <si>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</si>
  <si>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</si>
  <si>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</si>
  <si>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</si>
  <si>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</si>
  <si>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</si>
  <si>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</si>
  <si>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</si>
  <si>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</si>
  <si>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</si>
  <si>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</si>
  <si>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</si>
  <si>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</si>
  <si>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</si>
  <si>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</si>
  <si>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</si>
  <si>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</si>
  <si>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</si>
  <si>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</si>
  <si>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</si>
  <si>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</si>
  <si>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</si>
  <si>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</si>
  <si>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</si>
  <si>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</si>
  <si>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</si>
  <si>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</si>
  <si>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</si>
  <si>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</si>
  <si>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</si>
  <si>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</si>
  <si>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</si>
  <si>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</si>
  <si>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</si>
  <si>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</si>
  <si>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</si>
  <si>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</si>
  <si>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</si>
  <si>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</si>
  <si>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</si>
  <si>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</si>
  <si>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</si>
  <si>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</si>
  <si>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</si>
  <si>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</si>
  <si>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</si>
  <si>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</si>
  <si>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</si>
  <si>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</si>
  <si>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</si>
  <si>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</si>
  <si>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</si>
  <si>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</si>
  <si>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</si>
  <si>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</si>
  <si>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</si>
  <si>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</si>
  <si>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</si>
  <si>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</si>
  <si>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</si>
  <si>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</si>
  <si>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</si>
  <si>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</si>
  <si>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</si>
  <si>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</si>
  <si>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</si>
  <si>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</si>
  <si>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</si>
  <si>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</si>
  <si>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</si>
  <si>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</si>
  <si>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</si>
  <si>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</si>
  <si>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</si>
  <si>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</si>
  <si>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</si>
  <si>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</si>
  <si>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</si>
  <si>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</si>
  <si>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</si>
  <si>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</si>
  <si>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</si>
  <si>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</si>
  <si>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</si>
  <si>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</si>
  <si>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</si>
  <si>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</si>
  <si>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</si>
  <si>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</si>
  <si>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</si>
  <si>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</si>
  <si>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</si>
  <si>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</si>
  <si>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</si>
  <si>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</si>
  <si>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</si>
  <si>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</si>
  <si>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</si>
  <si>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</si>
  <si>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</si>
  <si>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</si>
  <si>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</si>
  <si>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</si>
  <si>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</si>
  <si>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</si>
  <si>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</si>
  <si>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</si>
  <si>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</si>
  <si>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</si>
  <si>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</si>
  <si>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</si>
  <si>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</si>
  <si>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</si>
  <si>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</si>
  <si>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</si>
  <si>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</si>
  <si>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</si>
  <si>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</si>
  <si>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</si>
  <si>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</si>
  <si>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</si>
  <si>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</si>
  <si>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</si>
  <si>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</si>
  <si>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</si>
  <si>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</si>
  <si>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</si>
  <si>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</si>
  <si>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</si>
  <si>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</si>
  <si>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</si>
  <si>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</si>
  <si>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</si>
  <si>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</si>
  <si>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</si>
  <si>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</si>
  <si>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</si>
  <si>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</si>
  <si>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</si>
  <si>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</si>
  <si>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</si>
  <si>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</si>
  <si>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</si>
  <si>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</si>
  <si>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</si>
  <si>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</si>
  <si>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</si>
  <si>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</si>
  <si>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</si>
  <si>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</si>
  <si>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</si>
  <si>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</si>
  <si>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</si>
  <si>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</si>
  <si>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</si>
  <si>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</si>
  <si>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</si>
  <si>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</si>
  <si>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</si>
  <si>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</si>
  <si>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</si>
  <si>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</si>
  <si>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</si>
  <si>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</si>
  <si>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</si>
  <si>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</si>
  <si>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</si>
  <si>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</si>
  <si>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</si>
  <si>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</si>
  <si>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</si>
  <si>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</si>
  <si>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</si>
  <si>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</si>
  <si>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</si>
  <si>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</si>
  <si>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</si>
  <si>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</si>
  <si>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</si>
  <si>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</si>
  <si>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</si>
  <si>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</si>
  <si>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</si>
  <si>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</si>
  <si>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</si>
  <si>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</si>
  <si>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</si>
  <si>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</si>
  <si>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</si>
  <si>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</si>
  <si>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</si>
  <si>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</si>
  <si>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</si>
  <si>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</si>
  <si>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</si>
  <si>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</si>
  <si>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</si>
  <si>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</si>
  <si>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</si>
  <si>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</si>
  <si>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</si>
  <si>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</si>
  <si>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</si>
  <si>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</si>
  <si>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</si>
  <si>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</si>
  <si>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</si>
  <si>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</si>
  <si>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</si>
  <si>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</si>
  <si>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</si>
  <si>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</si>
  <si>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</si>
  <si>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</si>
  <si>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</si>
  <si>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</si>
  <si>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</si>
  <si>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</si>
  <si>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</si>
  <si>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</si>
  <si>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</si>
  <si>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</si>
  <si>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</si>
  <si>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</si>
  <si>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</si>
  <si>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</si>
  <si>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</si>
  <si>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</si>
  <si>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</si>
  <si>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</si>
  <si>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</si>
  <si>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</si>
  <si>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</si>
  <si>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</si>
  <si>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</si>
  <si>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</si>
  <si>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</si>
  <si>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</si>
  <si>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</si>
  <si>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</si>
  <si>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</si>
  <si>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</si>
  <si>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</si>
  <si>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</si>
  <si>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</si>
  <si>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</si>
  <si>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</si>
  <si>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</si>
  <si>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</si>
  <si>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</si>
  <si>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</si>
  <si>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</si>
  <si>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</si>
  <si>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</si>
  <si>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</si>
  <si>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</si>
  <si>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</si>
  <si>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</si>
  <si>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</si>
  <si>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</si>
  <si>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</si>
  <si>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</si>
  <si>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</si>
  <si>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</si>
  <si>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</si>
  <si>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</si>
  <si>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</si>
  <si>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</si>
  <si>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</si>
  <si>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</si>
  <si>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</si>
  <si>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</si>
  <si>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</si>
  <si>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</si>
  <si>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</si>
  <si>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</si>
  <si>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</si>
  <si>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</si>
  <si>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</si>
  <si>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</si>
  <si>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</si>
  <si>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</si>
  <si>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</si>
  <si>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</si>
  <si>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</si>
  <si>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</si>
  <si>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</si>
  <si>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</si>
  <si>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</si>
  <si>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</si>
  <si>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</si>
  <si>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</si>
  <si>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</si>
  <si>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</si>
  <si>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</si>
  <si>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</si>
  <si>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</si>
  <si>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</si>
  <si>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</si>
  <si>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</si>
  <si>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</si>
  <si>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</si>
  <si>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</si>
  <si>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</si>
  <si>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</si>
  <si>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</si>
  <si>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</si>
  <si>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</si>
  <si>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</si>
  <si>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</si>
  <si>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</si>
  <si>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</si>
  <si>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</si>
  <si>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</si>
  <si>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</si>
  <si>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</si>
  <si>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</si>
  <si>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</si>
  <si>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</si>
  <si>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</si>
  <si>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</si>
  <si>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</si>
  <si>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</si>
  <si>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</si>
  <si>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</si>
  <si>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</si>
  <si>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</si>
  <si>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</si>
  <si>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</si>
  <si>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</si>
  <si>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</si>
  <si>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</si>
  <si>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</si>
  <si>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</si>
  <si>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</si>
  <si>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</si>
  <si>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</si>
  <si>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</si>
  <si>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</si>
  <si>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</si>
  <si>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</si>
  <si>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</si>
  <si>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</si>
  <si>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</si>
  <si>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</si>
  <si>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</si>
  <si>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</si>
  <si>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</si>
  <si>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</si>
  <si>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</si>
  <si>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</si>
  <si>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</si>
  <si>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</si>
  <si>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</si>
  <si>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</si>
  <si>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</si>
  <si>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</si>
  <si>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</si>
  <si>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</si>
  <si>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</si>
  <si>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</si>
  <si>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</si>
  <si>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</si>
  <si>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</si>
  <si>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</si>
  <si>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</si>
  <si>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</si>
  <si>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</si>
  <si>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</si>
  <si>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</si>
  <si>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</si>
  <si>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</si>
  <si>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</si>
  <si>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</si>
  <si>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</si>
  <si>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</si>
  <si>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</si>
  <si>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</si>
  <si>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</si>
  <si>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</si>
  <si>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</si>
  <si>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</si>
  <si>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</si>
  <si>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</si>
  <si>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</si>
  <si>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</si>
  <si>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</si>
  <si>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</si>
  <si>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</si>
  <si>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</si>
  <si>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</si>
  <si>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</si>
  <si>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</si>
  <si>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</si>
  <si>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</si>
  <si>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</si>
  <si>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</si>
  <si>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</si>
  <si>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</si>
  <si>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</si>
  <si>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</si>
  <si>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</si>
  <si>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</si>
  <si>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</si>
  <si>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</si>
  <si>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</si>
  <si>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</si>
  <si>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</si>
  <si>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Marais Des Cygnes Drainage District</t>
  </si>
  <si>
    <t>24-407</t>
  </si>
  <si>
    <t>Lincoln Township Hall</t>
  </si>
  <si>
    <t>Cost Share</t>
  </si>
  <si>
    <t>Operating</t>
  </si>
  <si>
    <t>Custom Work/Maintenance</t>
  </si>
  <si>
    <t>Dues</t>
  </si>
  <si>
    <t>Publications</t>
  </si>
  <si>
    <t>Engineering</t>
  </si>
  <si>
    <t>/s/ Frank Yates</t>
  </si>
  <si>
    <t>Prior Year Tax</t>
  </si>
  <si>
    <t>August 15, 2013</t>
  </si>
  <si>
    <t>7:30 p.m.</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</si>
</sst>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523875</xdr:colOff>
      <xdr:row>49</xdr:row>
      <xdr:rowOff>171451</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143875" cy="9505950"/>
        </a:xfrm>
        <a:prstGeom prst="rect">
          <a:avLst/>
        </a:prstGeom>
        <a:noFill/>
      </xdr:spPr>
    </xdr:pic>
    <xdr:clientData/>
  </xdr:twoCellAnchor>
  <xdr:twoCellAnchor editAs="oneCell">
    <xdr:from>
      <xdr:col>0</xdr:col>
      <xdr:colOff>0</xdr:colOff>
      <xdr:row>51</xdr:row>
      <xdr:rowOff>1</xdr:rowOff>
    </xdr:from>
    <xdr:to>
      <xdr:col>10</xdr:col>
      <xdr:colOff>409575</xdr:colOff>
      <xdr:row>101</xdr:row>
      <xdr:rowOff>123825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715501"/>
          <a:ext cx="8029575" cy="9648824"/>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Marais Des Cygnes Drainage District</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5" workbookViewId="0">
      <selection activeCell="E57" sqref="E57"/>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Marais Des Cygnes Drainage District</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125206</v>
      </c>
      <c r="D7" s="394">
        <f>C51</f>
        <v>135583</v>
      </c>
      <c r="E7" s="47">
        <f>D51</f>
        <v>99711</v>
      </c>
    </row>
    <row r="8" spans="2:6">
      <c r="B8" s="239" t="s">
        <v>126</v>
      </c>
      <c r="C8" s="240"/>
      <c r="D8" s="240"/>
      <c r="E8" s="121"/>
    </row>
    <row r="9" spans="2:6">
      <c r="B9" s="115" t="s">
        <v>33</v>
      </c>
      <c r="C9" s="387">
        <v>13911</v>
      </c>
      <c r="D9" s="394">
        <f>inputPrYr!E19</f>
        <v>13123</v>
      </c>
      <c r="E9" s="128" t="s">
        <v>28</v>
      </c>
    </row>
    <row r="10" spans="2:6">
      <c r="B10" s="115" t="s">
        <v>34</v>
      </c>
      <c r="C10" s="387"/>
      <c r="D10" s="387"/>
      <c r="E10" s="202"/>
    </row>
    <row r="11" spans="2:6">
      <c r="B11" s="115" t="s">
        <v>35</v>
      </c>
      <c r="C11" s="387"/>
      <c r="D11" s="387">
        <v>702</v>
      </c>
      <c r="E11" s="47">
        <f>mvalloc!D11</f>
        <v>719</v>
      </c>
    </row>
    <row r="12" spans="2:6">
      <c r="B12" s="115" t="s">
        <v>36</v>
      </c>
      <c r="C12" s="387"/>
      <c r="D12" s="387">
        <v>40</v>
      </c>
      <c r="E12" s="47">
        <f>mvalloc!E11</f>
        <v>29</v>
      </c>
    </row>
    <row r="13" spans="2:6">
      <c r="B13" s="240" t="s">
        <v>108</v>
      </c>
      <c r="C13" s="387"/>
      <c r="D13" s="387">
        <v>80</v>
      </c>
      <c r="E13" s="47">
        <f>mvalloc!F11</f>
        <v>102</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737</v>
      </c>
      <c r="C17" s="387"/>
      <c r="D17" s="387"/>
      <c r="E17" s="202"/>
    </row>
    <row r="18" spans="2:5">
      <c r="B18" s="241" t="s">
        <v>744</v>
      </c>
      <c r="C18" s="387"/>
      <c r="D18" s="387">
        <v>309</v>
      </c>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v>2206</v>
      </c>
      <c r="D25" s="387">
        <v>2200</v>
      </c>
      <c r="E25" s="202">
        <v>2200</v>
      </c>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16117</v>
      </c>
      <c r="D28" s="389">
        <f>SUM(D9:D26)</f>
        <v>16454</v>
      </c>
      <c r="E28" s="247">
        <f>SUM(E9:E26)</f>
        <v>3050</v>
      </c>
    </row>
    <row r="29" spans="2:5">
      <c r="B29" s="246" t="s">
        <v>40</v>
      </c>
      <c r="C29" s="389">
        <f>C7+C28</f>
        <v>141323</v>
      </c>
      <c r="D29" s="389">
        <f>D7+D28</f>
        <v>152037</v>
      </c>
      <c r="E29" s="247">
        <f>E7+E28</f>
        <v>102761</v>
      </c>
    </row>
    <row r="30" spans="2:5">
      <c r="B30" s="115" t="s">
        <v>41</v>
      </c>
      <c r="C30" s="119"/>
      <c r="D30" s="119"/>
      <c r="E30" s="38"/>
    </row>
    <row r="31" spans="2:5">
      <c r="B31" s="241" t="s">
        <v>738</v>
      </c>
      <c r="C31" s="387">
        <v>4723</v>
      </c>
      <c r="D31" s="387">
        <v>6000</v>
      </c>
      <c r="E31" s="202">
        <v>22000</v>
      </c>
    </row>
    <row r="32" spans="2:5">
      <c r="B32" s="241" t="s">
        <v>739</v>
      </c>
      <c r="C32" s="387"/>
      <c r="D32" s="387">
        <v>30000</v>
      </c>
      <c r="E32" s="202">
        <v>62000</v>
      </c>
    </row>
    <row r="33" spans="2:10">
      <c r="B33" s="241" t="s">
        <v>740</v>
      </c>
      <c r="C33" s="387">
        <v>930</v>
      </c>
      <c r="D33" s="387">
        <v>1126</v>
      </c>
      <c r="E33" s="202">
        <v>1126</v>
      </c>
    </row>
    <row r="34" spans="2:10">
      <c r="B34" s="241" t="s">
        <v>741</v>
      </c>
      <c r="C34" s="387">
        <v>87</v>
      </c>
      <c r="D34" s="387">
        <v>200</v>
      </c>
      <c r="E34" s="202">
        <v>250</v>
      </c>
    </row>
    <row r="35" spans="2:10">
      <c r="B35" s="241" t="s">
        <v>742</v>
      </c>
      <c r="C35" s="387"/>
      <c r="D35" s="387">
        <v>15000</v>
      </c>
      <c r="E35" s="202">
        <v>30582</v>
      </c>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99711</v>
      </c>
      <c r="H45" s="541" t="str">
        <f>CONCATENATE("",F3-1," Ending Cash Balance (est.)")</f>
        <v>2013 Ending Cash Balance (est.)</v>
      </c>
      <c r="I45" s="533"/>
      <c r="J45" s="534"/>
    </row>
    <row r="46" spans="2:10">
      <c r="B46" s="241"/>
      <c r="C46" s="387"/>
      <c r="D46" s="387"/>
      <c r="E46" s="202"/>
      <c r="G46" s="542">
        <f>E28</f>
        <v>3050</v>
      </c>
      <c r="H46" s="533" t="str">
        <f>CONCATENATE("",F3," Non-AV Receipts (est.)")</f>
        <v>2014 Non-AV Receipts (est.)</v>
      </c>
      <c r="I46" s="533"/>
      <c r="J46" s="534"/>
    </row>
    <row r="47" spans="2:10">
      <c r="B47" s="119" t="s">
        <v>218</v>
      </c>
      <c r="C47" s="387"/>
      <c r="D47" s="387"/>
      <c r="E47" s="207" t="str">
        <f>Nhood!E7</f>
        <v/>
      </c>
      <c r="G47" s="532">
        <f>E57</f>
        <v>13197</v>
      </c>
      <c r="H47" s="533" t="str">
        <f>CONCATENATE("",F3," Ad Valorem Tax (est.)")</f>
        <v>2014 Ad Valorem Tax (est.)</v>
      </c>
      <c r="I47" s="533"/>
      <c r="J47" s="534"/>
    </row>
    <row r="48" spans="2:10">
      <c r="B48" s="119" t="s">
        <v>217</v>
      </c>
      <c r="C48" s="387"/>
      <c r="D48" s="387"/>
      <c r="E48" s="37"/>
      <c r="G48" s="542">
        <f>SUM(G45:G47)</f>
        <v>115958</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5740</v>
      </c>
      <c r="D50" s="389">
        <f>SUM(D31:D48)</f>
        <v>52326</v>
      </c>
      <c r="E50" s="247">
        <f>SUM(E31:E48)</f>
        <v>115958</v>
      </c>
      <c r="G50" s="532">
        <f>C50*0.05+C50</f>
        <v>6027</v>
      </c>
      <c r="H50" s="533" t="str">
        <f>CONCATENATE("Less ",F3-2," Expenditures + 5%")</f>
        <v>Less 2012 Expenditures + 5%</v>
      </c>
      <c r="I50" s="533"/>
      <c r="J50" s="534"/>
    </row>
    <row r="51" spans="2:10">
      <c r="B51" s="115" t="s">
        <v>125</v>
      </c>
      <c r="C51" s="390">
        <f>C29-C50</f>
        <v>135583</v>
      </c>
      <c r="D51" s="390">
        <f>D29-D50</f>
        <v>99711</v>
      </c>
      <c r="E51" s="128" t="s">
        <v>28</v>
      </c>
      <c r="G51" s="530">
        <f>G48-G50</f>
        <v>109931</v>
      </c>
      <c r="H51" s="529" t="str">
        <f>CONCATENATE("Projected ",F3+1," Carryover (est.)")</f>
        <v>Projected 2015 Carryover (est.)</v>
      </c>
      <c r="I51" s="515"/>
      <c r="J51" s="528"/>
    </row>
    <row r="52" spans="2:10">
      <c r="B52" s="138" t="str">
        <f>CONCATENATE("",F3-2,"/",F3-1," Budget Authority Amount:")</f>
        <v>2012/2013 Budget Authority Amount:</v>
      </c>
      <c r="C52" s="116">
        <f>inputOth!B42</f>
        <v>85512</v>
      </c>
      <c r="D52" s="415">
        <f>inputPrYr!D19</f>
        <v>102326</v>
      </c>
      <c r="E52" s="128" t="s">
        <v>28</v>
      </c>
      <c r="F52" s="248"/>
      <c r="G52" s="16"/>
      <c r="H52" s="16"/>
      <c r="I52" s="16"/>
      <c r="J52" s="16"/>
    </row>
    <row r="53" spans="2:10">
      <c r="B53" s="138"/>
      <c r="C53" s="616" t="s">
        <v>673</v>
      </c>
      <c r="D53" s="617"/>
      <c r="E53" s="37"/>
      <c r="F53" s="248" t="str">
        <f>IF(E50/0.95-E50&lt;E53,"Exceeds 5%","")</f>
        <v/>
      </c>
      <c r="G53" s="527">
        <f>IF(inputOth!E7=0,"",ROUND(gen!E57/inputOth!E7*1000,3))</f>
        <v>3.35</v>
      </c>
      <c r="H53" s="526" t="str">
        <f>CONCATENATE("Projected ",F3-1," Mill Rate (est.)")</f>
        <v>Projected 2013 Mill Rate (est.)</v>
      </c>
      <c r="I53" s="525"/>
      <c r="J53" s="524"/>
    </row>
    <row r="54" spans="2:10">
      <c r="B54" s="413" t="str">
        <f>CONCATENATE(C70,"     ",D70)</f>
        <v xml:space="preserve">     </v>
      </c>
      <c r="C54" s="618" t="s">
        <v>674</v>
      </c>
      <c r="D54" s="619"/>
      <c r="E54" s="47">
        <f>E50+E53</f>
        <v>115958</v>
      </c>
      <c r="G54" s="523"/>
      <c r="H54" s="523"/>
      <c r="I54" s="523"/>
      <c r="J54" s="523"/>
    </row>
    <row r="55" spans="2:10">
      <c r="B55" s="413" t="str">
        <f>CONCATENATE(C71,"     ",D71)</f>
        <v xml:space="preserve">     </v>
      </c>
      <c r="C55" s="547"/>
      <c r="D55" s="546" t="s">
        <v>675</v>
      </c>
      <c r="E55" s="44">
        <f>IF(E54-E29&gt;0,E54-E29,0)</f>
        <v>13197</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13197</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Marais Des Cygnes Drainage District</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Marais Des Cygnes Drainage District</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Marais Des Cygnes Drainage District</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topLeftCell="A10"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Marais Des Cygnes Drainage District</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D31" sqref="D31"/>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Marais Des Cygnes Drainage District</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15, 2013 at 7:30 p.m. at Lincoln Township Hall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3940</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5740</v>
      </c>
      <c r="C16" s="118">
        <f>IF(inputPrYr!D38&gt;0,inputPrYr!D38,"  ")</f>
        <v>3.528</v>
      </c>
      <c r="D16" s="121">
        <f>IF(gen!$D$50&lt;&gt;0,gen!$D$50,"  ")</f>
        <v>52326</v>
      </c>
      <c r="E16" s="118">
        <f>IF(inputOth!D16&gt;0,inputOth!D16,"  ")</f>
        <v>3.3340000000000001</v>
      </c>
      <c r="F16" s="121">
        <f>IF(gen!$E$50&lt;&gt;0,gen!$E$50,"  ")</f>
        <v>115958</v>
      </c>
      <c r="G16" s="121">
        <f>IF(gen!$E$57&lt;&gt;0,gen!$E$57,"  ")</f>
        <v>13197</v>
      </c>
      <c r="H16" s="118">
        <f>IF(gen!E57&gt;0,ROUND(G16/$F$21*1000,3)," ")</f>
        <v>3.35</v>
      </c>
      <c r="J16" s="629" t="str">
        <f>CONCATENATE("Want The Mill Rate The Same As For ",I3-1,"?")</f>
        <v>Want The Mill Rate The Same As For 2013?</v>
      </c>
      <c r="K16" s="632"/>
      <c r="L16" s="632"/>
      <c r="M16" s="633"/>
    </row>
    <row r="17" spans="1:13">
      <c r="A17" s="35" t="s">
        <v>133</v>
      </c>
      <c r="B17" s="314">
        <f t="shared" ref="B17:H17" si="0">SUM(B16:B16)</f>
        <v>5740</v>
      </c>
      <c r="C17" s="537">
        <f t="shared" si="0"/>
        <v>3.528</v>
      </c>
      <c r="D17" s="314">
        <f t="shared" si="0"/>
        <v>52326</v>
      </c>
      <c r="E17" s="537">
        <f t="shared" si="0"/>
        <v>3.3340000000000001</v>
      </c>
      <c r="F17" s="314">
        <f t="shared" si="0"/>
        <v>115958</v>
      </c>
      <c r="G17" s="314">
        <f t="shared" si="0"/>
        <v>13197</v>
      </c>
      <c r="H17" s="537">
        <f t="shared" si="0"/>
        <v>3.35</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5740</v>
      </c>
      <c r="C19" s="313"/>
      <c r="D19" s="129">
        <f>SUM(D17-D18)</f>
        <v>52326</v>
      </c>
      <c r="E19" s="313"/>
      <c r="F19" s="536">
        <f>SUM(F17-F18)</f>
        <v>115958</v>
      </c>
      <c r="G19" s="253"/>
      <c r="H19" s="312"/>
      <c r="J19" s="561" t="str">
        <f>CONCATENATE("",I3," Ad Valorem Tax Revenue:")</f>
        <v>2014 Ad Valorem Tax Revenue:</v>
      </c>
      <c r="K19" s="556"/>
      <c r="L19" s="556"/>
      <c r="M19" s="557">
        <f>G17</f>
        <v>13197</v>
      </c>
    </row>
    <row r="20" spans="1:13" ht="16.5" thickTop="1">
      <c r="A20" s="35" t="s">
        <v>54</v>
      </c>
      <c r="B20" s="314">
        <f>inputPrYr!E44</f>
        <v>13034</v>
      </c>
      <c r="C20" s="223"/>
      <c r="D20" s="314">
        <f>inputPrYr!E24</f>
        <v>13123</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3695189</v>
      </c>
      <c r="C21" s="223"/>
      <c r="D21" s="207">
        <f>inputOth!E24</f>
        <v>3936155</v>
      </c>
      <c r="E21" s="223"/>
      <c r="F21" s="207">
        <f>inputOth!E7</f>
        <v>3939779</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743</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Marais Des Cygnes Drainage District</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3939779</v>
      </c>
      <c r="E16" s="18"/>
      <c r="F16" s="54"/>
    </row>
    <row r="17" spans="1:6" ht="15.75">
      <c r="A17" s="18"/>
      <c r="B17" s="18"/>
      <c r="C17" s="18"/>
      <c r="D17" s="18"/>
      <c r="E17" s="18"/>
      <c r="F17" s="54"/>
    </row>
    <row r="18" spans="1:6" ht="15.75">
      <c r="A18" s="18"/>
      <c r="B18" s="644" t="s">
        <v>318</v>
      </c>
      <c r="C18" s="644"/>
      <c r="D18" s="325">
        <f>IF(D16&gt;0,(D16*0.001),"")</f>
        <v>3939.779</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22"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102326</v>
      </c>
      <c r="E19" s="37">
        <v>13123</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13123</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102326</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3.528</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3.528</v>
      </c>
      <c r="E42" s="39"/>
    </row>
    <row r="43" spans="1:5" ht="16.5" thickTop="1">
      <c r="A43" s="18"/>
      <c r="B43" s="18"/>
      <c r="C43" s="18"/>
      <c r="D43" s="18"/>
      <c r="E43" s="39"/>
    </row>
    <row r="44" spans="1:5">
      <c r="A44" s="51" t="str">
        <f>CONCATENATE("Total Tax Levied (",D6-2," budget column)")</f>
        <v>Total Tax Levied (2012 budget column)</v>
      </c>
      <c r="B44" s="29"/>
      <c r="C44" s="18"/>
      <c r="D44" s="18"/>
      <c r="E44" s="52">
        <v>13034</v>
      </c>
    </row>
    <row r="45" spans="1:5">
      <c r="A45" s="51" t="str">
        <f>CONCATENATE("Assessed Valuation (",D6-2," budget column)")</f>
        <v>Assessed Valuation (2012 budget column)</v>
      </c>
      <c r="B45" s="29"/>
      <c r="C45" s="18"/>
      <c r="D45" s="18"/>
      <c r="E45" s="53">
        <v>3695189</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Marais Des Cygnes Drainage District District with respect to financing the 2014 annual budget for Marais Des Cygnes Drainage District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Marais Des Cygnes Drainage District district budget exceed the amount levied to finance the</v>
      </c>
      <c r="C9"/>
      <c r="D9"/>
      <c r="E9"/>
      <c r="F9"/>
      <c r="G9"/>
      <c r="H9"/>
    </row>
    <row r="10" spans="2:10">
      <c r="B10" s="12" t="str">
        <f>CONCATENATE("",inputPrYr!D6-1," ",inputPrYr!D3," except with regard to revenue produced and attributable to the")</f>
        <v>2013 Marais Des Cygnes Drainage District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Marais Des Cygnes Drainage District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Marais Des Cygnes Drainage District that is our desire to notify the public of the possibility of increased property taxes to finance the 2014 Marais Des Cygnes Drainage District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Marais Des Cygnes Drainage District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Marais Des Cygnes Drainage District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28"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Marais Des Cygnes Drainage District</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3939779</v>
      </c>
    </row>
    <row r="8" spans="1:5" ht="15.75">
      <c r="A8" s="62" t="str">
        <f>CONCATENATE("New Improvements for ",inputPrYr!D6-1,"")</f>
        <v>New Improvements for 2013</v>
      </c>
      <c r="B8" s="63"/>
      <c r="C8" s="63"/>
      <c r="D8" s="63"/>
      <c r="E8" s="64">
        <v>0</v>
      </c>
    </row>
    <row r="9" spans="1:5" ht="15.75">
      <c r="A9" s="62" t="str">
        <f>CONCATENATE("Personal Property excluding oil, gas, and mobile homes- ",inputPrYr!D6-1,"")</f>
        <v>Personal Property excluding oil, gas, and mobile homes- 2013</v>
      </c>
      <c r="B9" s="63"/>
      <c r="C9" s="63"/>
      <c r="D9" s="63"/>
      <c r="E9" s="64">
        <v>37015</v>
      </c>
    </row>
    <row r="10" spans="1:5" ht="15.75">
      <c r="A10" s="62" t="str">
        <f>CONCATENATE("Property that has changed in use for ",inputPrYr!D6-1,"")</f>
        <v>Property that has changed in use for 2013</v>
      </c>
      <c r="B10" s="63"/>
      <c r="C10" s="63"/>
      <c r="D10" s="63"/>
      <c r="E10" s="64">
        <v>22173</v>
      </c>
    </row>
    <row r="11" spans="1:5" ht="15.75">
      <c r="A11" s="61" t="str">
        <f>CONCATENATE("Personal Property excluding oil, gas, and mobile homes- ",inputPrYr!D6-2,"")</f>
        <v>Personal Property excluding oil, gas, and mobile homes- 2012</v>
      </c>
      <c r="B11" s="42"/>
      <c r="C11" s="42"/>
      <c r="D11" s="42"/>
      <c r="E11" s="64">
        <v>44600</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3.3340000000000001</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3.3340000000000001</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3936155</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719</v>
      </c>
    </row>
    <row r="28" spans="1:5" ht="15.75">
      <c r="A28" s="62" t="s">
        <v>15</v>
      </c>
      <c r="B28" s="63"/>
      <c r="C28" s="63"/>
      <c r="D28" s="80"/>
      <c r="E28" s="37">
        <v>29</v>
      </c>
    </row>
    <row r="29" spans="1:5" ht="15.75">
      <c r="A29" s="62" t="s">
        <v>166</v>
      </c>
      <c r="B29" s="63"/>
      <c r="C29" s="63"/>
      <c r="D29" s="80"/>
      <c r="E29" s="37">
        <v>102</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85512</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8" sqref="B8"/>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745</v>
      </c>
      <c r="C5" s="360"/>
      <c r="D5" s="358" t="s">
        <v>726</v>
      </c>
      <c r="E5" s="356"/>
      <c r="F5" s="356"/>
    </row>
    <row r="6" spans="1:6" ht="15.75">
      <c r="A6" s="358"/>
      <c r="B6" s="361"/>
      <c r="C6" s="362"/>
      <c r="D6" s="358" t="s">
        <v>725</v>
      </c>
      <c r="E6" s="356"/>
      <c r="F6" s="356"/>
    </row>
    <row r="7" spans="1:6" ht="15.75">
      <c r="A7" s="358" t="s">
        <v>321</v>
      </c>
      <c r="B7" s="359" t="s">
        <v>746</v>
      </c>
      <c r="C7" s="363"/>
      <c r="D7" s="358"/>
      <c r="E7" s="356"/>
      <c r="F7" s="356"/>
    </row>
    <row r="8" spans="1:6" ht="15.75">
      <c r="A8" s="358"/>
      <c r="B8" s="358"/>
      <c r="C8" s="358"/>
      <c r="D8" s="358"/>
      <c r="E8" s="356"/>
      <c r="F8" s="356"/>
    </row>
    <row r="9" spans="1:6" ht="15.75">
      <c r="A9" s="358" t="s">
        <v>322</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10" workbookViewId="0">
      <selection activeCell="G32" sqref="G32:G33"/>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Marais Des Cygnes Drainage District</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24-407</v>
      </c>
      <c r="D23" s="116">
        <v>6</v>
      </c>
      <c r="E23" s="117">
        <f>IF(gen!$E$50&lt;&gt;0,gen!$E$50,"  ")</f>
        <v>115958</v>
      </c>
      <c r="F23" s="117">
        <f>IF(gen!$E$57&lt;&gt;0,gen!$E$57,"  ")</f>
        <v>13197</v>
      </c>
      <c r="G23" s="118">
        <f>IF(AND(gen!E57=0,$G$31&gt;=0)," ",IF(AND(F23&gt;0,$G$31=0)," ",IF(AND(F23&gt;0,$G$31&gt;0),ROUND(F23/$G$31*1000,3))))</f>
        <v>3.3490000000000002</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115958</v>
      </c>
      <c r="F29" s="405">
        <f>SUM(F23:F27)</f>
        <v>13197</v>
      </c>
      <c r="G29" s="409"/>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3940252</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42" workbookViewId="0">
      <selection activeCell="A52" sqref="A52"/>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3"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Marais Des Cygnes Drainage District</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13123</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13123</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0</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37015</v>
      </c>
      <c r="F14" s="149"/>
      <c r="G14" s="39"/>
      <c r="H14" s="39"/>
      <c r="I14" s="152"/>
      <c r="J14" s="39"/>
    </row>
    <row r="15" spans="1:10" ht="15.75">
      <c r="A15" s="148"/>
      <c r="B15" s="18" t="s">
        <v>98</v>
      </c>
      <c r="C15" s="18" t="str">
        <f>CONCATENATE("Personal Property ",J1-2,"")</f>
        <v>Personal Property 2012</v>
      </c>
      <c r="D15" s="148" t="s">
        <v>94</v>
      </c>
      <c r="E15" s="43">
        <f>inputOth!E11</f>
        <v>44600</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22173</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22173</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3939779</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3917606</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5.6598340925555048E-3</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74</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13197</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13197</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Marais Des Cygnes Drainage District</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13123</v>
      </c>
      <c r="D11" s="121">
        <f>IF(E17=0,0,E17-D12-D13-D14)</f>
        <v>719</v>
      </c>
      <c r="E11" s="121">
        <f>IF(E19=0,0,E19-E12-E13-E14)</f>
        <v>29</v>
      </c>
      <c r="F11" s="121">
        <f>IF(E21=0,0,E21-F12-F13-F14)</f>
        <v>102</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13123</v>
      </c>
      <c r="D15" s="130">
        <f>SUM(D11:D14)</f>
        <v>719</v>
      </c>
      <c r="E15" s="130">
        <f>SUM(E11:E14)</f>
        <v>29</v>
      </c>
      <c r="F15" s="130">
        <f>SUM(F11:F14)</f>
        <v>102</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719</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29</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102</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5.4789301226853618E-2</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2.2098605501790747E-3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7.7726129695953666E-3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Marais Des Cygnes Drainage District</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2013-07-23T20:08:08Z</cp:lastPrinted>
  <dcterms:created xsi:type="dcterms:W3CDTF">1999-08-06T13:59:57Z</dcterms:created>
  <dcterms:modified xsi:type="dcterms:W3CDTF">2013-11-07T16:40:50Z</dcterms:modified>
</cp:coreProperties>
</file>