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Resolution" sheetId="18" r:id="rId18"/>
    <sheet name="Nhood"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<sst xmlns="http://schemas.openxmlformats.org/spreadsheetml/2006/main" count="1109" uniqueCount="748">
  <si>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</si>
  <si>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</si>
  <si>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</si>
  <si>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</si>
  <si>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</si>
  <si>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</si>
  <si>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</si>
  <si>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</si>
  <si>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</si>
  <si>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</si>
  <si>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</si>
  <si>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</si>
  <si>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</si>
  <si>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</si>
  <si>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</si>
  <si>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</si>
  <si>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</si>
  <si>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</si>
  <si>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</si>
  <si>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</si>
  <si>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</si>
  <si>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</si>
  <si>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</si>
  <si>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</si>
  <si>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</si>
  <si>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</si>
  <si>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</si>
  <si>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</si>
  <si>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</si>
  <si>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</si>
  <si>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</si>
  <si>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</si>
  <si>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</si>
  <si>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</si>
  <si>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</si>
  <si>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</si>
  <si>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</si>
  <si>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</si>
  <si>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</si>
  <si>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</si>
  <si>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</si>
  <si>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</si>
  <si>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</si>
  <si>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</si>
  <si>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</si>
  <si>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</si>
  <si>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</si>
  <si>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</si>
  <si>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</si>
  <si>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</si>
  <si>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</si>
  <si>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</si>
  <si>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</si>
  <si>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</si>
  <si>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</si>
  <si>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</si>
  <si>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</si>
  <si>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</si>
  <si>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</si>
  <si>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</si>
  <si>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</si>
  <si>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</si>
  <si>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</si>
  <si>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</si>
  <si>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</si>
  <si>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</si>
  <si>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</si>
  <si>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</si>
  <si>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</si>
  <si>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</si>
  <si>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</si>
  <si>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</si>
  <si>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</si>
  <si>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</si>
  <si>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</si>
  <si>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</si>
  <si>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</si>
  <si>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</si>
  <si>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</si>
  <si>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</si>
  <si>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</si>
  <si>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</si>
  <si>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</si>
  <si>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</si>
  <si>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</si>
  <si>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</si>
  <si>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</si>
  <si>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</si>
  <si>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</si>
  <si>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</si>
  <si>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</si>
  <si>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</si>
  <si>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</si>
  <si>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</si>
  <si>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</si>
  <si>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</si>
  <si>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</si>
  <si>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</si>
  <si>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</si>
  <si>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</si>
  <si>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</si>
  <si>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</si>
  <si>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</si>
  <si>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</si>
  <si>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</si>
  <si>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</si>
  <si>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</si>
  <si>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</si>
  <si>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</si>
  <si>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</si>
  <si>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</si>
  <si>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</si>
  <si>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</si>
  <si>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</si>
  <si>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</si>
  <si>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</si>
  <si>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</si>
  <si>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</si>
  <si>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</si>
  <si>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</si>
  <si>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</si>
  <si>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</si>
  <si>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</si>
  <si>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</si>
  <si>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</si>
  <si>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</si>
  <si>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</si>
  <si>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</si>
  <si>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</si>
  <si>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</si>
  <si>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</si>
  <si>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</si>
  <si>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</si>
  <si>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</si>
  <si>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</si>
  <si>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</si>
  <si>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</si>
  <si>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</si>
  <si>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</si>
  <si>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</si>
  <si>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</si>
  <si>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</si>
  <si>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</si>
  <si>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</si>
  <si>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</si>
  <si>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</si>
  <si>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</si>
  <si>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</si>
  <si>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</si>
  <si>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</si>
  <si>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</si>
  <si>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</si>
  <si>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</si>
  <si>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</si>
  <si>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</si>
  <si>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</si>
  <si>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</si>
  <si>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</si>
  <si>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</si>
  <si>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</si>
  <si>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</si>
  <si>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</si>
  <si>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</si>
  <si>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</si>
  <si>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</si>
  <si>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</si>
  <si>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</si>
  <si>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</si>
  <si>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</si>
  <si>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</si>
  <si>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</si>
  <si>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</si>
  <si>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</si>
  <si>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</si>
  <si>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</si>
  <si>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</si>
  <si>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</si>
  <si>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</si>
  <si>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</si>
  <si>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</si>
  <si>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</si>
  <si>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</si>
  <si>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</si>
  <si>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</si>
  <si>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</si>
  <si>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</si>
  <si>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</si>
  <si>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</si>
  <si>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</si>
  <si>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</si>
  <si>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</si>
  <si>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</si>
  <si>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</si>
  <si>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</si>
  <si>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</si>
  <si>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</si>
  <si>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</si>
  <si>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</si>
  <si>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</si>
  <si>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</si>
  <si>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</si>
  <si>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</si>
  <si>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</si>
  <si>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</si>
  <si>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</si>
  <si>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</si>
  <si>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</si>
  <si>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</si>
  <si>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</si>
  <si>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</si>
  <si>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</si>
  <si>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</si>
  <si>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</si>
  <si>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</si>
  <si>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</si>
  <si>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</si>
  <si>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</si>
  <si>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</si>
  <si>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</si>
  <si>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</si>
  <si>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</si>
  <si>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</si>
  <si>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</si>
  <si>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</si>
  <si>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</si>
  <si>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</si>
  <si>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</si>
  <si>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</si>
  <si>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</si>
  <si>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</si>
  <si>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</si>
  <si>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</si>
  <si>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</si>
  <si>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</si>
  <si>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</si>
  <si>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</si>
  <si>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</si>
  <si>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</si>
  <si>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</si>
  <si>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</si>
  <si>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</si>
  <si>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</si>
  <si>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</si>
  <si>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</si>
  <si>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</si>
  <si>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</si>
  <si>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</si>
  <si>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</si>
  <si>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</si>
  <si>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</si>
  <si>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</si>
  <si>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</si>
  <si>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</si>
  <si>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</si>
  <si>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</si>
  <si>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</si>
  <si>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</si>
  <si>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</si>
  <si>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</si>
  <si>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</si>
  <si>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</si>
  <si>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</si>
  <si>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</si>
  <si>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</si>
  <si>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</si>
  <si>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</si>
  <si>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</si>
  <si>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</si>
  <si>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</si>
  <si>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</si>
  <si>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</si>
  <si>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</si>
  <si>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</si>
  <si>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</si>
  <si>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</si>
  <si>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</si>
  <si>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</si>
  <si>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</si>
  <si>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</si>
  <si>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</si>
  <si>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</si>
  <si>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</si>
  <si>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</si>
  <si>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</si>
  <si>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</si>
  <si>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</si>
  <si>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</si>
  <si>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</si>
  <si>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</si>
  <si>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</si>
  <si>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</si>
  <si>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</si>
  <si>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</si>
  <si>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</si>
  <si>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</si>
  <si>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</si>
  <si>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</si>
  <si>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</si>
  <si>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</si>
  <si>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</si>
  <si>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</si>
  <si>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</si>
  <si>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</si>
  <si>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</si>
  <si>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</si>
  <si>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</si>
  <si>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</si>
  <si>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</si>
  <si>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</si>
  <si>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</si>
  <si>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</si>
  <si>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</si>
  <si>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</si>
  <si>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</si>
  <si>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</si>
  <si>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</si>
  <si>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</si>
  <si>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</si>
  <si>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</si>
  <si>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</si>
  <si>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</si>
  <si>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</si>
  <si>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</si>
  <si>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</si>
  <si>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</si>
  <si>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</si>
  <si>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</si>
  <si>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</si>
  <si>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</si>
  <si>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</si>
  <si>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</si>
  <si>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</si>
  <si>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</si>
  <si>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</si>
  <si>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</si>
  <si>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</si>
  <si>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</si>
  <si>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</si>
  <si>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</si>
  <si>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</si>
  <si>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</si>
  <si>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</si>
  <si>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</si>
  <si>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</si>
  <si>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</si>
  <si>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</si>
  <si>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</si>
  <si>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</si>
  <si>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</si>
  <si>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</si>
  <si>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</si>
  <si>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</si>
  <si>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</si>
  <si>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</si>
  <si>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</si>
  <si>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</si>
  <si>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</si>
  <si>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</si>
  <si>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</si>
  <si>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</si>
  <si>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</si>
  <si>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</si>
  <si>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</si>
  <si>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</si>
  <si>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</si>
  <si>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</si>
  <si>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</si>
  <si>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</si>
  <si>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</si>
  <si>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</si>
  <si>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</si>
  <si>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</si>
  <si>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</si>
  <si>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</si>
  <si>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</si>
  <si>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</si>
  <si>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</si>
  <si>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</si>
  <si>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</si>
  <si>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</si>
  <si>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</si>
  <si>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</si>
  <si>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</si>
  <si>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</si>
  <si>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</si>
  <si>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</si>
  <si>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</si>
  <si>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</si>
  <si>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</si>
  <si>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</si>
  <si>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</si>
  <si>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</si>
  <si>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</si>
  <si>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</si>
  <si>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</si>
  <si>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</si>
  <si>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</si>
  <si>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</si>
  <si>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</si>
  <si>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</si>
  <si>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</si>
  <si>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</si>
  <si>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</si>
  <si>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</si>
  <si>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</si>
  <si>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</si>
  <si>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</si>
  <si>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</si>
  <si>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</si>
  <si>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</si>
  <si>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</si>
  <si>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</si>
  <si>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</si>
  <si>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</si>
  <si>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</si>
  <si>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</si>
  <si>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</si>
  <si>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</si>
  <si>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</si>
  <si>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</si>
  <si>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</si>
  <si>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</si>
  <si>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</si>
  <si>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</si>
  <si>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</si>
  <si>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</si>
  <si>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</si>
  <si>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</si>
  <si>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</si>
  <si>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</si>
  <si>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</si>
  <si>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</si>
  <si>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</si>
  <si>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</si>
  <si>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</si>
  <si>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</si>
  <si>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</si>
  <si>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</si>
  <si>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</si>
  <si>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</si>
  <si>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</si>
  <si>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</si>
  <si>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</si>
  <si>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</si>
  <si>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</si>
  <si>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</si>
  <si>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</si>
  <si>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</si>
  <si>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</si>
  <si>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</si>
  <si>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</si>
  <si>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</si>
  <si>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</si>
  <si>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</si>
  <si>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</si>
  <si>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</si>
  <si>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</si>
  <si>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</si>
  <si>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</si>
  <si>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</si>
  <si>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</si>
  <si>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</si>
  <si>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</si>
  <si>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</si>
  <si>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</si>
  <si>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</si>
  <si>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</si>
  <si>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</si>
  <si>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</si>
  <si>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</si>
  <si>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</si>
  <si>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</si>
  <si>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</si>
  <si>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</si>
  <si>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</si>
  <si>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</si>
  <si>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</si>
  <si>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</si>
  <si>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</si>
  <si>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</si>
  <si>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</si>
  <si>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</si>
  <si>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</si>
  <si>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</si>
  <si>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</si>
  <si>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</si>
  <si>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</si>
  <si>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</si>
  <si>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</si>
  <si>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</si>
  <si>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</si>
  <si>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</si>
  <si>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</si>
  <si>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</si>
  <si>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</si>
  <si>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</si>
  <si>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</si>
  <si>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</si>
  <si>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</si>
  <si>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</si>
  <si>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</si>
  <si>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</si>
  <si>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</si>
  <si>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</si>
  <si>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</si>
  <si>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</si>
  <si>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</si>
  <si>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</si>
  <si>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</si>
  <si>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</si>
  <si>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</si>
  <si>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</si>
  <si>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</si>
  <si>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</si>
  <si>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</si>
  <si>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</si>
  <si>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</si>
  <si>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</si>
  <si>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</si>
  <si>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</si>
  <si>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</si>
  <si>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</si>
  <si>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</si>
  <si>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</si>
  <si>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</si>
  <si>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</si>
  <si>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</si>
  <si>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</si>
  <si>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</si>
  <si>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</si>
  <si>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</si>
  <si>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</si>
  <si>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</si>
  <si>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</si>
  <si>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</si>
  <si>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</si>
  <si>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</si>
  <si>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</si>
  <si>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</si>
  <si>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</si>
  <si>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</si>
  <si>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</si>
  <si>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</si>
  <si>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</si>
  <si>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</si>
  <si>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</si>
  <si>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</si>
  <si>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</si>
  <si>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</si>
  <si>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</si>
  <si>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</si>
  <si>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</si>
  <si>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</si>
  <si>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</si>
  <si>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</si>
  <si>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</si>
  <si>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</si>
  <si>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</si>
  <si>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</si>
  <si>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</si>
  <si>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</si>
  <si>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</si>
  <si>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</si>
  <si>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</si>
  <si>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</si>
  <si>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</si>
  <si>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</si>
  <si>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</si>
  <si>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</si>
  <si>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</si>
  <si>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</si>
  <si>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</si>
  <si>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</si>
  <si>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</si>
  <si>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</si>
  <si>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</si>
  <si>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</si>
  <si>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</si>
  <si>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</si>
  <si>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</si>
  <si>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</si>
  <si>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</si>
  <si>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</si>
  <si>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</si>
  <si>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</si>
  <si>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</si>
  <si>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</si>
  <si>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</si>
  <si>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</si>
  <si>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</si>
  <si>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</si>
  <si>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</si>
  <si>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</si>
  <si>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</si>
  <si>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</si>
  <si>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</si>
  <si>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</si>
  <si>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</si>
  <si>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</si>
  <si>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</si>
  <si>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</si>
  <si>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</si>
  <si>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</si>
  <si>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</si>
  <si>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</si>
  <si>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</si>
  <si>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</si>
  <si>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</si>
  <si>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</si>
  <si>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</si>
  <si>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</si>
  <si>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</si>
  <si>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</si>
  <si>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</si>
  <si>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</si>
  <si>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</si>
  <si>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</si>
  <si>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</si>
  <si>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</si>
  <si>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</si>
  <si>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</si>
  <si>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</si>
  <si>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</si>
  <si>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</si>
  <si>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</si>
  <si>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</si>
  <si>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</si>
  <si>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</si>
  <si>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</si>
  <si>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</si>
  <si>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</si>
  <si>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</si>
  <si>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</si>
  <si>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</si>
  <si>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</si>
  <si>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</si>
  <si>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</si>
  <si>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</si>
  <si>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</si>
  <si>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</si>
  <si>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</si>
  <si>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</si>
  <si>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</si>
  <si>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</si>
  <si>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</si>
  <si>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</si>
  <si>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</si>
  <si>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</si>
  <si>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</si>
  <si>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</si>
  <si>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</si>
  <si>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</si>
  <si>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</si>
  <si>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</si>
  <si>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</si>
  <si>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</si>
  <si>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</si>
  <si>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</si>
  <si>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</si>
  <si>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</si>
  <si>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</si>
  <si>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</si>
  <si>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</si>
  <si>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</si>
  <si>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</si>
  <si>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</si>
  <si>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</si>
  <si>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</si>
  <si>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</si>
  <si>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</si>
  <si>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</si>
  <si>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</si>
  <si>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</si>
  <si>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</si>
  <si>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</si>
  <si>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</si>
  <si>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</si>
  <si>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</si>
  <si>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</si>
  <si>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</si>
  <si>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</si>
  <si>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</si>
  <si>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</si>
  <si>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</si>
  <si>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</si>
  <si>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</si>
  <si>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</si>
  <si>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</si>
  <si>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</si>
  <si>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</si>
  <si>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</si>
  <si>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</si>
  <si>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</si>
  <si>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</si>
  <si>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</si>
  <si>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</si>
  <si>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</si>
  <si>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</si>
  <si>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</si>
  <si>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</si>
  <si>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</si>
  <si>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</si>
  <si>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</si>
  <si>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</si>
  <si>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</si>
  <si>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</si>
  <si>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</si>
  <si>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</si>
  <si>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</si>
  <si>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</si>
  <si>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</si>
  <si>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</si>
  <si>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</si>
  <si>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</si>
  <si>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</si>
  <si>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</si>
  <si>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</si>
  <si>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</si>
  <si>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</si>
  <si>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</si>
  <si>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</si>
  <si>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</si>
  <si>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</si>
  <si>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</si>
  <si>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</si>
  <si>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</si>
  <si>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</si>
  <si>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</si>
  <si>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</si>
  <si>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</si>
  <si>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</si>
  <si>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</si>
  <si>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</si>
  <si>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</si>
  <si>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</si>
  <si>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</si>
  <si>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</si>
  <si>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</si>
  <si>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</si>
  <si>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</si>
  <si>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</si>
  <si>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</si>
  <si>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</si>
  <si>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</si>
  <si>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Wesleyan Cem #7</t>
  </si>
  <si>
    <t>Clay County</t>
  </si>
  <si>
    <t>Mowing</t>
  </si>
  <si>
    <t xml:space="preserve">Directory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</si>
</sst>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Wesleyan Cem #7</v>
      </c>
      <c r="B1" s="18"/>
      <c r="C1" s="18"/>
      <c r="D1" s="18"/>
      <c r="E1" s="18"/>
      <c r="F1" s="18"/>
      <c r="G1" s="18"/>
      <c r="H1" s="18"/>
      <c r="I1" s="18"/>
      <c r="J1" s="18"/>
      <c r="K1" s="192">
        <f>inputPrYr!D6</f>
        <v>2014</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0">
      <selection activeCell="I30" sqref="I3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Wesleyan Cem #7</v>
      </c>
      <c r="C1" s="241"/>
      <c r="D1" s="18"/>
      <c r="E1" s="192"/>
    </row>
    <row r="2" spans="2:5" ht="15.75">
      <c r="B2" s="18" t="str">
        <f>inputPrYr!D4</f>
        <v>Clay County</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1357.87</v>
      </c>
      <c r="D7" s="404">
        <f>C51</f>
        <v>390.6300000000001</v>
      </c>
      <c r="E7" s="47">
        <f>D51</f>
        <v>-179.3699999999999</v>
      </c>
    </row>
    <row r="8" spans="2:5" ht="15.75">
      <c r="B8" s="246" t="s">
        <v>130</v>
      </c>
      <c r="C8" s="247"/>
      <c r="D8" s="247"/>
      <c r="E8" s="128"/>
    </row>
    <row r="9" spans="2:5" ht="15.75">
      <c r="B9" s="122" t="s">
        <v>33</v>
      </c>
      <c r="C9" s="397">
        <v>1300</v>
      </c>
      <c r="D9" s="404">
        <f>inputPrYr!E19</f>
        <v>1359</v>
      </c>
      <c r="E9" s="135" t="s">
        <v>28</v>
      </c>
    </row>
    <row r="10" spans="2:5" ht="15.75">
      <c r="B10" s="122" t="s">
        <v>34</v>
      </c>
      <c r="C10" s="397"/>
      <c r="D10" s="397"/>
      <c r="E10" s="209"/>
    </row>
    <row r="11" spans="2:5" ht="15.75">
      <c r="B11" s="122" t="s">
        <v>35</v>
      </c>
      <c r="C11" s="397">
        <v>88.86</v>
      </c>
      <c r="D11" s="397">
        <v>66</v>
      </c>
      <c r="E11" s="47">
        <f>mvalloc!D11</f>
        <v>66.41</v>
      </c>
    </row>
    <row r="12" spans="2:5" ht="15.75">
      <c r="B12" s="122" t="s">
        <v>36</v>
      </c>
      <c r="C12" s="397"/>
      <c r="D12" s="397">
        <v>1</v>
      </c>
      <c r="E12" s="47">
        <f>mvalloc!E11</f>
        <v>0</v>
      </c>
    </row>
    <row r="13" spans="2:5" ht="15.75">
      <c r="B13" s="247" t="s">
        <v>112</v>
      </c>
      <c r="C13" s="397">
        <v>1.9</v>
      </c>
      <c r="D13" s="397">
        <v>4</v>
      </c>
      <c r="E13" s="47">
        <f>mvalloc!F11</f>
        <v>9.5</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1390.76</v>
      </c>
      <c r="D28" s="399">
        <f>SUM(D9:D26)</f>
        <v>1430</v>
      </c>
      <c r="E28" s="254">
        <f>SUM(E9:E26)</f>
        <v>75.91</v>
      </c>
    </row>
    <row r="29" spans="2:5" ht="15.75">
      <c r="B29" s="253" t="s">
        <v>40</v>
      </c>
      <c r="C29" s="399">
        <f>C7+C28</f>
        <v>2748.63</v>
      </c>
      <c r="D29" s="399">
        <f>D7+D28</f>
        <v>1820.63</v>
      </c>
      <c r="E29" s="254">
        <f>E7+E28</f>
        <v>-103.4599999999999</v>
      </c>
    </row>
    <row r="30" spans="2:5" ht="15.75">
      <c r="B30" s="122" t="s">
        <v>41</v>
      </c>
      <c r="C30" s="126"/>
      <c r="D30" s="126"/>
      <c r="E30" s="38"/>
    </row>
    <row r="31" spans="2:5" ht="15.75">
      <c r="B31" s="248" t="s">
        <v>746</v>
      </c>
      <c r="C31" s="397">
        <v>400</v>
      </c>
      <c r="D31" s="397">
        <v>2000</v>
      </c>
      <c r="E31" s="209">
        <v>2000</v>
      </c>
    </row>
    <row r="32" spans="2:5" ht="15.75">
      <c r="B32" s="248" t="s">
        <v>747</v>
      </c>
      <c r="C32" s="397">
        <v>1958</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-179.3699999999999</v>
      </c>
      <c r="H45" s="553" t="str">
        <f>CONCATENATE("",F3-1," Ending Cash Balance (est.)")</f>
        <v>2013 Ending Cash Balance (est.)</v>
      </c>
      <c r="I45" s="543"/>
      <c r="J45" s="544"/>
    </row>
    <row r="46" spans="2:10" ht="15.75">
      <c r="B46" s="248"/>
      <c r="C46" s="397"/>
      <c r="D46" s="397"/>
      <c r="E46" s="209"/>
      <c r="G46" s="554">
        <f>E28</f>
        <v>75.91</v>
      </c>
      <c r="H46" s="543" t="str">
        <f>CONCATENATE("",F3," Non-AV Receipts (est.)")</f>
        <v>2014 Non-AV Receipts (est.)</v>
      </c>
      <c r="I46" s="543"/>
      <c r="J46" s="544"/>
    </row>
    <row r="47" spans="2:10" ht="15.75">
      <c r="B47" s="126" t="s">
        <v>229</v>
      </c>
      <c r="C47" s="397"/>
      <c r="D47" s="397"/>
      <c r="E47" s="214">
        <f>Nhood!E7</f>
      </c>
      <c r="G47" s="542">
        <f>E57</f>
        <v>2103.46</v>
      </c>
      <c r="H47" s="543" t="str">
        <f>CONCATENATE("",F3," Ad Valorem Tax (est.)")</f>
        <v>2014 Ad Valorem Tax (est.)</v>
      </c>
      <c r="I47" s="543"/>
      <c r="J47" s="544"/>
    </row>
    <row r="48" spans="2:10" ht="15.75">
      <c r="B48" s="126" t="s">
        <v>228</v>
      </c>
      <c r="C48" s="397"/>
      <c r="D48" s="397"/>
      <c r="E48" s="37"/>
      <c r="G48" s="554">
        <f>SUM(G45:G47)</f>
        <v>2000.0000000000002</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2358</v>
      </c>
      <c r="D50" s="399">
        <f>SUM(D31:D48)</f>
        <v>2000</v>
      </c>
      <c r="E50" s="254">
        <f>SUM(E31:E48)</f>
        <v>2000</v>
      </c>
      <c r="G50" s="542">
        <f>C50*0.05+C50</f>
        <v>2475.9</v>
      </c>
      <c r="H50" s="543" t="str">
        <f>CONCATENATE("Less ",F3-2," Expenditures + 5%")</f>
        <v>Less 2012 Expenditures + 5%</v>
      </c>
      <c r="I50" s="543"/>
      <c r="J50" s="544"/>
    </row>
    <row r="51" spans="2:10" ht="15.75">
      <c r="B51" s="122" t="s">
        <v>129</v>
      </c>
      <c r="C51" s="400">
        <f>C29-C50</f>
        <v>390.6300000000001</v>
      </c>
      <c r="D51" s="400">
        <f>D29-D50</f>
        <v>-179.3699999999999</v>
      </c>
      <c r="E51" s="135" t="s">
        <v>28</v>
      </c>
      <c r="G51" s="540">
        <f>G48-G50</f>
        <v>-475.89999999999986</v>
      </c>
      <c r="H51" s="539" t="str">
        <f>CONCATENATE("Projected ",F3+1," Carryover (est.)")</f>
        <v>Projected 2015 Carryover (est.)</v>
      </c>
      <c r="I51" s="525"/>
      <c r="J51" s="538"/>
    </row>
    <row r="52" spans="2:10" ht="15.75">
      <c r="B52" s="145" t="str">
        <f>CONCATENATE("",F3-2,"/",F3-1," Budget Authority Amount:")</f>
        <v>2012/2013 Budget Authority Amount:</v>
      </c>
      <c r="C52" s="123">
        <f>inputOth!B42</f>
        <v>1700</v>
      </c>
      <c r="D52" s="425">
        <f>inputPrYr!D19</f>
        <v>2500</v>
      </c>
      <c r="E52" s="135" t="s">
        <v>28</v>
      </c>
      <c r="F52" s="255"/>
      <c r="G52" s="16"/>
      <c r="H52" s="16"/>
      <c r="I52" s="16"/>
      <c r="J52" s="16"/>
    </row>
    <row r="53" spans="2:10" ht="15.75">
      <c r="B53" s="145"/>
      <c r="C53" s="637" t="s">
        <v>684</v>
      </c>
      <c r="D53" s="638"/>
      <c r="E53" s="37"/>
      <c r="F53" s="255">
        <f>IF(E50/0.95-E50&lt;E53,"Exceeds 5%","")</f>
      </c>
      <c r="G53" s="537">
        <f>IF(inputOth!E7=0,"",ROUND(gen!E57/inputOth!E7*1000,3))</f>
        <v>2.051</v>
      </c>
      <c r="H53" s="536" t="str">
        <f>CONCATENATE("Projected ",F3-1," Mill Rate (est.)")</f>
        <v>Projected 2013 Mill Rate (est.)</v>
      </c>
      <c r="I53" s="535"/>
      <c r="J53" s="534"/>
    </row>
    <row r="54" spans="2:10" ht="15.75">
      <c r="B54" s="423" t="str">
        <f>CONCATENATE(C70,"     ",D70)</f>
        <v>See Tab A     </v>
      </c>
      <c r="C54" s="639" t="s">
        <v>685</v>
      </c>
      <c r="D54" s="640"/>
      <c r="E54" s="47">
        <f>E50+E53</f>
        <v>2000</v>
      </c>
      <c r="G54" s="533"/>
      <c r="H54" s="533"/>
      <c r="I54" s="533"/>
      <c r="J54" s="533"/>
    </row>
    <row r="55" spans="2:10" ht="15.75">
      <c r="B55" s="423" t="str">
        <f>CONCATENATE(C71,"     ",D71)</f>
        <v>     See Tab D</v>
      </c>
      <c r="C55" s="559"/>
      <c r="D55" s="558" t="s">
        <v>686</v>
      </c>
      <c r="E55" s="44">
        <f>IF(E54-E29&gt;0,E54-E29,0)</f>
        <v>2103.46</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2103.46</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f>IF(C51&lt;0,"See Tab B","")</f>
      </c>
      <c r="D71" s="98" t="str">
        <f>IF(D51&lt;0,"See Tab D","")</f>
        <v>See Tab D</v>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Wesleyan Cem #7</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Wesleyan Cem #7</v>
      </c>
      <c r="C1" s="18"/>
      <c r="D1" s="18"/>
      <c r="E1" s="192"/>
    </row>
    <row r="2" spans="2:5" ht="15.75">
      <c r="B2" s="18" t="str">
        <f>inputPrYr!D4</f>
        <v>Clay County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Wesleyan Cem #7</v>
      </c>
      <c r="C1" s="241"/>
      <c r="D1" s="18"/>
      <c r="E1" s="192"/>
    </row>
    <row r="2" spans="2:5" ht="15.75">
      <c r="B2" s="18" t="str">
        <f>inputPrYr!D4</f>
        <v>Clay County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Wesleyan Cem #7</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Wesleyan Cem #7</v>
      </c>
      <c r="B4" s="598"/>
      <c r="C4" s="598"/>
      <c r="D4" s="598"/>
      <c r="E4" s="598"/>
      <c r="F4" s="598"/>
      <c r="G4" s="598"/>
      <c r="H4" s="598"/>
    </row>
    <row r="5" spans="1:8" ht="15.75">
      <c r="A5" s="661" t="str">
        <f>inputPrYr!D4</f>
        <v>Clay County</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2014</v>
      </c>
      <c r="K12" s="652"/>
      <c r="L12" s="652"/>
      <c r="M12" s="653"/>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2013 Ad Valorem Tax</v>
      </c>
      <c r="H14" s="316" t="s">
        <v>585</v>
      </c>
      <c r="J14" s="570" t="s">
        <v>692</v>
      </c>
      <c r="K14" s="571"/>
      <c r="L14" s="571"/>
      <c r="M14" s="572">
        <f>ROUND(F27/1000,0)</f>
        <v>1026</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2358</v>
      </c>
      <c r="C16" s="125">
        <f>IF(inputPrYr!D38&gt;0,inputPrYr!D38,"  ")</f>
        <v>1.49</v>
      </c>
      <c r="D16" s="128">
        <f>IF(gen!$D$50&lt;&gt;0,gen!$D$50,"  ")</f>
        <v>2000</v>
      </c>
      <c r="E16" s="125">
        <f>IF(inputOth!D16&gt;0,inputOth!D16,"  ")</f>
        <v>1.38359</v>
      </c>
      <c r="F16" s="128">
        <f>IF(gen!$E$50&lt;&gt;0,gen!$E$50,"  ")</f>
        <v>2000</v>
      </c>
      <c r="G16" s="128">
        <f>IF(gen!$E$57&lt;&gt;0,gen!$E$57,"  ")</f>
        <v>2103.46</v>
      </c>
      <c r="H16" s="125">
        <f>IF(gen!E57&gt;0,ROUND(G16/$F$27*1000,3)," ")</f>
        <v>2.051</v>
      </c>
      <c r="J16" s="651" t="str">
        <f>CONCATENATE("Want The Mill Rate The Same As For ",I3-1,"?")</f>
        <v>Want The Mill Rate The Same As For 2013?</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1.38359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-684.46</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2358</v>
      </c>
      <c r="C23" s="549">
        <f aca="true" t="shared" si="0" ref="C23:H23">SUM(C16:C21)</f>
        <v>1.49</v>
      </c>
      <c r="D23" s="321">
        <f t="shared" si="0"/>
        <v>2000</v>
      </c>
      <c r="E23" s="549">
        <f t="shared" si="0"/>
        <v>1.38359</v>
      </c>
      <c r="F23" s="321">
        <f t="shared" si="0"/>
        <v>2000</v>
      </c>
      <c r="G23" s="321">
        <f t="shared" si="0"/>
        <v>2103.46</v>
      </c>
      <c r="H23" s="549">
        <f t="shared" si="0"/>
        <v>2.051</v>
      </c>
      <c r="J23" s="651" t="str">
        <f>CONCATENATE("Impact On Keeping The Same Mill Rate As For ",I3-1,"")</f>
        <v>Impact On Keeping The Same Mill Rate As For 2013</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2358</v>
      </c>
      <c r="C25" s="320"/>
      <c r="D25" s="136">
        <f>SUM(D23-D24)</f>
        <v>2000</v>
      </c>
      <c r="E25" s="320"/>
      <c r="F25" s="546">
        <f>SUM(F23-F24)</f>
        <v>2000</v>
      </c>
      <c r="G25" s="260"/>
      <c r="H25" s="319"/>
      <c r="J25" s="573" t="str">
        <f>CONCATENATE("",I3," Ad Valorem Tax Revenue:")</f>
        <v>2014 Ad Valorem Tax Revenue:</v>
      </c>
      <c r="K25" s="568"/>
      <c r="L25" s="568"/>
      <c r="M25" s="569">
        <f>G23</f>
        <v>2103.46</v>
      </c>
    </row>
    <row r="26" spans="1:13" ht="16.5" thickTop="1">
      <c r="A26" s="35" t="s">
        <v>54</v>
      </c>
      <c r="B26" s="321">
        <f>inputPrYr!E44</f>
        <v>1299</v>
      </c>
      <c r="C26" s="230"/>
      <c r="D26" s="321">
        <f>inputPrYr!E24</f>
        <v>1359</v>
      </c>
      <c r="E26" s="230"/>
      <c r="F26" s="322" t="s">
        <v>179</v>
      </c>
      <c r="G26" s="18"/>
      <c r="H26" s="18"/>
      <c r="J26" s="573" t="str">
        <f>CONCATENATE("",I3-1," Ad Valorem Tax Revenue:")</f>
        <v>2013 Ad Valorem Tax Revenue:</v>
      </c>
      <c r="K26" s="568"/>
      <c r="L26" s="568"/>
      <c r="M26" s="582">
        <f>ROUND(F27*M18/1000,0)</f>
        <v>1419</v>
      </c>
    </row>
    <row r="27" spans="1:13" ht="15.75">
      <c r="A27" s="35" t="s">
        <v>175</v>
      </c>
      <c r="B27" s="214">
        <f>inputPrYr!E45</f>
        <v>872376</v>
      </c>
      <c r="C27" s="230"/>
      <c r="D27" s="214">
        <f>inputOth!E24</f>
        <v>982227</v>
      </c>
      <c r="E27" s="230"/>
      <c r="F27" s="214">
        <f>inputOth!E7</f>
        <v>1025802</v>
      </c>
      <c r="G27" s="18"/>
      <c r="H27" s="18"/>
      <c r="J27" s="583" t="s">
        <v>693</v>
      </c>
      <c r="K27" s="584"/>
      <c r="L27" s="584"/>
      <c r="M27" s="572">
        <f>M25-M26</f>
        <v>684.46</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2.051</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0" t="s">
        <v>143</v>
      </c>
      <c r="C1" s="670"/>
      <c r="D1" s="670"/>
      <c r="E1" s="670"/>
      <c r="F1" s="670"/>
      <c r="G1" s="670"/>
      <c r="H1" s="670"/>
    </row>
    <row r="2" spans="2:8" ht="15.75">
      <c r="B2" s="6"/>
      <c r="C2"/>
      <c r="D2"/>
      <c r="E2"/>
      <c r="F2"/>
      <c r="G2"/>
      <c r="H2"/>
    </row>
    <row r="3" spans="2:8" ht="15.75">
      <c r="B3" s="671" t="s">
        <v>140</v>
      </c>
      <c r="C3" s="671"/>
      <c r="D3" s="671"/>
      <c r="E3" s="671"/>
      <c r="F3" s="671"/>
      <c r="G3" s="671"/>
      <c r="H3" s="671"/>
    </row>
    <row r="4" spans="2:8" ht="15.75">
      <c r="B4" s="7"/>
      <c r="C4"/>
      <c r="D4"/>
      <c r="E4"/>
      <c r="F4"/>
      <c r="G4"/>
      <c r="H4"/>
    </row>
    <row r="5" spans="2:8" ht="15.75">
      <c r="B5" s="663" t="str">
        <f>CONCATENATE("A resolution expressing the property taxation policy of the Board of ",(inputPrYr!D3)," District with respect to financing the ",inputPrYr!D6," annual budget for ",(inputPrYr!D3)," , ",(inputPrYr!D4)," , Kansas.")</f>
        <v>A resolution expressing the property taxation policy of the Board of Wesleyan Cem #7 District with respect to financing the 2014 annual budget for Wesleyan Cem #7 , Clay County , Kansas.</v>
      </c>
      <c r="C5" s="664"/>
      <c r="D5" s="664"/>
      <c r="E5" s="664"/>
      <c r="F5" s="664"/>
      <c r="G5" s="664"/>
      <c r="H5" s="664"/>
    </row>
    <row r="6" spans="2:10" ht="15.75">
      <c r="B6" s="664"/>
      <c r="C6" s="664"/>
      <c r="D6" s="664"/>
      <c r="E6" s="664"/>
      <c r="F6" s="664"/>
      <c r="G6" s="664"/>
      <c r="H6" s="664"/>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Wesleyan Cem #7 district budget exceed the amount levied to finance the</v>
      </c>
      <c r="C9"/>
      <c r="D9"/>
      <c r="E9"/>
      <c r="F9"/>
      <c r="G9"/>
      <c r="H9"/>
    </row>
    <row r="10" spans="2:8" ht="15.75">
      <c r="B10" s="12" t="str">
        <f>CONCATENATE("",inputPrYr!D6-1," ",inputPrYr!D3," except with regard to revenue produced and attributable to the")</f>
        <v>2013 Wesleyan Cem #7 except with regard to revenue produced and attributable to the</v>
      </c>
      <c r="C10"/>
      <c r="D10"/>
      <c r="E10"/>
      <c r="F10"/>
      <c r="G10"/>
      <c r="H10"/>
    </row>
    <row r="11" spans="2:8" ht="15.75">
      <c r="B11" s="667" t="s">
        <v>181</v>
      </c>
      <c r="C11" s="672"/>
      <c r="D11" s="672"/>
      <c r="E11" s="672"/>
      <c r="F11" s="672"/>
      <c r="G11" s="672"/>
      <c r="H11" s="672"/>
    </row>
    <row r="12" spans="2:8" ht="15.75">
      <c r="B12" s="672"/>
      <c r="C12" s="672"/>
      <c r="D12" s="672"/>
      <c r="E12" s="672"/>
      <c r="F12" s="672"/>
      <c r="G12" s="672"/>
      <c r="H12" s="672"/>
    </row>
    <row r="13" spans="2:8" ht="15.75">
      <c r="B13" s="672"/>
      <c r="C13" s="672"/>
      <c r="D13" s="672"/>
      <c r="E13" s="672"/>
      <c r="F13" s="672"/>
      <c r="G13" s="672"/>
      <c r="H13" s="672"/>
    </row>
    <row r="14" spans="2:8" ht="15.75">
      <c r="B14" s="672"/>
      <c r="C14" s="672"/>
      <c r="D14" s="672"/>
      <c r="E14" s="672"/>
      <c r="F14" s="672"/>
      <c r="G14" s="672"/>
      <c r="H14" s="672"/>
    </row>
    <row r="15" spans="2:8" ht="15.75">
      <c r="B15" s="1"/>
      <c r="C15" s="1"/>
      <c r="D15" s="1"/>
      <c r="E15" s="1"/>
      <c r="F15" s="1"/>
      <c r="G15" s="1"/>
      <c r="H15" s="1"/>
    </row>
    <row r="16" spans="2:8" ht="15.75">
      <c r="B16" s="665" t="s">
        <v>152</v>
      </c>
      <c r="C16" s="666"/>
      <c r="D16" s="666"/>
      <c r="E16" s="666"/>
      <c r="F16" s="666"/>
      <c r="G16" s="666"/>
      <c r="H16" s="666"/>
    </row>
    <row r="17" spans="2:8" ht="15.75">
      <c r="B17" s="666"/>
      <c r="C17" s="666"/>
      <c r="D17" s="666"/>
      <c r="E17" s="666"/>
      <c r="F17" s="666"/>
      <c r="G17" s="666"/>
      <c r="H17" s="666"/>
    </row>
    <row r="18" spans="2:8" ht="15.75">
      <c r="B18" s="12"/>
      <c r="C18"/>
      <c r="D18"/>
      <c r="E18"/>
      <c r="F18"/>
      <c r="G18"/>
      <c r="H18"/>
    </row>
    <row r="19" spans="2:8" ht="15.75">
      <c r="B19" s="12" t="str">
        <f>CONCATENATE("Whereas, ",(inputPrYr!D3)," provides essential services to district residents; and")</f>
        <v>Whereas, Wesleyan Cem #7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Wesleyan Cem #7 that is our desire to notify the public of the possibility of increased property taxes to finance the 2014 Wesleyan Cem #7  budget as defined above.</v>
      </c>
      <c r="C23" s="668"/>
      <c r="D23" s="668"/>
      <c r="E23" s="668"/>
      <c r="F23" s="668"/>
      <c r="G23" s="668"/>
      <c r="H23" s="668"/>
    </row>
    <row r="24" spans="2:8" ht="15.75">
      <c r="B24" s="668"/>
      <c r="C24" s="668"/>
      <c r="D24" s="668"/>
      <c r="E24" s="668"/>
      <c r="F24" s="668"/>
      <c r="G24" s="668"/>
      <c r="H24" s="668"/>
    </row>
    <row r="25" spans="2:8" ht="15.75">
      <c r="B25" s="668"/>
      <c r="C25" s="668"/>
      <c r="D25" s="668"/>
      <c r="E25" s="668"/>
      <c r="F25" s="668"/>
      <c r="G25" s="668"/>
      <c r="H25" s="668"/>
    </row>
    <row r="26" spans="2:8" ht="15.75">
      <c r="B26" s="12"/>
      <c r="C26"/>
      <c r="D26"/>
      <c r="E26"/>
      <c r="F26"/>
      <c r="G26"/>
      <c r="H26"/>
    </row>
    <row r="27" spans="2:8" ht="15.75">
      <c r="B27" s="665" t="str">
        <f>CONCATENATE("Adopted this _________ day of ___________, ",inputPrYr!D6-1," by the ",(inputPrYr!D3)," District Board, ",(inputPrYr!D4),", Kansas.")</f>
        <v>Adopted this _________ day of ___________, 2013 by the Wesleyan Cem #7 District Board, Clay County, Kansas.</v>
      </c>
      <c r="C27" s="664"/>
      <c r="D27" s="664"/>
      <c r="E27" s="664"/>
      <c r="F27" s="664"/>
      <c r="G27" s="664"/>
      <c r="H27" s="664"/>
    </row>
    <row r="28" spans="2:8" ht="15.75">
      <c r="B28" s="664"/>
      <c r="C28" s="664"/>
      <c r="D28" s="664"/>
      <c r="E28" s="664"/>
      <c r="F28" s="664"/>
      <c r="G28" s="664"/>
      <c r="H28" s="664"/>
    </row>
    <row r="29" spans="2:8" ht="15.75">
      <c r="B29" s="8"/>
      <c r="C29"/>
      <c r="D29"/>
      <c r="E29"/>
      <c r="F29"/>
      <c r="G29"/>
      <c r="H29"/>
    </row>
    <row r="30" spans="2:8" ht="15.75">
      <c r="B30" s="8"/>
      <c r="C30"/>
      <c r="D30"/>
      <c r="E30"/>
      <c r="F30"/>
      <c r="G30"/>
      <c r="H30"/>
    </row>
    <row r="31" spans="2:8" ht="15.75">
      <c r="B31" s="9" t="str">
        <f>CONCATENATE(" ",(inputPrYr!D3)," District Board")</f>
        <v> Wesleyan Cem #7 District Board</v>
      </c>
      <c r="C31"/>
      <c r="D31"/>
      <c r="E31"/>
      <c r="F31"/>
      <c r="G31"/>
      <c r="H31"/>
    </row>
    <row r="32" spans="2:8" ht="15.75">
      <c r="B32" s="8"/>
      <c r="C32"/>
      <c r="D32"/>
      <c r="E32"/>
      <c r="F32"/>
      <c r="G32"/>
      <c r="H32"/>
    </row>
    <row r="33" spans="2:8" ht="15.75">
      <c r="B33"/>
      <c r="C33"/>
      <c r="D33"/>
      <c r="E33" s="669" t="s">
        <v>141</v>
      </c>
      <c r="F33" s="669"/>
      <c r="G33" s="669"/>
      <c r="H33" s="669"/>
    </row>
    <row r="34" spans="2:8" ht="15.75">
      <c r="B34"/>
      <c r="C34"/>
      <c r="D34"/>
      <c r="E34" s="669" t="s">
        <v>144</v>
      </c>
      <c r="F34" s="669"/>
      <c r="G34" s="669"/>
      <c r="H34" s="669"/>
    </row>
    <row r="35" spans="2:8" ht="15.75">
      <c r="B35" s="8"/>
      <c r="C35"/>
      <c r="D35"/>
      <c r="E35" s="669"/>
      <c r="F35" s="669"/>
      <c r="G35" s="669"/>
      <c r="H35" s="669"/>
    </row>
    <row r="36" spans="2:8" ht="15.75">
      <c r="B36"/>
      <c r="C36"/>
      <c r="D36"/>
      <c r="E36" s="669" t="s">
        <v>141</v>
      </c>
      <c r="F36" s="669"/>
      <c r="G36" s="669"/>
      <c r="H36" s="669"/>
    </row>
    <row r="37" spans="2:8" ht="15.75">
      <c r="B37"/>
      <c r="C37"/>
      <c r="D37"/>
      <c r="E37" s="669" t="s">
        <v>145</v>
      </c>
      <c r="F37" s="669"/>
      <c r="G37" s="669"/>
      <c r="H37" s="669"/>
    </row>
    <row r="38" spans="2:8" ht="15.75">
      <c r="B38" s="8"/>
      <c r="C38"/>
      <c r="D38"/>
      <c r="E38" s="669"/>
      <c r="F38" s="669"/>
      <c r="G38" s="669"/>
      <c r="H38" s="669"/>
    </row>
    <row r="39" spans="2:8" ht="15.75">
      <c r="B39"/>
      <c r="C39"/>
      <c r="D39"/>
      <c r="E39" s="669" t="s">
        <v>141</v>
      </c>
      <c r="F39" s="669"/>
      <c r="G39" s="669"/>
      <c r="H39" s="669"/>
    </row>
    <row r="40" spans="2:8" ht="15.75">
      <c r="B40"/>
      <c r="C40"/>
      <c r="D40"/>
      <c r="E40" s="669" t="s">
        <v>146</v>
      </c>
      <c r="F40" s="669"/>
      <c r="G40" s="669"/>
      <c r="H40" s="66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2"/>
      <c r="F46" s="662"/>
      <c r="G46" s="662"/>
      <c r="H46" s="662"/>
    </row>
    <row r="47" spans="2:8" ht="15.75">
      <c r="B47" s="3"/>
      <c r="E47" s="662"/>
      <c r="F47" s="662"/>
      <c r="G47" s="662"/>
      <c r="H47" s="662"/>
    </row>
    <row r="48" spans="5:8" ht="15.75">
      <c r="E48" s="662"/>
      <c r="F48" s="662"/>
      <c r="G48" s="662"/>
      <c r="H48" s="662"/>
    </row>
    <row r="49" spans="5:8" ht="15.75">
      <c r="E49" s="662"/>
      <c r="F49" s="662"/>
      <c r="G49" s="662"/>
      <c r="H49" s="662"/>
    </row>
    <row r="50" spans="2:8" ht="15.75">
      <c r="B50" s="3"/>
      <c r="E50" s="662"/>
      <c r="F50" s="662"/>
      <c r="G50" s="662"/>
      <c r="H50" s="66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Wesleyan Cem #7</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2014 Neighborhood Revitalization Rebate</v>
      </c>
      <c r="C4" s="675"/>
      <c r="D4" s="675"/>
      <c r="E4" s="658"/>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76" t="str">
        <f>CONCATENATE("",F1-1," July 1 Valuation:")</f>
        <v>2013 July 1 Valuation:</v>
      </c>
      <c r="B16" s="674"/>
      <c r="C16" s="676"/>
      <c r="D16" s="334">
        <f>inputOth!E7</f>
        <v>1025802</v>
      </c>
      <c r="E16" s="18"/>
      <c r="F16" s="54"/>
    </row>
    <row r="17" spans="1:6" ht="15.75">
      <c r="A17" s="18"/>
      <c r="B17" s="18"/>
      <c r="C17" s="18"/>
      <c r="D17" s="18"/>
      <c r="E17" s="18"/>
      <c r="F17" s="54"/>
    </row>
    <row r="18" spans="1:6" ht="15.75">
      <c r="A18" s="18"/>
      <c r="B18" s="676" t="s">
        <v>329</v>
      </c>
      <c r="C18" s="676"/>
      <c r="D18" s="335">
        <f>IF(D16&gt;0,(D16*0.001),"")</f>
        <v>1025.8020000000001</v>
      </c>
      <c r="E18" s="18"/>
      <c r="F18" s="54"/>
    </row>
    <row r="19" spans="1:6" ht="15.75">
      <c r="A19" s="18"/>
      <c r="B19" s="145"/>
      <c r="C19" s="145"/>
      <c r="D19" s="336"/>
      <c r="E19" s="18"/>
      <c r="F19" s="54"/>
    </row>
    <row r="20" spans="1:6" ht="15.75">
      <c r="A20" s="673" t="s">
        <v>327</v>
      </c>
      <c r="B20" s="658"/>
      <c r="C20" s="658"/>
      <c r="D20" s="337">
        <f>inputOth!E12</f>
        <v>0</v>
      </c>
      <c r="E20" s="64"/>
      <c r="F20" s="64"/>
    </row>
    <row r="21" spans="1:6" ht="15">
      <c r="A21" s="64"/>
      <c r="B21" s="64"/>
      <c r="C21" s="64"/>
      <c r="D21" s="338"/>
      <c r="E21" s="64"/>
      <c r="F21" s="64"/>
    </row>
    <row r="22" spans="1:6" ht="15.75">
      <c r="A22" s="64"/>
      <c r="B22" s="673" t="s">
        <v>328</v>
      </c>
      <c r="C22" s="674"/>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4">
      <selection activeCell="E56" sqref="E5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2500</v>
      </c>
      <c r="E19" s="37">
        <v>1359</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1359</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2500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1.49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1.49</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1299</v>
      </c>
    </row>
    <row r="45" spans="1:5" ht="15.75">
      <c r="A45" s="51" t="str">
        <f>CONCATENATE("Assessed Valuation (",D6-2," budget column)")</f>
        <v>Assessed Valuation (2012 budget column)</v>
      </c>
      <c r="B45" s="29"/>
      <c r="C45" s="18"/>
      <c r="D45" s="18"/>
      <c r="E45" s="53">
        <v>872376</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9" sqref="E2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Wesleyan Cem #7</v>
      </c>
      <c r="B1" s="62"/>
      <c r="C1" s="62"/>
      <c r="D1" s="62"/>
      <c r="E1" s="62">
        <f>inputPrYr!D6</f>
        <v>2014</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1025802</v>
      </c>
    </row>
    <row r="8" spans="1:5" ht="15.75">
      <c r="A8" s="68" t="str">
        <f>CONCATENATE("New Improvements for ",inputPrYr!D6-1,"")</f>
        <v>New Improvements for 2013</v>
      </c>
      <c r="B8" s="69"/>
      <c r="C8" s="69"/>
      <c r="D8" s="69"/>
      <c r="E8" s="70">
        <v>0</v>
      </c>
    </row>
    <row r="9" spans="1:5" ht="15.75">
      <c r="A9" s="68" t="str">
        <f>CONCATENATE("Personal Property excluding oil, gas, and mobile homes- ",inputPrYr!D6-1,"")</f>
        <v>Personal Property excluding oil, gas, and mobile homes- 2013</v>
      </c>
      <c r="B9" s="69"/>
      <c r="C9" s="69"/>
      <c r="D9" s="69"/>
      <c r="E9" s="70">
        <v>5926</v>
      </c>
    </row>
    <row r="10" spans="1:5" ht="15.75">
      <c r="A10" s="68" t="str">
        <f>CONCATENATE("Property that has changed in use for ",inputPrYr!D6-1,"")</f>
        <v>Property that has changed in use for 2013</v>
      </c>
      <c r="B10" s="69"/>
      <c r="C10" s="69"/>
      <c r="D10" s="69"/>
      <c r="E10" s="70">
        <v>0</v>
      </c>
    </row>
    <row r="11" spans="1:5" ht="15.75">
      <c r="A11" s="67" t="str">
        <f>CONCATENATE("Personal Property excluding oil, gas, and mobile homes- ",inputPrYr!D6-2,"")</f>
        <v>Personal Property excluding oil, gas, and mobile homes- 2012</v>
      </c>
      <c r="B11" s="42"/>
      <c r="C11" s="42"/>
      <c r="D11" s="42"/>
      <c r="E11" s="70">
        <v>7168</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1.38359</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1.38359</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982227</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66.41</v>
      </c>
    </row>
    <row r="28" spans="1:5" ht="15.75">
      <c r="A28" s="68" t="s">
        <v>15</v>
      </c>
      <c r="B28" s="69"/>
      <c r="C28" s="69"/>
      <c r="D28" s="86"/>
      <c r="E28" s="37">
        <v>0</v>
      </c>
    </row>
    <row r="29" spans="1:5" ht="15.75">
      <c r="A29" s="68" t="s">
        <v>176</v>
      </c>
      <c r="B29" s="69"/>
      <c r="C29" s="69"/>
      <c r="D29" s="86"/>
      <c r="E29" s="37">
        <v>9.5</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1700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2014</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Wesleyan Cem #7</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2014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2013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2000</v>
      </c>
      <c r="F23" s="124">
        <f>IF(gen!$E$57&lt;&gt;0,gen!$E$57,"  ")</f>
        <v>2103.46</v>
      </c>
      <c r="G23" s="125">
        <f>IF(AND(gen!E57=0,$G$32&gt;=0)," ",IF(AND(F23&gt;0,$G$32=0)," ",IF(AND(F23&gt;0,$G$32&gt;0),ROUND(F23/$G$32*1000,3))))</f>
        <v>2.051</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2000</v>
      </c>
      <c r="F30" s="415">
        <f>SUM(F23:F28)</f>
        <v>2103.46</v>
      </c>
      <c r="G30" s="419">
        <f>IF(SUM(G23:G28)=0,"",SUM(G23:G28))</f>
        <v>2.051</v>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v>1025544</v>
      </c>
    </row>
    <row r="33" spans="1:7" ht="15.75">
      <c r="A33" s="143" t="s">
        <v>204</v>
      </c>
      <c r="B33" s="69"/>
      <c r="C33" s="119"/>
      <c r="D33" s="138">
        <f>IF(Resolution!E45=0,"",Resolution!E45)</f>
      </c>
      <c r="E33" s="62"/>
      <c r="F33" s="71"/>
      <c r="G33" s="621" t="str">
        <f>CONCATENATE("Nov. 1, ",G3," Total Assessed Valuation")</f>
        <v>Nov. 1, 2014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Wesleyan Cem #7</v>
      </c>
      <c r="D1" s="18"/>
      <c r="E1" s="18"/>
      <c r="F1" s="18"/>
      <c r="G1" s="18"/>
      <c r="H1" s="18"/>
      <c r="I1" s="18"/>
      <c r="J1" s="18">
        <f>inputPrYr!D6</f>
        <v>2014</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2014</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1359</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1359</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5926</v>
      </c>
      <c r="F14" s="156"/>
      <c r="G14" s="39"/>
      <c r="H14" s="39"/>
      <c r="I14" s="159"/>
      <c r="J14" s="39"/>
    </row>
    <row r="15" spans="1:10" ht="15.75">
      <c r="A15" s="155"/>
      <c r="B15" s="18" t="s">
        <v>102</v>
      </c>
      <c r="C15" s="18" t="str">
        <f>CONCATENATE("Personal Property ",J1-2,"")</f>
        <v>Personal Property 2012</v>
      </c>
      <c r="D15" s="155" t="s">
        <v>98</v>
      </c>
      <c r="E15" s="43">
        <f>inputOth!E11</f>
        <v>7168</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1025802</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1025802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1359</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1359</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Wesleyan Cem #7</v>
      </c>
      <c r="C1" s="18"/>
      <c r="D1" s="18"/>
      <c r="E1" s="18"/>
      <c r="F1" s="18"/>
      <c r="G1" s="18"/>
      <c r="H1" s="18"/>
      <c r="I1" s="165"/>
      <c r="J1" s="18"/>
    </row>
    <row r="2" spans="1:10" ht="15.75">
      <c r="A2" s="18"/>
      <c r="B2" s="18" t="str">
        <f>inputPrYr!D4</f>
        <v>Clay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7" t="str">
        <f>CONCATENATE("Allocation for Year ",J2,"")</f>
        <v>Allocation for Year 2014</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1359</v>
      </c>
      <c r="D11" s="128">
        <f>IF(E17=0,0,E17-D12-D13-D14)</f>
        <v>66.41</v>
      </c>
      <c r="E11" s="128">
        <f>IF(E19=0,0,E19-E12-E13-E14)</f>
        <v>0</v>
      </c>
      <c r="F11" s="128">
        <f>IF(E21=0,0,E21-F12-F13-F14)</f>
        <v>9.5</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1359</v>
      </c>
      <c r="D15" s="137">
        <f>SUM(D11:D14)</f>
        <v>66.41</v>
      </c>
      <c r="E15" s="137">
        <f>SUM(E11:E14)</f>
        <v>0</v>
      </c>
      <c r="F15" s="137">
        <f>SUM(F11:F14)</f>
        <v>9.5</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66.41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9.5</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0.04886681383370125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0.006990434142752024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Wesleyan Cem #7</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2013-08-02T19:12:54Z</cp:lastPrinted>
  <dcterms:created xsi:type="dcterms:W3CDTF">1999-08-06T13:59:57Z</dcterms:created>
  <dcterms:modified xsi:type="dcterms:W3CDTF">2013-11-07T16:38:30Z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