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hisWorkbook" defaultThemeVersion="124226"/>
  <bookViews>
    <workbookView xWindow="-15" yWindow="-15" windowWidth="9630" windowHeight="2715" tabRatio="805" firstSheet="17" activeTab="24"/>
  </bookViews>
  <sheets>
    <sheet name="inputPrYr" sheetId="2" r:id="rId1"/>
    <sheet name="inputOth" sheetId="43" r:id="rId2"/>
    <sheet name="inputBudSum" sheetId="57" r:id="rId3"/>
    <sheet name="cert" sheetId="3" r:id="rId4"/>
    <sheet name="computation" sheetId="33" r:id="rId5"/>
    <sheet name="mvalloc" sheetId="38" r:id="rId6"/>
    <sheet name="transfers" sheetId="6" r:id="rId7"/>
    <sheet name="debt" sheetId="29" r:id="rId8"/>
    <sheet name="lpform" sheetId="30" r:id="rId9"/>
    <sheet name="general" sheetId="8" r:id="rId10"/>
    <sheet name="gen-detail" sheetId="9" r:id="rId11"/>
    <sheet name="road" sheetId="44" r:id="rId12"/>
    <sheet name="NoxWeed  EmpBenefits" sheetId="10" r:id="rId13"/>
    <sheet name="Health  Hospital" sheetId="12" r:id="rId14"/>
    <sheet name="SpDrug  SpParks" sheetId="22" r:id="rId15"/>
    <sheet name="NoxWeedCO  911Emergency" sheetId="23" r:id="rId16"/>
    <sheet name="911Wireless  EdwardCo911" sheetId="24" r:id="rId17"/>
    <sheet name="Blank Page" sheetId="60" r:id="rId18"/>
    <sheet name="Blank Page 2" sheetId="25" r:id="rId19"/>
    <sheet name="nonbudA" sheetId="45" r:id="rId20"/>
    <sheet name="nonbudB" sheetId="46" r:id="rId21"/>
    <sheet name="nonbudC" sheetId="47" r:id="rId22"/>
    <sheet name="summ" sheetId="27" r:id="rId23"/>
    <sheet name="Nhood" sheetId="49" r:id="rId24"/>
    <sheet name="Resolution" sheetId="39" r:id="rId25"/>
  </sheets>
  <definedNames>
    <definedName name="_xlnm.Print_Area" localSheetId="16">'911Wireless  EdwardCo911'!$B$1:$E$66</definedName>
    <definedName name="_xlnm.Print_Area" localSheetId="17">'Blank Page'!$B$1:$E$66</definedName>
    <definedName name="_xlnm.Print_Area" localSheetId="18">'Blank Page 2'!$B$1:$E$66</definedName>
    <definedName name="_xlnm.Print_Area" localSheetId="4">computation!$A$1:$J$38</definedName>
    <definedName name="_xlnm.Print_Area" localSheetId="10">'gen-detail'!$A$1:$D$320</definedName>
    <definedName name="_xlnm.Print_Area" localSheetId="9">general!$B$1:$E$119</definedName>
    <definedName name="_xlnm.Print_Area" localSheetId="13">'Health  Hospital'!$B$1:$E$70</definedName>
    <definedName name="_xlnm.Print_Area" localSheetId="2">inputBudSum!$A$1:$J$23</definedName>
    <definedName name="_xlnm.Print_Area" localSheetId="1">inputOth!$A$1:$E$52</definedName>
    <definedName name="_xlnm.Print_Area" localSheetId="0">inputPrYr!$A$1:$I$131</definedName>
    <definedName name="_xlnm.Print_Area" localSheetId="12">'NoxWeed  EmpBenefits'!$B$1:$E$76</definedName>
    <definedName name="_xlnm.Print_Area" localSheetId="15">'NoxWeedCO  911Emergency'!$B$1:$E$66</definedName>
    <definedName name="_xlnm.Print_Area" localSheetId="11">road!$B$1:$E$106</definedName>
    <definedName name="_xlnm.Print_Area" localSheetId="14">'SpDrug  SpParks'!$B$1:$E$66</definedName>
    <definedName name="_xlnm.Print_Area" localSheetId="22">summ!$A$1:$H$51</definedName>
  </definedNames>
  <calcPr calcId="145621"/>
</workbook>
</file>

<file path=xl/calcChain.xml><?xml version="1.0" encoding="utf-8"?>
<calcChain xmlns="http://schemas.openxmlformats.org/spreadsheetml/2006/main">
  <c r="E24" i="12" l="1"/>
  <c r="E66" i="44"/>
  <c r="E67" i="44"/>
  <c r="D71" i="9"/>
  <c r="B37" i="60"/>
  <c r="B6" i="60"/>
  <c r="D62" i="60"/>
  <c r="C62" i="60"/>
  <c r="E60" i="60"/>
  <c r="E59" i="60" s="1"/>
  <c r="D60" i="60"/>
  <c r="C60" i="60"/>
  <c r="D59" i="60"/>
  <c r="E46" i="60"/>
  <c r="E45" i="60" s="1"/>
  <c r="D46" i="60"/>
  <c r="D45" i="60" s="1"/>
  <c r="C46" i="60"/>
  <c r="C47" i="60" s="1"/>
  <c r="C61" i="60" s="1"/>
  <c r="D31" i="60"/>
  <c r="C31" i="60"/>
  <c r="E29" i="60"/>
  <c r="D29" i="60"/>
  <c r="C29" i="60"/>
  <c r="E15" i="60"/>
  <c r="D15" i="60"/>
  <c r="C15" i="60"/>
  <c r="C16" i="60" s="1"/>
  <c r="D14" i="60"/>
  <c r="E5" i="60"/>
  <c r="E36" i="60" s="1"/>
  <c r="D5" i="60"/>
  <c r="D36" i="60" s="1"/>
  <c r="C5" i="60"/>
  <c r="C36" i="60" s="1"/>
  <c r="E1" i="60"/>
  <c r="B62" i="60" s="1"/>
  <c r="B1" i="60"/>
  <c r="C106" i="44"/>
  <c r="B80" i="8"/>
  <c r="B50" i="9"/>
  <c r="B42" i="9"/>
  <c r="B35" i="9"/>
  <c r="B27" i="9"/>
  <c r="B20" i="9"/>
  <c r="B13" i="9"/>
  <c r="D147" i="9"/>
  <c r="E80" i="8" s="1"/>
  <c r="C147" i="9"/>
  <c r="D80" i="8" s="1"/>
  <c r="B147" i="9"/>
  <c r="C80" i="8" s="1"/>
  <c r="J28" i="12"/>
  <c r="J27" i="12"/>
  <c r="J28" i="10"/>
  <c r="J27" i="10"/>
  <c r="J99" i="44"/>
  <c r="J98" i="44"/>
  <c r="E39" i="10"/>
  <c r="D39" i="10"/>
  <c r="C39" i="10"/>
  <c r="D39" i="12"/>
  <c r="D68" i="12"/>
  <c r="D74" i="10"/>
  <c r="D36" i="10"/>
  <c r="D103" i="44"/>
  <c r="H40" i="2"/>
  <c r="H39" i="2"/>
  <c r="H38" i="2"/>
  <c r="H37" i="2"/>
  <c r="H36" i="2"/>
  <c r="H35" i="2"/>
  <c r="H34" i="2"/>
  <c r="H33" i="2"/>
  <c r="H32" i="2"/>
  <c r="H31" i="2"/>
  <c r="H30" i="2"/>
  <c r="H29" i="2"/>
  <c r="H28" i="2"/>
  <c r="H27" i="2"/>
  <c r="H26" i="2"/>
  <c r="H25" i="2"/>
  <c r="H24" i="2"/>
  <c r="H23" i="2"/>
  <c r="H22" i="2"/>
  <c r="D46" i="12" s="1"/>
  <c r="D55" i="12" s="1"/>
  <c r="D54" i="12" s="1"/>
  <c r="H21" i="2"/>
  <c r="D8" i="12" s="1"/>
  <c r="D19" i="12" s="1"/>
  <c r="D18" i="12" s="1"/>
  <c r="H20" i="2"/>
  <c r="D43" i="10" s="1"/>
  <c r="D52" i="10" s="1"/>
  <c r="D51" i="10" s="1"/>
  <c r="H19" i="2"/>
  <c r="D8" i="10" s="1"/>
  <c r="D17" i="10" s="1"/>
  <c r="D16" i="10" s="1"/>
  <c r="H18" i="2"/>
  <c r="D8" i="44" s="1"/>
  <c r="D52" i="44" s="1"/>
  <c r="D51" i="44" s="1"/>
  <c r="H17" i="2"/>
  <c r="H16" i="2"/>
  <c r="D8" i="8" s="1"/>
  <c r="D53" i="8" s="1"/>
  <c r="D52" i="8" s="1"/>
  <c r="A49" i="27"/>
  <c r="G20" i="57"/>
  <c r="G22" i="57" s="1"/>
  <c r="D116" i="8"/>
  <c r="C64" i="12"/>
  <c r="D64" i="12"/>
  <c r="C35" i="12"/>
  <c r="D35" i="12"/>
  <c r="C70" i="10"/>
  <c r="D70" i="10"/>
  <c r="C32" i="10"/>
  <c r="D32" i="10"/>
  <c r="C99" i="44"/>
  <c r="D99" i="44"/>
  <c r="C112" i="8"/>
  <c r="D112" i="8"/>
  <c r="A6" i="27"/>
  <c r="A8" i="27"/>
  <c r="D33" i="49"/>
  <c r="D35" i="49" s="1"/>
  <c r="D10" i="49" s="1"/>
  <c r="A124" i="2"/>
  <c r="A123" i="2"/>
  <c r="D94" i="2"/>
  <c r="A1" i="43"/>
  <c r="A2" i="6"/>
  <c r="B1" i="30"/>
  <c r="B1" i="29"/>
  <c r="A1" i="45"/>
  <c r="A1" i="46"/>
  <c r="A1" i="47"/>
  <c r="A5" i="27"/>
  <c r="C52" i="44"/>
  <c r="C53" i="44" s="1"/>
  <c r="C62" i="44" s="1"/>
  <c r="C17" i="10"/>
  <c r="C18" i="10" s="1"/>
  <c r="C30" i="10"/>
  <c r="G37" i="10" s="1"/>
  <c r="D30" i="10"/>
  <c r="D18" i="27" s="1"/>
  <c r="C33" i="12"/>
  <c r="G37" i="12" s="1"/>
  <c r="C19" i="12"/>
  <c r="C20" i="12" s="1"/>
  <c r="D33" i="12"/>
  <c r="D20" i="27" s="1"/>
  <c r="C52" i="10"/>
  <c r="C53" i="10" s="1"/>
  <c r="C68" i="10"/>
  <c r="G74" i="10" s="1"/>
  <c r="D68" i="10"/>
  <c r="D67" i="10" s="1"/>
  <c r="C55" i="12"/>
  <c r="C56" i="12" s="1"/>
  <c r="C62" i="12"/>
  <c r="G72" i="12" s="1"/>
  <c r="D62" i="12"/>
  <c r="E1" i="8"/>
  <c r="C5" i="8" s="1"/>
  <c r="C6" i="22" s="1"/>
  <c r="C37" i="22" s="1"/>
  <c r="D42" i="12"/>
  <c r="C42" i="12"/>
  <c r="E1" i="44"/>
  <c r="C104" i="44" s="1"/>
  <c r="C53" i="8"/>
  <c r="C54" i="8" s="1"/>
  <c r="E57" i="8"/>
  <c r="E61" i="8" s="1"/>
  <c r="E1" i="10"/>
  <c r="B70" i="10" s="1"/>
  <c r="E1" i="12"/>
  <c r="C69" i="12" s="1"/>
  <c r="B1" i="12"/>
  <c r="B1" i="10"/>
  <c r="B1" i="44"/>
  <c r="B57" i="44"/>
  <c r="A261" i="9"/>
  <c r="A180" i="9"/>
  <c r="A110" i="9"/>
  <c r="A56" i="9"/>
  <c r="A1" i="9"/>
  <c r="B1" i="8"/>
  <c r="B57" i="8"/>
  <c r="E1" i="22"/>
  <c r="B62" i="22" s="1"/>
  <c r="E1" i="23"/>
  <c r="B31" i="23" s="1"/>
  <c r="E1" i="24"/>
  <c r="B31" i="24" s="1"/>
  <c r="E1" i="25"/>
  <c r="B31" i="25" s="1"/>
  <c r="B1" i="22"/>
  <c r="B1" i="23"/>
  <c r="B1" i="24"/>
  <c r="B1" i="25"/>
  <c r="C62" i="25"/>
  <c r="D62" i="25"/>
  <c r="C31" i="25"/>
  <c r="D31" i="25"/>
  <c r="C62" i="24"/>
  <c r="D62" i="24"/>
  <c r="C31" i="24"/>
  <c r="D31" i="24"/>
  <c r="C62" i="23"/>
  <c r="D62" i="23"/>
  <c r="C31" i="23"/>
  <c r="D31" i="23"/>
  <c r="D31" i="22"/>
  <c r="C31" i="22"/>
  <c r="D62" i="22"/>
  <c r="C62" i="22"/>
  <c r="C60" i="22"/>
  <c r="C46" i="22"/>
  <c r="C47" i="22" s="1"/>
  <c r="D60" i="22"/>
  <c r="D23" i="27" s="1"/>
  <c r="D46" i="22"/>
  <c r="D45" i="22" s="1"/>
  <c r="E46" i="22"/>
  <c r="E45" i="22" s="1"/>
  <c r="E60" i="22"/>
  <c r="F23" i="27" s="1"/>
  <c r="C60" i="23"/>
  <c r="C63" i="23" s="1"/>
  <c r="C46" i="23"/>
  <c r="C47" i="23" s="1"/>
  <c r="D60" i="23"/>
  <c r="D59" i="23" s="1"/>
  <c r="D46" i="23"/>
  <c r="E46" i="23"/>
  <c r="E45" i="23" s="1"/>
  <c r="E60" i="23"/>
  <c r="F25" i="27" s="1"/>
  <c r="C46" i="24"/>
  <c r="C47" i="24" s="1"/>
  <c r="C60" i="24"/>
  <c r="C59" i="24" s="1"/>
  <c r="D60" i="24"/>
  <c r="D27" i="27" s="1"/>
  <c r="D46" i="24"/>
  <c r="E46" i="24"/>
  <c r="E45" i="24" s="1"/>
  <c r="E60" i="24"/>
  <c r="C60" i="25"/>
  <c r="C46" i="25"/>
  <c r="C47" i="25" s="1"/>
  <c r="D60" i="25"/>
  <c r="D59" i="25" s="1"/>
  <c r="D46" i="25"/>
  <c r="D45" i="25" s="1"/>
  <c r="E46" i="25"/>
  <c r="E45" i="25" s="1"/>
  <c r="E60" i="25"/>
  <c r="E59" i="25" s="1"/>
  <c r="C29" i="22"/>
  <c r="C28" i="22" s="1"/>
  <c r="C15" i="22"/>
  <c r="C16" i="22" s="1"/>
  <c r="D29" i="22"/>
  <c r="D22" i="27" s="1"/>
  <c r="D15" i="22"/>
  <c r="E15" i="22"/>
  <c r="E14" i="22" s="1"/>
  <c r="E29" i="22"/>
  <c r="F22" i="27" s="1"/>
  <c r="C29" i="23"/>
  <c r="D29" i="23"/>
  <c r="D24" i="27" s="1"/>
  <c r="E29" i="23"/>
  <c r="E28" i="23" s="1"/>
  <c r="C29" i="24"/>
  <c r="C28" i="24" s="1"/>
  <c r="C15" i="24"/>
  <c r="C16" i="24" s="1"/>
  <c r="D29" i="24"/>
  <c r="D32" i="24" s="1"/>
  <c r="D15" i="24"/>
  <c r="D14" i="24" s="1"/>
  <c r="E15" i="24"/>
  <c r="E14" i="24" s="1"/>
  <c r="E29" i="24"/>
  <c r="F26" i="27" s="1"/>
  <c r="C29" i="25"/>
  <c r="B28" i="27" s="1"/>
  <c r="D29" i="25"/>
  <c r="E29" i="25"/>
  <c r="F28" i="27" s="1"/>
  <c r="A39" i="39"/>
  <c r="A29" i="39"/>
  <c r="A28" i="39"/>
  <c r="A25" i="39" s="1"/>
  <c r="A20" i="39"/>
  <c r="A10" i="39"/>
  <c r="A6" i="39"/>
  <c r="A1" i="49"/>
  <c r="B1" i="38"/>
  <c r="C1" i="33"/>
  <c r="A6" i="3"/>
  <c r="A4" i="3"/>
  <c r="A94" i="2"/>
  <c r="D59" i="2"/>
  <c r="A59" i="2"/>
  <c r="A41" i="2"/>
  <c r="D14" i="2"/>
  <c r="F1" i="49"/>
  <c r="A33" i="49" s="1"/>
  <c r="J17" i="47"/>
  <c r="J18" i="47" s="1"/>
  <c r="J28" i="47"/>
  <c r="H28" i="47"/>
  <c r="H17" i="47"/>
  <c r="H18" i="47" s="1"/>
  <c r="F17" i="47"/>
  <c r="F18" i="47" s="1"/>
  <c r="F28" i="47"/>
  <c r="D17" i="47"/>
  <c r="D18" i="47" s="1"/>
  <c r="D28" i="47"/>
  <c r="B17" i="47"/>
  <c r="B18" i="47" s="1"/>
  <c r="B28" i="47"/>
  <c r="J17" i="46"/>
  <c r="J18" i="46" s="1"/>
  <c r="J28" i="46"/>
  <c r="H17" i="46"/>
  <c r="H18" i="46" s="1"/>
  <c r="H28" i="46"/>
  <c r="F17" i="46"/>
  <c r="F18" i="46" s="1"/>
  <c r="F28" i="46"/>
  <c r="D17" i="46"/>
  <c r="D18" i="46" s="1"/>
  <c r="D28" i="46"/>
  <c r="B17" i="46"/>
  <c r="B18" i="46" s="1"/>
  <c r="B28" i="46"/>
  <c r="J17" i="45"/>
  <c r="J18" i="45" s="1"/>
  <c r="J28" i="45"/>
  <c r="H17" i="45"/>
  <c r="H18" i="45" s="1"/>
  <c r="H28" i="45"/>
  <c r="F17" i="45"/>
  <c r="F18" i="45" s="1"/>
  <c r="F28" i="45"/>
  <c r="D17" i="45"/>
  <c r="D18" i="45" s="1"/>
  <c r="D28" i="45"/>
  <c r="B28" i="45"/>
  <c r="B17" i="45"/>
  <c r="B18" i="45" s="1"/>
  <c r="F14" i="2"/>
  <c r="E14" i="2"/>
  <c r="H15" i="2" s="1"/>
  <c r="G11" i="33"/>
  <c r="E14" i="33"/>
  <c r="E15" i="33"/>
  <c r="G19" i="33"/>
  <c r="E41" i="2"/>
  <c r="J5" i="33" s="1"/>
  <c r="J6" i="33"/>
  <c r="C31" i="38"/>
  <c r="C7" i="38"/>
  <c r="C8" i="38"/>
  <c r="C9" i="38"/>
  <c r="C10" i="38"/>
  <c r="C11" i="38"/>
  <c r="C12" i="38"/>
  <c r="C13" i="38"/>
  <c r="C14" i="38"/>
  <c r="C15" i="38"/>
  <c r="C16" i="38"/>
  <c r="C17" i="38"/>
  <c r="C18" i="38"/>
  <c r="C19" i="38"/>
  <c r="C20" i="38"/>
  <c r="C21" i="38"/>
  <c r="C22" i="38"/>
  <c r="C23" i="38"/>
  <c r="C24" i="38"/>
  <c r="C25" i="38"/>
  <c r="C26" i="38"/>
  <c r="C27" i="38"/>
  <c r="C28" i="38"/>
  <c r="C29" i="38"/>
  <c r="C30" i="38"/>
  <c r="K1" i="47"/>
  <c r="F2" i="47" s="1"/>
  <c r="K1" i="46"/>
  <c r="F2" i="46" s="1"/>
  <c r="K1" i="45"/>
  <c r="F2" i="45" s="1"/>
  <c r="E1" i="43"/>
  <c r="A22" i="43" s="1"/>
  <c r="C43" i="3"/>
  <c r="C42" i="3"/>
  <c r="D29" i="49"/>
  <c r="E29" i="49"/>
  <c r="D28" i="49"/>
  <c r="E28" i="49"/>
  <c r="D27" i="49"/>
  <c r="E27" i="49"/>
  <c r="D26" i="49"/>
  <c r="E26" i="49"/>
  <c r="D25" i="49"/>
  <c r="E25" i="49"/>
  <c r="D24" i="49"/>
  <c r="E24" i="49"/>
  <c r="D23" i="49"/>
  <c r="E23" i="49"/>
  <c r="D22" i="49"/>
  <c r="E22" i="49"/>
  <c r="D21" i="49"/>
  <c r="E21" i="49"/>
  <c r="D20" i="49"/>
  <c r="E20" i="49"/>
  <c r="D19" i="49"/>
  <c r="E19" i="49"/>
  <c r="D18" i="49"/>
  <c r="E18" i="49"/>
  <c r="D17" i="49"/>
  <c r="E17" i="49"/>
  <c r="D16" i="49"/>
  <c r="E16" i="49"/>
  <c r="D15" i="49"/>
  <c r="E15" i="49"/>
  <c r="D14" i="49"/>
  <c r="E14" i="49"/>
  <c r="D13" i="49"/>
  <c r="E13" i="49"/>
  <c r="D12" i="49"/>
  <c r="E12" i="49"/>
  <c r="D11" i="49"/>
  <c r="D9" i="49"/>
  <c r="D7" i="49"/>
  <c r="D37" i="49"/>
  <c r="D39" i="49" s="1"/>
  <c r="C22" i="3"/>
  <c r="D94" i="8"/>
  <c r="D25" i="27"/>
  <c r="D26" i="27"/>
  <c r="C64" i="8"/>
  <c r="C94" i="8"/>
  <c r="B19" i="27"/>
  <c r="B24" i="27"/>
  <c r="B27" i="27"/>
  <c r="E34" i="38"/>
  <c r="F36" i="38"/>
  <c r="G38" i="38"/>
  <c r="E14" i="8"/>
  <c r="E15" i="8"/>
  <c r="E13" i="8"/>
  <c r="E94" i="8"/>
  <c r="J1" i="33"/>
  <c r="B19" i="33" s="1"/>
  <c r="A7" i="39"/>
  <c r="A9" i="39"/>
  <c r="B6" i="49"/>
  <c r="B7" i="49"/>
  <c r="B8" i="49"/>
  <c r="B9" i="49"/>
  <c r="B10" i="49"/>
  <c r="B11" i="49"/>
  <c r="B12" i="49"/>
  <c r="B13" i="49"/>
  <c r="B14" i="49"/>
  <c r="B15" i="49"/>
  <c r="B16" i="49"/>
  <c r="B17" i="49"/>
  <c r="B18" i="49"/>
  <c r="B19" i="49"/>
  <c r="B20" i="49"/>
  <c r="B21" i="49"/>
  <c r="B22" i="49"/>
  <c r="B23" i="49"/>
  <c r="B24" i="49"/>
  <c r="B25" i="49"/>
  <c r="B26" i="49"/>
  <c r="B27" i="49"/>
  <c r="B28" i="49"/>
  <c r="B29" i="49"/>
  <c r="C30" i="49"/>
  <c r="H1" i="27"/>
  <c r="F13" i="27" s="1"/>
  <c r="A16" i="27"/>
  <c r="C16" i="27"/>
  <c r="E16" i="27"/>
  <c r="F38" i="27"/>
  <c r="M33" i="27" s="1"/>
  <c r="A17" i="27"/>
  <c r="C17" i="27"/>
  <c r="E17" i="27"/>
  <c r="G114" i="44" s="1"/>
  <c r="A18" i="27"/>
  <c r="C18" i="27"/>
  <c r="E18" i="27"/>
  <c r="G43" i="10" s="1"/>
  <c r="A19" i="27"/>
  <c r="C19" i="27"/>
  <c r="E19" i="27"/>
  <c r="G80" i="10" s="1"/>
  <c r="A20" i="27"/>
  <c r="C20" i="27"/>
  <c r="E20" i="27"/>
  <c r="G43" i="12" s="1"/>
  <c r="A21" i="27"/>
  <c r="C21" i="27"/>
  <c r="E21" i="27"/>
  <c r="G78" i="12" s="1"/>
  <c r="A22" i="27"/>
  <c r="A23" i="27"/>
  <c r="A24" i="27"/>
  <c r="F24" i="27"/>
  <c r="A25" i="27"/>
  <c r="A26" i="27"/>
  <c r="A27" i="27"/>
  <c r="F27" i="27"/>
  <c r="A28" i="27"/>
  <c r="A29" i="27"/>
  <c r="A30" i="27"/>
  <c r="A31" i="27"/>
  <c r="C27" i="6"/>
  <c r="C29" i="6" s="1"/>
  <c r="B35" i="27" s="1"/>
  <c r="D27" i="6"/>
  <c r="D29" i="6" s="1"/>
  <c r="D35" i="27" s="1"/>
  <c r="E27" i="6"/>
  <c r="E29" i="6" s="1"/>
  <c r="F35" i="27" s="1"/>
  <c r="B37" i="27"/>
  <c r="B38" i="27"/>
  <c r="D38" i="27"/>
  <c r="B42" i="27"/>
  <c r="D42" i="27"/>
  <c r="G19" i="29"/>
  <c r="F42" i="27" s="1"/>
  <c r="B43" i="27"/>
  <c r="D43" i="27"/>
  <c r="G27" i="29"/>
  <c r="F43" i="27" s="1"/>
  <c r="B44" i="27"/>
  <c r="D44" i="27"/>
  <c r="G36" i="29"/>
  <c r="F44" i="27" s="1"/>
  <c r="B45" i="27"/>
  <c r="D45" i="27"/>
  <c r="G37" i="30"/>
  <c r="F45" i="27" s="1"/>
  <c r="A5" i="47"/>
  <c r="C5" i="47"/>
  <c r="E5" i="47"/>
  <c r="G5" i="47"/>
  <c r="I5" i="47"/>
  <c r="K7" i="47"/>
  <c r="A5" i="46"/>
  <c r="C5" i="46"/>
  <c r="E5" i="46"/>
  <c r="G5" i="46"/>
  <c r="I5" i="46"/>
  <c r="K7" i="46"/>
  <c r="A5" i="45"/>
  <c r="C5" i="45"/>
  <c r="E5" i="45"/>
  <c r="G5" i="45"/>
  <c r="I5" i="45"/>
  <c r="K7" i="45"/>
  <c r="C5" i="25"/>
  <c r="C36" i="25" s="1"/>
  <c r="D5" i="25"/>
  <c r="D36" i="25" s="1"/>
  <c r="E5" i="25"/>
  <c r="E36" i="25" s="1"/>
  <c r="B6" i="25"/>
  <c r="C15" i="25"/>
  <c r="C16" i="25" s="1"/>
  <c r="D15" i="25"/>
  <c r="D14" i="25" s="1"/>
  <c r="E15" i="25"/>
  <c r="E14" i="25" s="1"/>
  <c r="D28" i="25"/>
  <c r="B37" i="25"/>
  <c r="C59" i="25"/>
  <c r="C5" i="24"/>
  <c r="C36" i="24" s="1"/>
  <c r="D5" i="24"/>
  <c r="D36" i="24" s="1"/>
  <c r="E5" i="24"/>
  <c r="E36" i="24" s="1"/>
  <c r="B6" i="24"/>
  <c r="B37" i="24"/>
  <c r="D45" i="24"/>
  <c r="D59" i="24"/>
  <c r="E59" i="24"/>
  <c r="C5" i="23"/>
  <c r="C36" i="23" s="1"/>
  <c r="D5" i="23"/>
  <c r="D36" i="23" s="1"/>
  <c r="E5" i="23"/>
  <c r="E36" i="23" s="1"/>
  <c r="B6" i="23"/>
  <c r="C15" i="23"/>
  <c r="C16" i="23" s="1"/>
  <c r="C30" i="23" s="1"/>
  <c r="D15" i="23"/>
  <c r="D14" i="23" s="1"/>
  <c r="E15" i="23"/>
  <c r="E14" i="23" s="1"/>
  <c r="C28" i="23"/>
  <c r="B37" i="23"/>
  <c r="D45" i="23"/>
  <c r="C59" i="23"/>
  <c r="E59" i="23"/>
  <c r="C5" i="22"/>
  <c r="C36" i="22" s="1"/>
  <c r="D5" i="22"/>
  <c r="D36" i="22" s="1"/>
  <c r="E5" i="22"/>
  <c r="E36" i="22" s="1"/>
  <c r="B6" i="22"/>
  <c r="D14" i="22"/>
  <c r="B37" i="22"/>
  <c r="C59" i="22"/>
  <c r="E42" i="12"/>
  <c r="B5" i="12"/>
  <c r="C18" i="12"/>
  <c r="D32" i="12"/>
  <c r="B43" i="12"/>
  <c r="C54" i="12"/>
  <c r="B5" i="10"/>
  <c r="D29" i="10"/>
  <c r="B40" i="10"/>
  <c r="C51" i="10"/>
  <c r="B5" i="44"/>
  <c r="E57" i="44"/>
  <c r="E61" i="44" s="1"/>
  <c r="B61" i="44"/>
  <c r="D1" i="9"/>
  <c r="D56" i="9" s="1"/>
  <c r="B59" i="9"/>
  <c r="C59" i="9"/>
  <c r="D113" i="9"/>
  <c r="C13" i="9"/>
  <c r="D64" i="8" s="1"/>
  <c r="D13" i="9"/>
  <c r="E64" i="8" s="1"/>
  <c r="C65" i="8"/>
  <c r="C20" i="9"/>
  <c r="D65" i="8" s="1"/>
  <c r="D20" i="9"/>
  <c r="E65" i="8" s="1"/>
  <c r="C66" i="8"/>
  <c r="C27" i="9"/>
  <c r="D66" i="8" s="1"/>
  <c r="D27" i="9"/>
  <c r="E66" i="8" s="1"/>
  <c r="C67" i="8"/>
  <c r="C35" i="9"/>
  <c r="D67" i="8" s="1"/>
  <c r="D35" i="9"/>
  <c r="E67" i="8" s="1"/>
  <c r="C68" i="8"/>
  <c r="C42" i="9"/>
  <c r="D68" i="8" s="1"/>
  <c r="D42" i="9"/>
  <c r="E68" i="8" s="1"/>
  <c r="C69" i="8"/>
  <c r="C50" i="9"/>
  <c r="D69" i="8" s="1"/>
  <c r="D50" i="9"/>
  <c r="E69" i="8" s="1"/>
  <c r="B69" i="9"/>
  <c r="C70" i="8" s="1"/>
  <c r="C69" i="9"/>
  <c r="D70" i="8" s="1"/>
  <c r="D69" i="9"/>
  <c r="E70" i="8" s="1"/>
  <c r="B75" i="9"/>
  <c r="C71" i="8" s="1"/>
  <c r="C75" i="9"/>
  <c r="D71" i="8" s="1"/>
  <c r="D75" i="9"/>
  <c r="E71" i="8" s="1"/>
  <c r="D59" i="9"/>
  <c r="B81" i="9"/>
  <c r="C72" i="8" s="1"/>
  <c r="C81" i="9"/>
  <c r="D72" i="8" s="1"/>
  <c r="D81" i="9"/>
  <c r="E72" i="8" s="1"/>
  <c r="B87" i="9"/>
  <c r="C73" i="8" s="1"/>
  <c r="C87" i="9"/>
  <c r="D87" i="9"/>
  <c r="E73" i="8" s="1"/>
  <c r="B93" i="9"/>
  <c r="C74" i="8" s="1"/>
  <c r="C93" i="9"/>
  <c r="D74" i="8" s="1"/>
  <c r="D93" i="9"/>
  <c r="E74" i="8" s="1"/>
  <c r="B99" i="9"/>
  <c r="C75" i="8" s="1"/>
  <c r="C99" i="9"/>
  <c r="D75" i="8" s="1"/>
  <c r="D99" i="9"/>
  <c r="E75" i="8" s="1"/>
  <c r="B105" i="9"/>
  <c r="C76" i="8" s="1"/>
  <c r="C105" i="9"/>
  <c r="D76" i="8" s="1"/>
  <c r="D105" i="9"/>
  <c r="E76" i="8" s="1"/>
  <c r="B122" i="9"/>
  <c r="C77" i="8" s="1"/>
  <c r="C122" i="9"/>
  <c r="D77" i="8" s="1"/>
  <c r="D122" i="9"/>
  <c r="E77" i="8" s="1"/>
  <c r="B129" i="9"/>
  <c r="C78" i="8" s="1"/>
  <c r="C129" i="9"/>
  <c r="D78" i="8" s="1"/>
  <c r="D129" i="9"/>
  <c r="E78" i="8" s="1"/>
  <c r="B136" i="9"/>
  <c r="C79" i="8" s="1"/>
  <c r="C136" i="9"/>
  <c r="D79" i="8" s="1"/>
  <c r="D136" i="9"/>
  <c r="E79" i="8" s="1"/>
  <c r="B113" i="9"/>
  <c r="B140" i="9"/>
  <c r="C140" i="9"/>
  <c r="D140" i="9"/>
  <c r="B153" i="9"/>
  <c r="C81" i="8" s="1"/>
  <c r="C153" i="9"/>
  <c r="D81" i="8" s="1"/>
  <c r="D153" i="9"/>
  <c r="E81" i="8" s="1"/>
  <c r="B159" i="9"/>
  <c r="C82" i="8" s="1"/>
  <c r="C159" i="9"/>
  <c r="D82" i="8" s="1"/>
  <c r="D159" i="9"/>
  <c r="E82" i="8" s="1"/>
  <c r="B169" i="9"/>
  <c r="C83" i="8" s="1"/>
  <c r="C169" i="9"/>
  <c r="D83" i="8" s="1"/>
  <c r="D169" i="9"/>
  <c r="E83" i="8" s="1"/>
  <c r="B175" i="9"/>
  <c r="C84" i="8" s="1"/>
  <c r="C175" i="9"/>
  <c r="D84" i="8" s="1"/>
  <c r="D175" i="9"/>
  <c r="E84" i="8" s="1"/>
  <c r="B192" i="9"/>
  <c r="C85" i="8" s="1"/>
  <c r="C192" i="9"/>
  <c r="D85" i="8" s="1"/>
  <c r="D192" i="9"/>
  <c r="E85" i="8" s="1"/>
  <c r="B198" i="9"/>
  <c r="C86" i="8" s="1"/>
  <c r="C198" i="9"/>
  <c r="D86" i="8" s="1"/>
  <c r="D198" i="9"/>
  <c r="E86" i="8" s="1"/>
  <c r="B204" i="9"/>
  <c r="C87" i="8" s="1"/>
  <c r="C204" i="9"/>
  <c r="D87" i="8" s="1"/>
  <c r="D204" i="9"/>
  <c r="E87" i="8" s="1"/>
  <c r="B210" i="9"/>
  <c r="C88" i="8" s="1"/>
  <c r="C210" i="9"/>
  <c r="D88" i="8" s="1"/>
  <c r="D210" i="9"/>
  <c r="E88" i="8" s="1"/>
  <c r="B216" i="9"/>
  <c r="C89" i="8" s="1"/>
  <c r="C216" i="9"/>
  <c r="D89" i="8" s="1"/>
  <c r="D216" i="9"/>
  <c r="E89" i="8" s="1"/>
  <c r="B222" i="9"/>
  <c r="C90" i="8" s="1"/>
  <c r="C222" i="9"/>
  <c r="D90" i="8" s="1"/>
  <c r="D222" i="9"/>
  <c r="E90" i="8" s="1"/>
  <c r="B227" i="9"/>
  <c r="C91" i="8" s="1"/>
  <c r="C227" i="9"/>
  <c r="D91" i="8" s="1"/>
  <c r="D227" i="9"/>
  <c r="E91" i="8" s="1"/>
  <c r="B235" i="9"/>
  <c r="C92" i="8" s="1"/>
  <c r="C235" i="9"/>
  <c r="D92" i="8" s="1"/>
  <c r="D235" i="9"/>
  <c r="E92" i="8" s="1"/>
  <c r="B241" i="9"/>
  <c r="C93" i="8" s="1"/>
  <c r="C241" i="9"/>
  <c r="D93" i="8" s="1"/>
  <c r="D241" i="9"/>
  <c r="E93" i="8" s="1"/>
  <c r="B244" i="9"/>
  <c r="C244" i="9"/>
  <c r="D244" i="9"/>
  <c r="B250" i="9"/>
  <c r="C95" i="8" s="1"/>
  <c r="C250" i="9"/>
  <c r="D95" i="8" s="1"/>
  <c r="D250" i="9"/>
  <c r="E95" i="8" s="1"/>
  <c r="B256" i="9"/>
  <c r="C96" i="8" s="1"/>
  <c r="C256" i="9"/>
  <c r="D96" i="8" s="1"/>
  <c r="D256" i="9"/>
  <c r="E96" i="8" s="1"/>
  <c r="D264" i="9"/>
  <c r="B272" i="9"/>
  <c r="C97" i="8" s="1"/>
  <c r="C272" i="9"/>
  <c r="D97" i="8" s="1"/>
  <c r="D272" i="9"/>
  <c r="E97" i="8" s="1"/>
  <c r="B278" i="9"/>
  <c r="C98" i="8" s="1"/>
  <c r="C278" i="9"/>
  <c r="D98" i="8" s="1"/>
  <c r="D278" i="9"/>
  <c r="E98" i="8" s="1"/>
  <c r="B284" i="9"/>
  <c r="C99" i="8" s="1"/>
  <c r="C284" i="9"/>
  <c r="D99" i="8" s="1"/>
  <c r="D284" i="9"/>
  <c r="E99" i="8" s="1"/>
  <c r="B290" i="9"/>
  <c r="C100" i="8" s="1"/>
  <c r="C290" i="9"/>
  <c r="D100" i="8" s="1"/>
  <c r="D290" i="9"/>
  <c r="E100" i="8" s="1"/>
  <c r="B294" i="9"/>
  <c r="C101" i="8" s="1"/>
  <c r="C294" i="9"/>
  <c r="D101" i="8" s="1"/>
  <c r="D294" i="9"/>
  <c r="E101" i="8" s="1"/>
  <c r="B300" i="9"/>
  <c r="C102" i="8" s="1"/>
  <c r="C300" i="9"/>
  <c r="D102" i="8" s="1"/>
  <c r="D300" i="9"/>
  <c r="E102" i="8" s="1"/>
  <c r="B306" i="9"/>
  <c r="C103" i="8" s="1"/>
  <c r="C306" i="9"/>
  <c r="D103" i="8" s="1"/>
  <c r="D306" i="9"/>
  <c r="E103" i="8" s="1"/>
  <c r="B5" i="8"/>
  <c r="B64" i="8"/>
  <c r="B65" i="8"/>
  <c r="B66" i="8"/>
  <c r="B67" i="8"/>
  <c r="B68" i="8"/>
  <c r="B69" i="8"/>
  <c r="B70" i="8"/>
  <c r="B71" i="8"/>
  <c r="B72" i="8"/>
  <c r="B73" i="8"/>
  <c r="B74" i="8"/>
  <c r="B75" i="8"/>
  <c r="B76" i="8"/>
  <c r="B77" i="8"/>
  <c r="B78" i="8"/>
  <c r="B79" i="8"/>
  <c r="B81" i="8"/>
  <c r="B82" i="8"/>
  <c r="B83" i="8"/>
  <c r="B84" i="8"/>
  <c r="B85" i="8"/>
  <c r="B86" i="8"/>
  <c r="B87" i="8"/>
  <c r="B88" i="8"/>
  <c r="B89" i="8"/>
  <c r="B90" i="8"/>
  <c r="B91" i="8"/>
  <c r="B92" i="8"/>
  <c r="B93" i="8"/>
  <c r="B94" i="8"/>
  <c r="B95" i="8"/>
  <c r="B96" i="8"/>
  <c r="B97" i="8"/>
  <c r="B98" i="8"/>
  <c r="B99" i="8"/>
  <c r="B100" i="8"/>
  <c r="B101" i="8"/>
  <c r="B102" i="8"/>
  <c r="B103" i="8"/>
  <c r="I1" i="30"/>
  <c r="H9" i="30" s="1"/>
  <c r="H37" i="30"/>
  <c r="I37" i="30"/>
  <c r="M1" i="29"/>
  <c r="L6" i="29" s="1"/>
  <c r="J19" i="29"/>
  <c r="K19" i="29"/>
  <c r="L19" i="29"/>
  <c r="M19" i="29"/>
  <c r="J27" i="29"/>
  <c r="K27" i="29"/>
  <c r="L27" i="29"/>
  <c r="M27" i="29"/>
  <c r="J36" i="29"/>
  <c r="K36" i="29"/>
  <c r="L36" i="29"/>
  <c r="M36" i="29"/>
  <c r="F2" i="6"/>
  <c r="C9" i="6" s="1"/>
  <c r="I1" i="38"/>
  <c r="B6" i="38" s="1"/>
  <c r="B7" i="38"/>
  <c r="D7" i="38"/>
  <c r="B8" i="38"/>
  <c r="D8" i="38"/>
  <c r="B9" i="38"/>
  <c r="D9" i="38"/>
  <c r="B10" i="38"/>
  <c r="D10" i="38"/>
  <c r="B11" i="38"/>
  <c r="D11" i="38"/>
  <c r="B12" i="38"/>
  <c r="D12" i="38"/>
  <c r="B13" i="38"/>
  <c r="D13" i="38"/>
  <c r="B14" i="38"/>
  <c r="D14" i="38"/>
  <c r="B15" i="38"/>
  <c r="D15" i="38"/>
  <c r="B16" i="38"/>
  <c r="D16" i="38"/>
  <c r="B17" i="38"/>
  <c r="D17" i="38"/>
  <c r="B18" i="38"/>
  <c r="D18" i="38"/>
  <c r="B19" i="38"/>
  <c r="D19" i="38"/>
  <c r="B20" i="38"/>
  <c r="D20" i="38"/>
  <c r="B21" i="38"/>
  <c r="D21" i="38"/>
  <c r="B22" i="38"/>
  <c r="D22" i="38"/>
  <c r="B23" i="38"/>
  <c r="D23" i="38"/>
  <c r="B24" i="38"/>
  <c r="D24" i="38"/>
  <c r="B25" i="38"/>
  <c r="D25" i="38"/>
  <c r="B26" i="38"/>
  <c r="D26" i="38"/>
  <c r="B27" i="38"/>
  <c r="D27" i="38"/>
  <c r="B28" i="38"/>
  <c r="D28" i="38"/>
  <c r="B29" i="38"/>
  <c r="D29" i="38"/>
  <c r="B30" i="38"/>
  <c r="D30" i="38"/>
  <c r="B31" i="38"/>
  <c r="D31" i="38"/>
  <c r="E23" i="33"/>
  <c r="F3" i="3"/>
  <c r="B53" i="3" s="1"/>
  <c r="A21" i="3"/>
  <c r="B21" i="3"/>
  <c r="A22" i="3"/>
  <c r="B22" i="3"/>
  <c r="A23" i="3"/>
  <c r="B23" i="3"/>
  <c r="C23" i="3"/>
  <c r="A24" i="3"/>
  <c r="B24" i="3"/>
  <c r="C24" i="3"/>
  <c r="A25" i="3"/>
  <c r="B25" i="3"/>
  <c r="C25" i="3"/>
  <c r="A26" i="3"/>
  <c r="B26" i="3"/>
  <c r="C26" i="3"/>
  <c r="A27" i="3"/>
  <c r="C27" i="3"/>
  <c r="A28" i="3"/>
  <c r="C28" i="3"/>
  <c r="A29" i="3"/>
  <c r="C29" i="3"/>
  <c r="A30" i="3"/>
  <c r="C30" i="3"/>
  <c r="D30" i="3"/>
  <c r="A31" i="3"/>
  <c r="C31" i="3"/>
  <c r="A32" i="3"/>
  <c r="C32" i="3"/>
  <c r="D32" i="3"/>
  <c r="A33" i="3"/>
  <c r="C33" i="3"/>
  <c r="A34" i="3"/>
  <c r="C34" i="3"/>
  <c r="A35" i="3"/>
  <c r="C35" i="3"/>
  <c r="A36" i="3"/>
  <c r="C36" i="3"/>
  <c r="C40" i="3"/>
  <c r="A30" i="43"/>
  <c r="A31" i="43"/>
  <c r="A32" i="43"/>
  <c r="A33" i="43"/>
  <c r="A34" i="43"/>
  <c r="A35" i="43"/>
  <c r="A36" i="43"/>
  <c r="A37" i="43"/>
  <c r="A38" i="43"/>
  <c r="A39" i="43"/>
  <c r="A40" i="43"/>
  <c r="A41" i="43"/>
  <c r="A42" i="43"/>
  <c r="A43" i="43"/>
  <c r="A44" i="43"/>
  <c r="A45" i="43"/>
  <c r="A46" i="43"/>
  <c r="A47" i="43"/>
  <c r="A48" i="43"/>
  <c r="A49" i="43"/>
  <c r="A50" i="43"/>
  <c r="A51" i="43"/>
  <c r="A52" i="43"/>
  <c r="A11" i="2"/>
  <c r="F41" i="2"/>
  <c r="A91" i="2"/>
  <c r="B96" i="2"/>
  <c r="B97" i="2"/>
  <c r="B98" i="2"/>
  <c r="B99" i="2"/>
  <c r="B100" i="2"/>
  <c r="B101" i="2"/>
  <c r="B102" i="2"/>
  <c r="B103" i="2"/>
  <c r="B104" i="2"/>
  <c r="B105" i="2"/>
  <c r="B106" i="2"/>
  <c r="B107" i="2"/>
  <c r="B108" i="2"/>
  <c r="B109" i="2"/>
  <c r="B110" i="2"/>
  <c r="B111" i="2"/>
  <c r="B112" i="2"/>
  <c r="B113" i="2"/>
  <c r="B114" i="2"/>
  <c r="B115" i="2"/>
  <c r="B116" i="2"/>
  <c r="B117" i="2"/>
  <c r="B118" i="2"/>
  <c r="B119" i="2"/>
  <c r="B120" i="2"/>
  <c r="D121" i="2"/>
  <c r="A126" i="2"/>
  <c r="D127" i="2"/>
  <c r="E127" i="2"/>
  <c r="C32" i="12"/>
  <c r="C264" i="9"/>
  <c r="B31" i="22"/>
  <c r="D73" i="8"/>
  <c r="C183" i="9"/>
  <c r="C113" i="9"/>
  <c r="B99" i="44"/>
  <c r="D63" i="23"/>
  <c r="D37" i="27"/>
  <c r="D183" i="9"/>
  <c r="B264" i="9"/>
  <c r="B183" i="9"/>
  <c r="G21" i="57"/>
  <c r="G19" i="57" s="1"/>
  <c r="G23" i="57"/>
  <c r="C63" i="24"/>
  <c r="K28" i="45"/>
  <c r="B29" i="27" s="1"/>
  <c r="C32" i="24"/>
  <c r="C82" i="12"/>
  <c r="A9" i="3"/>
  <c r="J53" i="27"/>
  <c r="G30" i="38"/>
  <c r="E28" i="38"/>
  <c r="E26" i="38"/>
  <c r="F22" i="38"/>
  <c r="F16" i="38"/>
  <c r="F14" i="38"/>
  <c r="G8" i="38"/>
  <c r="F31" i="38"/>
  <c r="H78" i="12"/>
  <c r="G62" i="12"/>
  <c r="H34" i="12"/>
  <c r="D5" i="12"/>
  <c r="D43" i="12" s="1"/>
  <c r="H70" i="12"/>
  <c r="H44" i="12"/>
  <c r="H33" i="12"/>
  <c r="H75" i="10"/>
  <c r="H32" i="10"/>
  <c r="H72" i="10"/>
  <c r="H33" i="10"/>
  <c r="H109" i="44"/>
  <c r="G28" i="38"/>
  <c r="F24" i="38"/>
  <c r="E22" i="38"/>
  <c r="F20" i="38"/>
  <c r="F30" i="38"/>
  <c r="G17" i="38"/>
  <c r="G29" i="38"/>
  <c r="G19" i="38"/>
  <c r="G21" i="38"/>
  <c r="G23" i="38"/>
  <c r="G25" i="38"/>
  <c r="G27" i="38"/>
  <c r="G26" i="38"/>
  <c r="G22" i="38"/>
  <c r="G18" i="38"/>
  <c r="G16" i="38"/>
  <c r="G14" i="38"/>
  <c r="G31" i="38"/>
  <c r="G15" i="38"/>
  <c r="F15" i="38"/>
  <c r="F17" i="38"/>
  <c r="F19" i="38"/>
  <c r="F21" i="38"/>
  <c r="F23" i="38"/>
  <c r="F25" i="38"/>
  <c r="F27" i="38"/>
  <c r="F18" i="38"/>
  <c r="F28" i="38"/>
  <c r="F26" i="38"/>
  <c r="F8" i="38"/>
  <c r="F29" i="38"/>
  <c r="E17" i="38"/>
  <c r="E19" i="38"/>
  <c r="E21" i="38"/>
  <c r="E23" i="38"/>
  <c r="E25" i="38"/>
  <c r="E27" i="38"/>
  <c r="E16" i="38"/>
  <c r="E14" i="38"/>
  <c r="E8" i="38"/>
  <c r="E30" i="38"/>
  <c r="E31" i="38"/>
  <c r="E24" i="38"/>
  <c r="E20" i="38"/>
  <c r="E18" i="38"/>
  <c r="E15" i="38"/>
  <c r="E29" i="38"/>
  <c r="G20" i="38"/>
  <c r="G24" i="38"/>
  <c r="J26" i="10"/>
  <c r="J62" i="12"/>
  <c r="J63" i="12"/>
  <c r="J61" i="12"/>
  <c r="J26" i="12"/>
  <c r="J64" i="10"/>
  <c r="J65" i="10"/>
  <c r="J62" i="10"/>
  <c r="J97" i="44"/>
  <c r="G18" i="57"/>
  <c r="D61" i="8" l="1"/>
  <c r="H113" i="44"/>
  <c r="G23" i="12"/>
  <c r="H37" i="12"/>
  <c r="G65" i="12"/>
  <c r="H77" i="12"/>
  <c r="G27" i="12"/>
  <c r="H43" i="12"/>
  <c r="H69" i="12"/>
  <c r="C5" i="12"/>
  <c r="C43" i="12" s="1"/>
  <c r="B3" i="49"/>
  <c r="B62" i="24"/>
  <c r="B64" i="12"/>
  <c r="A42" i="49"/>
  <c r="D6" i="49"/>
  <c r="E6" i="49" s="1"/>
  <c r="E107" i="8" s="1"/>
  <c r="D8" i="49"/>
  <c r="E8" i="49" s="1"/>
  <c r="E27" i="10" s="1"/>
  <c r="E30" i="10" s="1"/>
  <c r="C28" i="60"/>
  <c r="B22" i="27"/>
  <c r="D86" i="10"/>
  <c r="C32" i="38"/>
  <c r="A10" i="43"/>
  <c r="A9" i="43"/>
  <c r="A11" i="43"/>
  <c r="H44" i="10"/>
  <c r="C5" i="10"/>
  <c r="C40" i="10" s="1"/>
  <c r="H45" i="10"/>
  <c r="C61" i="44"/>
  <c r="J38" i="27"/>
  <c r="A10" i="27"/>
  <c r="A8" i="43"/>
  <c r="A5" i="43"/>
  <c r="C30" i="60"/>
  <c r="D7" i="60" s="1"/>
  <c r="D16" i="60" s="1"/>
  <c r="D30" i="60" s="1"/>
  <c r="E28" i="60"/>
  <c r="C45" i="60"/>
  <c r="D31" i="3"/>
  <c r="C45" i="24"/>
  <c r="E28" i="24"/>
  <c r="D28" i="3"/>
  <c r="E59" i="22"/>
  <c r="E28" i="22"/>
  <c r="C14" i="22"/>
  <c r="C63" i="60"/>
  <c r="C61" i="8"/>
  <c r="K28" i="47"/>
  <c r="B31" i="27" s="1"/>
  <c r="H29" i="47"/>
  <c r="H30" i="47" s="1"/>
  <c r="D33" i="3"/>
  <c r="D63" i="60"/>
  <c r="D28" i="23"/>
  <c r="G98" i="44"/>
  <c r="G94" i="44"/>
  <c r="C51" i="44"/>
  <c r="B33" i="33"/>
  <c r="B23" i="33"/>
  <c r="E13" i="3"/>
  <c r="D12" i="3"/>
  <c r="C6" i="60"/>
  <c r="C37" i="60" s="1"/>
  <c r="D32" i="60"/>
  <c r="D5" i="57"/>
  <c r="E10" i="49"/>
  <c r="E30" i="12" s="1"/>
  <c r="E33" i="12" s="1"/>
  <c r="F35" i="12" s="1"/>
  <c r="M53" i="27"/>
  <c r="G45" i="38"/>
  <c r="G11" i="38" s="1"/>
  <c r="E47" i="10" s="1"/>
  <c r="E7" i="49"/>
  <c r="E94" i="44" s="1"/>
  <c r="E97" i="44" s="1"/>
  <c r="E96" i="44" s="1"/>
  <c r="E9" i="49"/>
  <c r="E65" i="10" s="1"/>
  <c r="E68" i="10" s="1"/>
  <c r="F19" i="27" s="1"/>
  <c r="E11" i="49"/>
  <c r="E59" i="12" s="1"/>
  <c r="E62" i="12" s="1"/>
  <c r="E61" i="12" s="1"/>
  <c r="C32" i="60"/>
  <c r="C64" i="60"/>
  <c r="D38" i="60"/>
  <c r="D47" i="60" s="1"/>
  <c r="D61" i="60" s="1"/>
  <c r="C14" i="60"/>
  <c r="E14" i="60"/>
  <c r="D28" i="60"/>
  <c r="B31" i="60"/>
  <c r="C59" i="60"/>
  <c r="H29" i="46"/>
  <c r="H30" i="46" s="1"/>
  <c r="E28" i="25"/>
  <c r="D32" i="25"/>
  <c r="G9" i="30"/>
  <c r="K18" i="46"/>
  <c r="F29" i="46"/>
  <c r="F30" i="46" s="1"/>
  <c r="D29" i="46"/>
  <c r="D30" i="46" s="1"/>
  <c r="K17" i="46"/>
  <c r="H29" i="45"/>
  <c r="H30" i="45" s="1"/>
  <c r="D29" i="45"/>
  <c r="D30" i="45" s="1"/>
  <c r="C61" i="24"/>
  <c r="D38" i="24" s="1"/>
  <c r="D47" i="24" s="1"/>
  <c r="C30" i="24"/>
  <c r="D7" i="24" s="1"/>
  <c r="D16" i="24" s="1"/>
  <c r="D30" i="24" s="1"/>
  <c r="E34" i="27"/>
  <c r="G80" i="12" s="1"/>
  <c r="B20" i="27"/>
  <c r="D19" i="27"/>
  <c r="D82" i="12"/>
  <c r="B66" i="12" s="1"/>
  <c r="C80" i="12"/>
  <c r="C86" i="10"/>
  <c r="C88" i="10"/>
  <c r="C52" i="8"/>
  <c r="B52" i="9"/>
  <c r="B310" i="9" s="1"/>
  <c r="B308" i="9"/>
  <c r="D180" i="9"/>
  <c r="C52" i="9"/>
  <c r="C310" i="9" s="1"/>
  <c r="B107" i="9"/>
  <c r="B312" i="9" s="1"/>
  <c r="D107" i="9"/>
  <c r="D312" i="9" s="1"/>
  <c r="C177" i="9"/>
  <c r="C314" i="9" s="1"/>
  <c r="D52" i="9"/>
  <c r="D310" i="9" s="1"/>
  <c r="C107" i="9"/>
  <c r="C312" i="9" s="1"/>
  <c r="B177" i="9"/>
  <c r="D177" i="9"/>
  <c r="B258" i="9"/>
  <c r="B316" i="9" s="1"/>
  <c r="D258" i="9"/>
  <c r="C258" i="9"/>
  <c r="C316" i="9" s="1"/>
  <c r="D59" i="22"/>
  <c r="D28" i="22"/>
  <c r="C63" i="12"/>
  <c r="C83" i="12" s="1"/>
  <c r="G23" i="10"/>
  <c r="H37" i="10"/>
  <c r="G67" i="10"/>
  <c r="H79" i="10"/>
  <c r="C37" i="10"/>
  <c r="H38" i="10"/>
  <c r="H69" i="10"/>
  <c r="H82" i="10"/>
  <c r="C16" i="10"/>
  <c r="H105" i="44"/>
  <c r="C5" i="44"/>
  <c r="H104" i="44"/>
  <c r="H116" i="44"/>
  <c r="K37" i="29"/>
  <c r="A3" i="33"/>
  <c r="C5" i="9"/>
  <c r="C265" i="9" s="1"/>
  <c r="D261" i="9"/>
  <c r="D308" i="9"/>
  <c r="F29" i="47"/>
  <c r="F30" i="47" s="1"/>
  <c r="C14" i="25"/>
  <c r="D28" i="27"/>
  <c r="D28" i="24"/>
  <c r="C14" i="24"/>
  <c r="D61" i="24"/>
  <c r="E38" i="24" s="1"/>
  <c r="E47" i="24" s="1"/>
  <c r="E61" i="24" s="1"/>
  <c r="E62" i="24" s="1"/>
  <c r="C30" i="22"/>
  <c r="D7" i="22" s="1"/>
  <c r="D16" i="22" s="1"/>
  <c r="D30" i="22" s="1"/>
  <c r="B11" i="33"/>
  <c r="B29" i="47"/>
  <c r="B30" i="47" s="1"/>
  <c r="J29" i="47"/>
  <c r="J30" i="47" s="1"/>
  <c r="B29" i="45"/>
  <c r="B30" i="45" s="1"/>
  <c r="B26" i="27"/>
  <c r="D63" i="24"/>
  <c r="C61" i="23"/>
  <c r="C64" i="23" s="1"/>
  <c r="D32" i="23"/>
  <c r="C61" i="22"/>
  <c r="D38" i="22" s="1"/>
  <c r="D47" i="22" s="1"/>
  <c r="D61" i="22" s="1"/>
  <c r="D63" i="22"/>
  <c r="C34" i="12"/>
  <c r="D6" i="12" s="1"/>
  <c r="D20" i="12" s="1"/>
  <c r="D34" i="12" s="1"/>
  <c r="D80" i="12"/>
  <c r="C31" i="10"/>
  <c r="C87" i="10" s="1"/>
  <c r="D61" i="44"/>
  <c r="C308" i="9"/>
  <c r="B314" i="9"/>
  <c r="J37" i="29"/>
  <c r="F43" i="3"/>
  <c r="A10" i="3"/>
  <c r="D5" i="8"/>
  <c r="D6" i="60" s="1"/>
  <c r="D37" i="60" s="1"/>
  <c r="E5" i="8"/>
  <c r="E6" i="24" s="1"/>
  <c r="E37" i="24" s="1"/>
  <c r="G30" i="10"/>
  <c r="H35" i="10"/>
  <c r="H42" i="10"/>
  <c r="H70" i="10"/>
  <c r="H74" i="10"/>
  <c r="H81" i="10"/>
  <c r="E5" i="10"/>
  <c r="E40" i="10" s="1"/>
  <c r="G27" i="10"/>
  <c r="H34" i="10"/>
  <c r="H43" i="10"/>
  <c r="G64" i="10"/>
  <c r="H71" i="10"/>
  <c r="H80" i="10"/>
  <c r="D5" i="10"/>
  <c r="D40" i="10" s="1"/>
  <c r="J31" i="27"/>
  <c r="D41" i="27"/>
  <c r="C5" i="38"/>
  <c r="A15" i="3"/>
  <c r="J52" i="27"/>
  <c r="B13" i="27"/>
  <c r="J51" i="27"/>
  <c r="D5" i="38"/>
  <c r="D5" i="49"/>
  <c r="C5" i="49"/>
  <c r="B5" i="49"/>
  <c r="B62" i="25"/>
  <c r="B32" i="10"/>
  <c r="C75" i="10"/>
  <c r="B62" i="23"/>
  <c r="D9" i="6"/>
  <c r="D88" i="10"/>
  <c r="B46" i="27"/>
  <c r="H103" i="44"/>
  <c r="H108" i="44"/>
  <c r="H115" i="44"/>
  <c r="E5" i="44"/>
  <c r="G101" i="44"/>
  <c r="H106" i="44"/>
  <c r="H114" i="44"/>
  <c r="D5" i="44"/>
  <c r="B5" i="9"/>
  <c r="B60" i="9" s="1"/>
  <c r="D5" i="9"/>
  <c r="D114" i="9" s="1"/>
  <c r="G30" i="12"/>
  <c r="H35" i="12"/>
  <c r="H42" i="12"/>
  <c r="G58" i="12"/>
  <c r="H68" i="12"/>
  <c r="H72" i="12"/>
  <c r="H79" i="12"/>
  <c r="C40" i="12"/>
  <c r="H32" i="12"/>
  <c r="H38" i="12"/>
  <c r="H45" i="12"/>
  <c r="H67" i="12"/>
  <c r="H73" i="12"/>
  <c r="H80" i="12"/>
  <c r="E5" i="12"/>
  <c r="E43" i="12" s="1"/>
  <c r="I9" i="30"/>
  <c r="B35" i="12"/>
  <c r="A6" i="43"/>
  <c r="A14" i="43"/>
  <c r="D110" i="9"/>
  <c r="C27" i="43"/>
  <c r="A7" i="43"/>
  <c r="C14" i="33"/>
  <c r="B6" i="33"/>
  <c r="D46" i="27"/>
  <c r="K28" i="46"/>
  <c r="B30" i="27" s="1"/>
  <c r="J29" i="46"/>
  <c r="J30" i="46" s="1"/>
  <c r="J29" i="45"/>
  <c r="J30" i="45" s="1"/>
  <c r="C30" i="25"/>
  <c r="C33" i="25" s="1"/>
  <c r="C61" i="25"/>
  <c r="D38" i="25" s="1"/>
  <c r="D47" i="25" s="1"/>
  <c r="D61" i="25" s="1"/>
  <c r="C14" i="23"/>
  <c r="C32" i="23"/>
  <c r="D27" i="3"/>
  <c r="D32" i="22"/>
  <c r="D61" i="12"/>
  <c r="C69" i="10"/>
  <c r="D41" i="10" s="1"/>
  <c r="D53" i="10" s="1"/>
  <c r="D69" i="10" s="1"/>
  <c r="L37" i="29"/>
  <c r="J6" i="29"/>
  <c r="G7" i="29"/>
  <c r="M37" i="29"/>
  <c r="F43" i="38"/>
  <c r="F13" i="38" s="1"/>
  <c r="E49" i="12" s="1"/>
  <c r="D32" i="38"/>
  <c r="J7" i="33"/>
  <c r="C63" i="25"/>
  <c r="E41" i="38"/>
  <c r="E13" i="38" s="1"/>
  <c r="E48" i="12" s="1"/>
  <c r="C34" i="27"/>
  <c r="C97" i="44"/>
  <c r="C96" i="44" s="1"/>
  <c r="C63" i="22"/>
  <c r="D97" i="44"/>
  <c r="D115" i="44" s="1"/>
  <c r="A26" i="43"/>
  <c r="E5" i="49"/>
  <c r="J46" i="27"/>
  <c r="G14" i="27"/>
  <c r="J45" i="27"/>
  <c r="J35" i="27"/>
  <c r="J37" i="27"/>
  <c r="J54" i="27"/>
  <c r="J43" i="27"/>
  <c r="B41" i="27"/>
  <c r="F41" i="27"/>
  <c r="D13" i="27"/>
  <c r="D29" i="47"/>
  <c r="D30" i="47" s="1"/>
  <c r="K18" i="47"/>
  <c r="K17" i="47"/>
  <c r="B29" i="46"/>
  <c r="F29" i="45"/>
  <c r="K18" i="45"/>
  <c r="K17" i="45"/>
  <c r="K30" i="45" s="1"/>
  <c r="C32" i="25"/>
  <c r="D63" i="25"/>
  <c r="C45" i="25"/>
  <c r="C28" i="25"/>
  <c r="C33" i="24"/>
  <c r="D7" i="23"/>
  <c r="D16" i="23" s="1"/>
  <c r="D30" i="23" s="1"/>
  <c r="C33" i="23"/>
  <c r="D38" i="23"/>
  <c r="D47" i="23" s="1"/>
  <c r="D61" i="23" s="1"/>
  <c r="D29" i="3"/>
  <c r="C45" i="23"/>
  <c r="B25" i="27"/>
  <c r="C33" i="22"/>
  <c r="C45" i="22"/>
  <c r="B23" i="27"/>
  <c r="C32" i="22"/>
  <c r="C61" i="12"/>
  <c r="B21" i="27"/>
  <c r="D21" i="27"/>
  <c r="C67" i="10"/>
  <c r="C29" i="10"/>
  <c r="B18" i="27"/>
  <c r="D17" i="27"/>
  <c r="C104" i="8"/>
  <c r="C110" i="8" s="1"/>
  <c r="B16" i="27" s="1"/>
  <c r="D314" i="9"/>
  <c r="D104" i="8"/>
  <c r="D110" i="8" s="1"/>
  <c r="D129" i="8" s="1"/>
  <c r="E104" i="8"/>
  <c r="C62" i="8"/>
  <c r="C6" i="25"/>
  <c r="C37" i="25" s="1"/>
  <c r="C6" i="24"/>
  <c r="C37" i="24" s="1"/>
  <c r="C6" i="23"/>
  <c r="C37" i="23" s="1"/>
  <c r="B112" i="8"/>
  <c r="C117" i="8"/>
  <c r="F46" i="27"/>
  <c r="G37" i="29"/>
  <c r="E9" i="6"/>
  <c r="E5" i="38"/>
  <c r="A37" i="33"/>
  <c r="C15" i="33"/>
  <c r="B13" i="33"/>
  <c r="B9" i="33"/>
  <c r="B5" i="33"/>
  <c r="G16" i="33"/>
  <c r="G21" i="33" s="1"/>
  <c r="E72" i="10"/>
  <c r="E32" i="12"/>
  <c r="E37" i="12"/>
  <c r="F70" i="12"/>
  <c r="F21" i="27"/>
  <c r="B27" i="43"/>
  <c r="E29" i="10" l="1"/>
  <c r="F35" i="10"/>
  <c r="E34" i="10"/>
  <c r="D23" i="3"/>
  <c r="D7" i="25"/>
  <c r="D16" i="25" s="1"/>
  <c r="D30" i="25" s="1"/>
  <c r="D30" i="49"/>
  <c r="C33" i="60"/>
  <c r="F20" i="27"/>
  <c r="G45" i="12"/>
  <c r="K30" i="47"/>
  <c r="D64" i="24"/>
  <c r="D44" i="12"/>
  <c r="D56" i="12" s="1"/>
  <c r="D63" i="12" s="1"/>
  <c r="G67" i="12" s="1"/>
  <c r="D6" i="10"/>
  <c r="D18" i="10" s="1"/>
  <c r="D31" i="10" s="1"/>
  <c r="B34" i="10"/>
  <c r="F72" i="10"/>
  <c r="F18" i="27"/>
  <c r="E110" i="8"/>
  <c r="D21" i="3" s="1"/>
  <c r="E67" i="10"/>
  <c r="D24" i="3"/>
  <c r="C64" i="25"/>
  <c r="D26" i="3"/>
  <c r="E66" i="12"/>
  <c r="D25" i="3"/>
  <c r="C81" i="12"/>
  <c r="C64" i="24"/>
  <c r="C64" i="22"/>
  <c r="G12" i="38"/>
  <c r="E12" i="12" s="1"/>
  <c r="D6" i="24"/>
  <c r="D37" i="24" s="1"/>
  <c r="G116" i="44"/>
  <c r="M37" i="27"/>
  <c r="M46" i="27" s="1"/>
  <c r="E30" i="49"/>
  <c r="B114" i="9"/>
  <c r="D6" i="22"/>
  <c r="D37" i="22" s="1"/>
  <c r="E6" i="23"/>
  <c r="E37" i="23" s="1"/>
  <c r="E6" i="60"/>
  <c r="E37" i="60" s="1"/>
  <c r="G10" i="38"/>
  <c r="E12" i="10" s="1"/>
  <c r="G13" i="38"/>
  <c r="E50" i="12" s="1"/>
  <c r="G9" i="38"/>
  <c r="E12" i="44" s="1"/>
  <c r="D64" i="60"/>
  <c r="E38" i="60"/>
  <c r="E47" i="60" s="1"/>
  <c r="E61" i="60" s="1"/>
  <c r="E62" i="60" s="1"/>
  <c r="D33" i="60"/>
  <c r="E7" i="60"/>
  <c r="E16" i="60" s="1"/>
  <c r="E30" i="60" s="1"/>
  <c r="E31" i="60" s="1"/>
  <c r="K29" i="47"/>
  <c r="B32" i="6"/>
  <c r="G25" i="33"/>
  <c r="G27" i="33" s="1"/>
  <c r="J29" i="33" s="1"/>
  <c r="J31" i="33" s="1"/>
  <c r="J35" i="33" s="1"/>
  <c r="G82" i="10"/>
  <c r="G45" i="10"/>
  <c r="B37" i="12"/>
  <c r="B72" i="10"/>
  <c r="C89" i="10"/>
  <c r="D316" i="9"/>
  <c r="D318" i="9"/>
  <c r="C318" i="9"/>
  <c r="B318" i="9"/>
  <c r="G108" i="44"/>
  <c r="C109" i="8"/>
  <c r="E55" i="12"/>
  <c r="G68" i="12" s="1"/>
  <c r="D184" i="9"/>
  <c r="C184" i="9"/>
  <c r="C114" i="9"/>
  <c r="C60" i="9"/>
  <c r="F11" i="38"/>
  <c r="E46" i="10" s="1"/>
  <c r="F12" i="38"/>
  <c r="E11" i="12" s="1"/>
  <c r="E11" i="38"/>
  <c r="E45" i="10" s="1"/>
  <c r="E52" i="10" s="1"/>
  <c r="G70" i="10" s="1"/>
  <c r="E12" i="38"/>
  <c r="E10" i="12" s="1"/>
  <c r="E9" i="38"/>
  <c r="E10" i="38"/>
  <c r="E10" i="10" s="1"/>
  <c r="F9" i="38"/>
  <c r="E11" i="44" s="1"/>
  <c r="F10" i="38"/>
  <c r="E11" i="10" s="1"/>
  <c r="E10" i="44"/>
  <c r="B17" i="27"/>
  <c r="B34" i="27" s="1"/>
  <c r="B36" i="27" s="1"/>
  <c r="D96" i="44"/>
  <c r="K30" i="46"/>
  <c r="D16" i="27"/>
  <c r="D34" i="27" s="1"/>
  <c r="D36" i="27" s="1"/>
  <c r="E6" i="22"/>
  <c r="E37" i="22" s="1"/>
  <c r="E6" i="25"/>
  <c r="E37" i="25" s="1"/>
  <c r="D6" i="23"/>
  <c r="D37" i="23" s="1"/>
  <c r="D6" i="25"/>
  <c r="D37" i="25" s="1"/>
  <c r="B265" i="9"/>
  <c r="B184" i="9"/>
  <c r="D265" i="9"/>
  <c r="D60" i="9"/>
  <c r="C98" i="44"/>
  <c r="C116" i="44" s="1"/>
  <c r="C115" i="44"/>
  <c r="B101" i="44" s="1"/>
  <c r="D109" i="8"/>
  <c r="C111" i="8"/>
  <c r="C130" i="8" s="1"/>
  <c r="C129" i="8"/>
  <c r="B114" i="8" s="1"/>
  <c r="E101" i="44"/>
  <c r="B30" i="46"/>
  <c r="K29" i="46"/>
  <c r="F30" i="45"/>
  <c r="K29" i="45"/>
  <c r="E38" i="25"/>
  <c r="E47" i="25" s="1"/>
  <c r="E61" i="25" s="1"/>
  <c r="E62" i="25" s="1"/>
  <c r="D64" i="25"/>
  <c r="E7" i="25"/>
  <c r="E16" i="25" s="1"/>
  <c r="E30" i="25" s="1"/>
  <c r="E31" i="25" s="1"/>
  <c r="D33" i="25"/>
  <c r="E7" i="24"/>
  <c r="E16" i="24" s="1"/>
  <c r="E30" i="24" s="1"/>
  <c r="E31" i="24" s="1"/>
  <c r="D33" i="24"/>
  <c r="E7" i="23"/>
  <c r="E16" i="23" s="1"/>
  <c r="E30" i="23" s="1"/>
  <c r="E31" i="23" s="1"/>
  <c r="D33" i="23"/>
  <c r="D64" i="23"/>
  <c r="E38" i="23"/>
  <c r="E47" i="23" s="1"/>
  <c r="E61" i="23" s="1"/>
  <c r="E62" i="23" s="1"/>
  <c r="E38" i="22"/>
  <c r="E47" i="22" s="1"/>
  <c r="E61" i="22" s="1"/>
  <c r="E62" i="22" s="1"/>
  <c r="D64" i="22"/>
  <c r="E7" i="22"/>
  <c r="E16" i="22" s="1"/>
  <c r="E30" i="22" s="1"/>
  <c r="E31" i="22" s="1"/>
  <c r="D33" i="22"/>
  <c r="E6" i="12"/>
  <c r="D81" i="12"/>
  <c r="G32" i="12"/>
  <c r="G69" i="10"/>
  <c r="D89" i="10"/>
  <c r="B73" i="10" s="1"/>
  <c r="E41" i="10"/>
  <c r="D87" i="10"/>
  <c r="B35" i="10" s="1"/>
  <c r="E6" i="10"/>
  <c r="G32" i="10"/>
  <c r="F105" i="44"/>
  <c r="F17" i="27"/>
  <c r="D22" i="3"/>
  <c r="E19" i="12" l="1"/>
  <c r="G33" i="12" s="1"/>
  <c r="D83" i="12"/>
  <c r="B67" i="12" s="1"/>
  <c r="E44" i="12"/>
  <c r="E56" i="12" s="1"/>
  <c r="E67" i="12" s="1"/>
  <c r="E68" i="12" s="1"/>
  <c r="B38" i="12"/>
  <c r="E109" i="8"/>
  <c r="E114" i="8"/>
  <c r="F117" i="8"/>
  <c r="F16" i="27"/>
  <c r="F34" i="27" s="1"/>
  <c r="F36" i="27" s="1"/>
  <c r="G7" i="38"/>
  <c r="G32" i="38" s="1"/>
  <c r="E53" i="10"/>
  <c r="E73" i="10" s="1"/>
  <c r="F7" i="38"/>
  <c r="E11" i="8" s="1"/>
  <c r="E7" i="38"/>
  <c r="E32" i="38" s="1"/>
  <c r="D6" i="44"/>
  <c r="D53" i="44" s="1"/>
  <c r="D62" i="44" s="1"/>
  <c r="D39" i="3"/>
  <c r="D6" i="8"/>
  <c r="D54" i="8" s="1"/>
  <c r="D111" i="8" s="1"/>
  <c r="E20" i="12"/>
  <c r="E38" i="12" s="1"/>
  <c r="E17" i="10"/>
  <c r="G33" i="10" s="1"/>
  <c r="E52" i="44"/>
  <c r="G104" i="44" s="1"/>
  <c r="E12" i="8" l="1"/>
  <c r="E69" i="12"/>
  <c r="F32" i="38"/>
  <c r="E10" i="8"/>
  <c r="E53" i="8" s="1"/>
  <c r="D98" i="44"/>
  <c r="G103" i="44" s="1"/>
  <c r="E26" i="3"/>
  <c r="F26" i="3" s="1"/>
  <c r="E54" i="12"/>
  <c r="G21" i="27"/>
  <c r="H21" i="27" s="1"/>
  <c r="G77" i="12" s="1"/>
  <c r="G69" i="12"/>
  <c r="E39" i="12"/>
  <c r="E40" i="12" s="1"/>
  <c r="E74" i="10"/>
  <c r="E75" i="10" s="1"/>
  <c r="D62" i="8"/>
  <c r="E18" i="10"/>
  <c r="E35" i="10" s="1"/>
  <c r="D130" i="8"/>
  <c r="B115" i="8" s="1"/>
  <c r="E6" i="8"/>
  <c r="K69" i="12" l="1"/>
  <c r="D116" i="44"/>
  <c r="B102" i="44" s="1"/>
  <c r="G70" i="12"/>
  <c r="G73" i="12" s="1"/>
  <c r="E6" i="44"/>
  <c r="E53" i="44" s="1"/>
  <c r="E102" i="44" s="1"/>
  <c r="G20" i="27"/>
  <c r="H20" i="27" s="1"/>
  <c r="G42" i="12" s="1"/>
  <c r="E18" i="12"/>
  <c r="E25" i="3"/>
  <c r="F25" i="3" s="1"/>
  <c r="G34" i="12"/>
  <c r="K34" i="12" s="1"/>
  <c r="G71" i="10"/>
  <c r="G19" i="27"/>
  <c r="H19" i="27" s="1"/>
  <c r="G79" i="10" s="1"/>
  <c r="E24" i="3"/>
  <c r="F24" i="3" s="1"/>
  <c r="E51" i="10"/>
  <c r="E36" i="10"/>
  <c r="E37" i="10" s="1"/>
  <c r="E54" i="8"/>
  <c r="E115" i="8" s="1"/>
  <c r="E62" i="44" l="1"/>
  <c r="G35" i="12"/>
  <c r="G38" i="12" s="1"/>
  <c r="G34" i="10"/>
  <c r="K34" i="10" s="1"/>
  <c r="G18" i="27"/>
  <c r="H18" i="27" s="1"/>
  <c r="G42" i="10" s="1"/>
  <c r="E23" i="3"/>
  <c r="F23" i="3" s="1"/>
  <c r="E16" i="10"/>
  <c r="G72" i="10"/>
  <c r="G75" i="10" s="1"/>
  <c r="K71" i="10"/>
  <c r="E103" i="44"/>
  <c r="E104" i="44" s="1"/>
  <c r="E116" i="8"/>
  <c r="E117" i="8" s="1"/>
  <c r="E62" i="8"/>
  <c r="G35" i="10" l="1"/>
  <c r="G38" i="10" s="1"/>
  <c r="G105" i="44"/>
  <c r="K105" i="44" s="1"/>
  <c r="G17" i="27"/>
  <c r="H17" i="27" s="1"/>
  <c r="G113" i="44" s="1"/>
  <c r="E51" i="44"/>
  <c r="E22" i="3"/>
  <c r="F22" i="3" s="1"/>
  <c r="G16" i="27"/>
  <c r="H16" i="27" s="1"/>
  <c r="E52" i="8"/>
  <c r="E21" i="3"/>
  <c r="G106" i="44" l="1"/>
  <c r="G109" i="44" s="1"/>
  <c r="E39" i="3"/>
  <c r="L35" i="33" s="1"/>
  <c r="H34" i="27"/>
  <c r="F21" i="3"/>
  <c r="F39" i="3" s="1"/>
  <c r="G34" i="27"/>
  <c r="M45" i="27" s="1"/>
  <c r="M47" i="27" s="1"/>
  <c r="M39" i="27" s="1"/>
  <c r="J39" i="27" s="1"/>
  <c r="G44" i="12" l="1"/>
  <c r="M51" i="27"/>
  <c r="G115" i="44"/>
  <c r="G79" i="12"/>
  <c r="G81" i="10"/>
  <c r="G44" i="10"/>
  <c r="E42" i="3"/>
  <c r="M40" i="27"/>
  <c r="J40" i="27" s="1"/>
  <c r="M54" i="27"/>
</calcChain>
</file>

<file path=xl/sharedStrings.xml><?xml version="1.0" encoding="utf-8"?>
<sst xmlns="http://schemas.openxmlformats.org/spreadsheetml/2006/main" count="1331" uniqueCount="463">
  <si>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</si>
  <si>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</si>
  <si>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</si>
  <si>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</si>
  <si>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</si>
  <si>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</si>
  <si>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</si>
  <si>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County Equalization</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</si>
  <si>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</si>
  <si>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</si>
  <si>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</si>
  <si>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</si>
  <si>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</si>
  <si>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</si>
  <si>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</si>
  <si>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</si>
  <si>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</si>
  <si>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</si>
  <si>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</si>
  <si>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 (C)</t>
  </si>
  <si>
    <t>Non-Budgeted Funds-C</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</si>
  <si>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</si>
  <si>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</si>
  <si>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</si>
  <si>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</si>
  <si>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</si>
  <si>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t>Budget Summary</t>
  </si>
  <si>
    <t>xxxxx</t>
  </si>
  <si>
    <t>Resolution</t>
  </si>
  <si>
    <t>Is a Resolution required?</t>
  </si>
  <si>
    <t>Note:  All amounts are to be entered in as whole numbers only.</t>
  </si>
  <si>
    <t>**</t>
  </si>
  <si>
    <t>**Note: These two block figures should agree.</t>
  </si>
  <si>
    <t>xxxxxxxxxxxxxxxxxxxx</t>
  </si>
  <si>
    <t>Funds</t>
  </si>
  <si>
    <t xml:space="preserve">expenditure amounts should reflect the amended </t>
  </si>
  <si>
    <t>expenditure amounts.</t>
  </si>
  <si>
    <t xml:space="preserve">Tax Levy Rate </t>
  </si>
  <si>
    <t>Miscellaneous</t>
  </si>
  <si>
    <t>Neighborhood Revitalization Rebate</t>
  </si>
  <si>
    <t>Cash Balance Jan 1</t>
  </si>
  <si>
    <t>Budget Summary2</t>
  </si>
  <si>
    <t>***If you are merely leasing/renting with no intent to purchase, do not list--such transactions are not lease-purchases.</t>
  </si>
  <si>
    <t xml:space="preserve">Ad Valorem Tax </t>
  </si>
  <si>
    <t>Budget Summary Page</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</si>
  <si>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</si>
  <si>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</si>
  <si>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</si>
  <si>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</si>
  <si>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</si>
  <si>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</si>
  <si>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</si>
  <si>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</si>
  <si>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</si>
  <si>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</si>
  <si>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</si>
  <si>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</si>
  <si>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</si>
  <si>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</si>
  <si>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</si>
  <si>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</si>
  <si>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</si>
  <si>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x</t>
  </si>
  <si>
    <t>Assisted by:</t>
  </si>
  <si>
    <t>Governing Body</t>
  </si>
  <si>
    <t>County Clerk</t>
  </si>
  <si>
    <t>Amount</t>
  </si>
  <si>
    <t>Mental Health</t>
  </si>
  <si>
    <t>TOTAL</t>
  </si>
  <si>
    <t>County Treas Motor Vehicle Estimate</t>
  </si>
  <si>
    <t>County Treasurers Recreational Vehicle Estimate</t>
  </si>
  <si>
    <t>Motor Vehicle Factor</t>
  </si>
  <si>
    <t>MVT</t>
  </si>
  <si>
    <t>Totals</t>
  </si>
  <si>
    <t>District Court</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</si>
  <si>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</si>
  <si>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</si>
  <si>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</si>
  <si>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</si>
  <si>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</si>
  <si>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</si>
  <si>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</si>
  <si>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</si>
  <si>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</si>
  <si>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</si>
  <si>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 xml:space="preserve">General </t>
  </si>
  <si>
    <t>Expenditures:</t>
  </si>
  <si>
    <t>Total Expenditures</t>
  </si>
  <si>
    <t>Tax Required</t>
  </si>
  <si>
    <t>%</t>
  </si>
  <si>
    <t>General Fund - Detail Expend</t>
  </si>
  <si>
    <t xml:space="preserve">  Salaries</t>
  </si>
  <si>
    <t xml:space="preserve">  Contractual</t>
  </si>
  <si>
    <t xml:space="preserve">  Commodities</t>
  </si>
  <si>
    <t xml:space="preserve">  Capital Outlay</t>
  </si>
  <si>
    <t>Ambulance</t>
  </si>
  <si>
    <t>Appraisal</t>
  </si>
  <si>
    <t>County Treasurer</t>
  </si>
  <si>
    <t>Debt Service</t>
  </si>
  <si>
    <t>Economic Development</t>
  </si>
  <si>
    <t>Election</t>
  </si>
  <si>
    <t>Employee Benefits</t>
  </si>
  <si>
    <t>Extension Council</t>
  </si>
  <si>
    <t>Mental Retardation</t>
  </si>
  <si>
    <t>Register of Deeds</t>
  </si>
  <si>
    <t>Road &amp; Bridge</t>
  </si>
  <si>
    <t>Soil Conservation</t>
  </si>
  <si>
    <t>Other</t>
  </si>
  <si>
    <t>Page No.</t>
  </si>
  <si>
    <t xml:space="preserve"> </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</si>
  <si>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</si>
  <si>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</si>
  <si>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</si>
  <si>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</si>
  <si>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</si>
  <si>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</si>
  <si>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</si>
  <si>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</si>
  <si>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</si>
  <si>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</si>
  <si>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</si>
  <si>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</si>
  <si>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</si>
  <si>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</si>
  <si>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</si>
  <si>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</si>
  <si>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</si>
  <si>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</si>
  <si>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</si>
  <si>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</si>
  <si>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</si>
  <si>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</si>
  <si>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</si>
  <si>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</si>
  <si>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</si>
  <si>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</si>
  <si>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</si>
  <si>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</si>
  <si>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</si>
  <si>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</si>
  <si>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</si>
  <si>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</si>
  <si>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</si>
  <si>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</si>
  <si>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</si>
  <si>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</si>
  <si>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</si>
  <si>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</si>
  <si>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</si>
  <si>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</si>
  <si>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</si>
  <si>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</si>
  <si>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 GENERAL</t>
  </si>
  <si>
    <t>FUND PAGE - GENERAL DETAIL</t>
  </si>
  <si>
    <t>FUND PAGE - ROAD</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</si>
  <si>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</si>
  <si>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</si>
  <si>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</si>
  <si>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</si>
  <si>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</si>
  <si>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</si>
  <si>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</si>
  <si>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</si>
  <si>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</si>
  <si>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</si>
  <si>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</si>
  <si>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</si>
  <si>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</si>
  <si>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</si>
  <si>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</si>
  <si>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</si>
  <si>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</si>
  <si>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</si>
  <si>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</si>
  <si>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</si>
  <si>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</si>
  <si>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</si>
  <si>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</si>
  <si>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</si>
  <si>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</si>
  <si>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</si>
  <si>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</si>
  <si>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</si>
  <si>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</si>
  <si>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</si>
  <si>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</si>
  <si>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</si>
  <si>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</si>
  <si>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</si>
  <si>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</si>
  <si>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</si>
  <si>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</si>
  <si>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adopt a resolution to exceed this limit and attach a copy to this budget.</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</si>
  <si>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</si>
  <si>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</si>
  <si>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</si>
  <si>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</si>
  <si>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</si>
  <si>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</si>
  <si>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</si>
  <si>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79-1946</t>
  </si>
  <si>
    <t>Schedule of Transfers</t>
  </si>
  <si>
    <t>Outstanding</t>
  </si>
  <si>
    <t>(Beginning Principal)</t>
  </si>
  <si>
    <t>Estimated Tax Rate is subject to change depending on the final assessed valuation.</t>
  </si>
  <si>
    <t>Lease Pur. Princ.</t>
  </si>
  <si>
    <t>Page No. 7</t>
  </si>
  <si>
    <t>Page No. 7a</t>
  </si>
  <si>
    <t>Page 7b</t>
  </si>
  <si>
    <t>Page 7c</t>
  </si>
  <si>
    <t>Page 7d</t>
  </si>
  <si>
    <t>Page 7e</t>
  </si>
  <si>
    <t>COUNTY RESOLUTION</t>
  </si>
  <si>
    <t>RESOLUTION NO.__________________</t>
  </si>
  <si>
    <t>Whereas, budgeting, taxing and service level decisions for all county services are the responsibility of the board of county commissioners; and</t>
  </si>
  <si>
    <t>Whereas, the cost of provision of these services continues to increase; and</t>
  </si>
  <si>
    <t>BOARD OF COUNTY COMMISSIONERS</t>
  </si>
  <si>
    <t>___________________________________.</t>
  </si>
  <si>
    <t>ATTEST:</t>
  </si>
  <si>
    <t>________________________________.</t>
  </si>
  <si>
    <t>, County Clerk</t>
  </si>
  <si>
    <t>(Attach a signed copy to the budget)</t>
  </si>
  <si>
    <t xml:space="preserve">                                                                          16/20M Vehicle Factor</t>
  </si>
  <si>
    <t xml:space="preserve">                                         Recreational Vehicle Factor</t>
  </si>
  <si>
    <t>Current</t>
  </si>
  <si>
    <t>Proposed</t>
  </si>
  <si>
    <t>Total - Page 7b</t>
  </si>
  <si>
    <t>Total - Page7c</t>
  </si>
  <si>
    <t>Total - Page7d</t>
  </si>
  <si>
    <t>Total - Page7e</t>
  </si>
  <si>
    <t>Total - Page7b</t>
  </si>
  <si>
    <t>Total - Page 7c</t>
  </si>
  <si>
    <t>County Clerk's Use Only</t>
  </si>
  <si>
    <t>Address:</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</si>
  <si>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</si>
  <si>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</si>
  <si>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Input sheet for County1 budget form</t>
  </si>
  <si>
    <t>Enter County Name followed by 'County'</t>
  </si>
  <si>
    <t>Enter year being budgeted (YYYY)</t>
  </si>
  <si>
    <t>Information comes from the Certificate, Page No. 1</t>
  </si>
  <si>
    <t>Fund Names for all funds with a tax levy:</t>
  </si>
  <si>
    <t>10-113</t>
  </si>
  <si>
    <t xml:space="preserve"> Commissioners will be published in the _________ (newspaper).   Interested persons can also address questions concerning the budget to __________ (office) _______ by calling ___________ between the hours of ________ a.m. to ________ p.m., Monday through Fridays, excluding holidays.  </t>
  </si>
  <si>
    <t>Neighborhood Revitalization</t>
  </si>
  <si>
    <t>LAVTR</t>
  </si>
  <si>
    <t>City and County Revenue Sharing</t>
  </si>
  <si>
    <t>Computation of Delinquency</t>
  </si>
  <si>
    <r>
      <t>**</t>
    </r>
    <r>
      <rPr>
        <u/>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</si>
  <si>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</si>
  <si>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</si>
  <si>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</si>
  <si>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</si>
  <si>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</si>
  <si>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</si>
  <si>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</si>
  <si>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</si>
  <si>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</si>
  <si>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</si>
  <si>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</si>
  <si>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</si>
  <si>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</si>
  <si>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</si>
  <si>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</si>
  <si>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</si>
  <si>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</si>
  <si>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</si>
  <si>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</si>
  <si>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</si>
  <si>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</si>
  <si>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</si>
  <si>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</si>
  <si>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</si>
  <si>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answering objections of taxpayers relating to the proposed use of all funds and the amount of ad valorem tax.</t>
  </si>
  <si>
    <t>the Neighborhood Revitalization Rebate table.</t>
  </si>
  <si>
    <r>
      <t>Adjustments</t>
    </r>
    <r>
      <rPr>
        <sz val="12"/>
        <color indexed="10"/>
        <rFont val="Times New Roman"/>
        <family val="1"/>
      </rPr>
      <t>*</t>
    </r>
  </si>
  <si>
    <t>*Note:</t>
  </si>
  <si>
    <t>Expenditure</t>
  </si>
  <si>
    <t>Receipt</t>
  </si>
  <si>
    <t xml:space="preserve">Fund Transferred </t>
  </si>
  <si>
    <t>Fund Transferred</t>
  </si>
  <si>
    <t>in the appropriate locations.  If any of the numbers are wrong, change them on this input sheet.</t>
  </si>
  <si>
    <t xml:space="preserve">Enter the following information from the sources shown.  This information will be  entered on the budget forms </t>
  </si>
  <si>
    <t>Budget Authority</t>
  </si>
  <si>
    <t>for Expenditures</t>
  </si>
  <si>
    <t>Does miscellaneous exceed 10% of Total Exp</t>
  </si>
  <si>
    <t>Does miscellaneous exceed 10% of Total Rec</t>
  </si>
  <si>
    <t>General Fund - Detail Expenditures</t>
  </si>
  <si>
    <t>Non-Appropriated Balance</t>
  </si>
  <si>
    <t>Total Expenditure/Non-Appr Balance</t>
  </si>
  <si>
    <t>Delinquent Comp Rate:</t>
  </si>
  <si>
    <t>Desired Carryover Amount:</t>
  </si>
  <si>
    <t>Estimated Mill Rate Impact:</t>
  </si>
  <si>
    <t>The estimated value of one mill would be:</t>
  </si>
  <si>
    <t>Change in Ad Valorem Tax Revenue:</t>
  </si>
  <si>
    <t>What Mill Rate Would Be Desired?</t>
  </si>
  <si>
    <t>Type</t>
  </si>
  <si>
    <t xml:space="preserve"> Debt</t>
  </si>
  <si>
    <t xml:space="preserve"> Purchased</t>
  </si>
  <si>
    <t>Items</t>
  </si>
  <si>
    <t>Clerk Name:</t>
  </si>
  <si>
    <t>Must be at least 10 days between date published and hearing held.</t>
  </si>
  <si>
    <t>January</t>
  </si>
  <si>
    <t>February</t>
  </si>
  <si>
    <t>March</t>
  </si>
  <si>
    <t>April</t>
  </si>
  <si>
    <t>May</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</si>
  <si>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</si>
  <si>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</si>
  <si>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</si>
  <si>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</si>
  <si>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</si>
  <si>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</si>
  <si>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</si>
  <si>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</si>
  <si>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</si>
  <si>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</si>
  <si>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 16/20M Vehicle Taxes </t>
  </si>
  <si>
    <t>Budgeted Funds</t>
  </si>
  <si>
    <t>Expenditures Must Be Changed by:</t>
  </si>
  <si>
    <t>Mill Rate Comparison</t>
  </si>
  <si>
    <t xml:space="preserve">Prior Year </t>
  </si>
  <si>
    <t xml:space="preserve">Current Year </t>
  </si>
  <si>
    <t xml:space="preserve">Proposed Budget </t>
  </si>
  <si>
    <t>Allocation of Vehicle Taxes</t>
  </si>
  <si>
    <t>Email:</t>
  </si>
  <si>
    <t>Non-Budgeted Funds-E</t>
  </si>
  <si>
    <t>Edwards County</t>
  </si>
  <si>
    <t>Noxious Weed</t>
  </si>
  <si>
    <t>County Health</t>
  </si>
  <si>
    <t>Hospital Maintenance</t>
  </si>
  <si>
    <t>Special Drug and Alcohol</t>
  </si>
  <si>
    <t>Special Parks and Recreation</t>
  </si>
  <si>
    <t>Noxious Weed Capital Outlay</t>
  </si>
  <si>
    <t>911 Emergency Telephone Tax</t>
  </si>
  <si>
    <t>911 Wireless Phone Tax</t>
  </si>
  <si>
    <t>Special Motor Vehicle</t>
  </si>
  <si>
    <t>Special Law Enforcement Trust</t>
  </si>
  <si>
    <t>Micro-Loan</t>
  </si>
  <si>
    <t>Special Highway Improvement</t>
  </si>
  <si>
    <t>Special Machinery</t>
  </si>
  <si>
    <t>Capital Improvement Reserve</t>
  </si>
  <si>
    <t>Equipment Reserve</t>
  </si>
  <si>
    <t>Retainage Contracts</t>
  </si>
  <si>
    <t>Deeds Technology</t>
  </si>
  <si>
    <t>Concealed Carry Handgun</t>
  </si>
  <si>
    <t>Bioterrorism Grant</t>
  </si>
  <si>
    <t>Emergency Preparedness</t>
  </si>
  <si>
    <t>Offender Registration</t>
  </si>
  <si>
    <t>Prosecutor Training</t>
  </si>
  <si>
    <t>Capital Improvement</t>
  </si>
  <si>
    <t>19-120</t>
  </si>
  <si>
    <t>8-145</t>
  </si>
  <si>
    <t>19-119</t>
  </si>
  <si>
    <t>Road and Bridge</t>
  </si>
  <si>
    <t>68-590</t>
  </si>
  <si>
    <t>68-141g</t>
  </si>
  <si>
    <t>2-1318</t>
  </si>
  <si>
    <t>2010 Cat 950H Wheel Loader</t>
  </si>
  <si>
    <t>Interest on Delinquent Tax</t>
  </si>
  <si>
    <t>Motor Vehicle Excise Tax</t>
  </si>
  <si>
    <t>Shared Revenue:</t>
  </si>
  <si>
    <t xml:space="preserve">  Grants</t>
  </si>
  <si>
    <t xml:space="preserve">  Local Sales Tax</t>
  </si>
  <si>
    <t xml:space="preserve">  Mineral Production Tax</t>
  </si>
  <si>
    <t xml:space="preserve">  Local Alcohol Tax</t>
  </si>
  <si>
    <t>Licneses, Permits and Fees:</t>
  </si>
  <si>
    <t xml:space="preserve">  Mortgage Registration Fees</t>
  </si>
  <si>
    <t xml:space="preserve">  County Officer Fees</t>
  </si>
  <si>
    <t xml:space="preserve">  Other Fees</t>
  </si>
  <si>
    <t>Charges for Services:</t>
  </si>
  <si>
    <t xml:space="preserve">  Prisoner Care</t>
  </si>
  <si>
    <t xml:space="preserve">  Sheriff Contract with City</t>
  </si>
  <si>
    <t xml:space="preserve">  Diversion Fees</t>
  </si>
  <si>
    <t>Transfer from Special Motor Vehicle</t>
  </si>
  <si>
    <t>County Commissioners</t>
  </si>
  <si>
    <t>County Attorney</t>
  </si>
  <si>
    <t>Courthouse General</t>
  </si>
  <si>
    <t>Zoning</t>
  </si>
  <si>
    <t>Insurance Cost</t>
  </si>
  <si>
    <t>Sheriff</t>
  </si>
  <si>
    <t>County Fair</t>
  </si>
  <si>
    <t>Transfer to Equipment Reserve</t>
  </si>
  <si>
    <t>Transfer to Multi-Year Capital Improvement</t>
  </si>
  <si>
    <t>Transfer to Economic Development</t>
  </si>
  <si>
    <t>Historical Society</t>
  </si>
  <si>
    <t xml:space="preserve">  Reimbursed Expenditures</t>
  </si>
  <si>
    <t xml:space="preserve">  Subsidies</t>
  </si>
  <si>
    <t>Contractual</t>
  </si>
  <si>
    <t>Appropriation</t>
  </si>
  <si>
    <t xml:space="preserve">  Subsidy</t>
  </si>
  <si>
    <t xml:space="preserve">  Appropriation</t>
  </si>
  <si>
    <t xml:space="preserve">  Operating Transfer</t>
  </si>
  <si>
    <t>Operating Transfer</t>
  </si>
  <si>
    <t xml:space="preserve">  Transfer to Component Unit</t>
  </si>
  <si>
    <t>Total  - Page 7e</t>
  </si>
  <si>
    <t>None</t>
  </si>
  <si>
    <t>In Lieu of Tax</t>
  </si>
  <si>
    <t>Other Tax</t>
  </si>
  <si>
    <t>Special City and County Highway</t>
  </si>
  <si>
    <t>Licenses, Permits and Fees</t>
  </si>
  <si>
    <t>Charges for Services</t>
  </si>
  <si>
    <t>Highways, Streets and Bridges:</t>
  </si>
  <si>
    <t>Transfer to Special Highway Improvement</t>
  </si>
  <si>
    <t>Transfer to Special Machinery</t>
  </si>
  <si>
    <t>Highways, Streets, and Bridges:</t>
  </si>
  <si>
    <t>Transfer to Noxious Weed Capital Outlay</t>
  </si>
  <si>
    <t>General Government:</t>
  </si>
  <si>
    <t xml:space="preserve">  Social Security</t>
  </si>
  <si>
    <t xml:space="preserve">  KPERS</t>
  </si>
  <si>
    <t xml:space="preserve">  Vision and Life Insurance</t>
  </si>
  <si>
    <t xml:space="preserve">  Health Insurance Premiums</t>
  </si>
  <si>
    <t xml:space="preserve">  Kansas Unemployment Tax</t>
  </si>
  <si>
    <t xml:space="preserve">  Workers' Compensation Insurance</t>
  </si>
  <si>
    <t xml:space="preserve">  Short-Term Disability</t>
  </si>
  <si>
    <t xml:space="preserve">  Reimbursements</t>
  </si>
  <si>
    <t>Health and Welfare</t>
  </si>
  <si>
    <t>Federal and State Aid</t>
  </si>
  <si>
    <t>Transfer to Capital Improvement</t>
  </si>
  <si>
    <t>Transfer to Component Unit</t>
  </si>
  <si>
    <t>Local Alcohol and Liquor Tax</t>
  </si>
  <si>
    <t>Health and Welfare:</t>
  </si>
  <si>
    <t>Culture and Recreation:</t>
  </si>
  <si>
    <t>Transfer from Noxious Weed</t>
  </si>
  <si>
    <t>Public Safety:</t>
  </si>
  <si>
    <t xml:space="preserve">  Contractual Services</t>
  </si>
  <si>
    <t>Personal Services</t>
  </si>
  <si>
    <t>Commodities</t>
  </si>
  <si>
    <t>Capital Outlay</t>
  </si>
  <si>
    <t>Grants</t>
  </si>
  <si>
    <t>Licenses, Permits,</t>
  </si>
  <si>
    <t xml:space="preserve">  and Fees</t>
  </si>
  <si>
    <t>Transfer from:</t>
  </si>
  <si>
    <t>Salaries</t>
  </si>
  <si>
    <t>Transfer to:</t>
  </si>
  <si>
    <t>Public Works</t>
  </si>
  <si>
    <t xml:space="preserve">  Prairie Dog</t>
  </si>
  <si>
    <t>Residual Equity Transfer</t>
  </si>
  <si>
    <t xml:space="preserve">  General</t>
  </si>
  <si>
    <t xml:space="preserve">  Road and Bridge</t>
  </si>
  <si>
    <t xml:space="preserve">  Health</t>
  </si>
  <si>
    <t>James R Shirley</t>
  </si>
  <si>
    <t>Kennedy McKee &amp; Company LLP</t>
  </si>
  <si>
    <t>PO Box 1477</t>
  </si>
  <si>
    <t>Dodge City, KS  67801</t>
  </si>
  <si>
    <t>Gina Schuette</t>
  </si>
  <si>
    <t>10:00 a.m.</t>
  </si>
  <si>
    <t>Edwards County Courthouse</t>
  </si>
  <si>
    <t>Edwards County Clerk's Office</t>
  </si>
  <si>
    <t>Extension Office</t>
  </si>
  <si>
    <t>Transfer Station</t>
  </si>
  <si>
    <t>Donations</t>
  </si>
  <si>
    <t>.</t>
  </si>
  <si>
    <t>Edwards Co 911</t>
  </si>
  <si>
    <t>12-16,102</t>
  </si>
  <si>
    <t>65-204</t>
  </si>
  <si>
    <t>19-4606</t>
  </si>
  <si>
    <t>rshirley@kmc-cpa.com</t>
  </si>
  <si>
    <t>2007 Cat Dozer</t>
  </si>
  <si>
    <t>Sale of equipment</t>
  </si>
  <si>
    <t>Reimbursement</t>
  </si>
  <si>
    <t>Shared Revenue</t>
  </si>
  <si>
    <t xml:space="preserve">   General</t>
  </si>
  <si>
    <t>July 29,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</si>
</sst>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_);\(#,##0.000\)"/>
    <numFmt numFmtId="172" formatCode="0.000"/>
    <numFmt numFmtId="173" formatCode="#,##0.000"/>
    <numFmt numFmtId="174" formatCode="[$-409]mmmm\ d\,\ yyyy;@"/>
    <numFmt numFmtId="175" formatCode="[$-409]h:mm\ AM/PM;@"/>
    <numFmt numFmtId="176" formatCode="&quot;$&quot;#,##0"/>
    <numFmt numFmtId="177" formatCode="#,###"/>
    <numFmt numFmtId="178" formatCode="0.0%"/>
  </numFmts>
  <fonts count="45" x14ac:knownFonts="1">
    <font>
      <sz val="12"/>
      <name val="Courier"/>
    </font>
    <font>
      <b/>
      <sz val="12"/>
      <name val="Courier"/>
    </font>
    <font>
      <sz val="12"/>
      <name val="Courier"/>
      <family val="3"/>
    </font>
    <font>
      <sz val="12"/>
      <name val="Times New Roman"/>
      <family val="1"/>
    </font>
    <font>
      <b/>
      <sz val="12"/>
      <name val="Times New Roman"/>
      <family val="1"/>
    </font>
    <font>
      <u/>
      <sz val="12"/>
      <name val="Times New Roman"/>
      <family val="1"/>
    </font>
    <font>
      <sz val="14"/>
      <name val="Times New Roman"/>
      <family val="1"/>
    </font>
    <font>
      <sz val="11"/>
      <name val="Times New Roman"/>
      <family val="1"/>
    </font>
    <font>
      <sz val="8"/>
      <name val="Courier"/>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9"/>
      <name val="Times New Roman"/>
      <family val="1"/>
    </font>
    <font>
      <sz val="10"/>
      <name val="Times New Roman"/>
      <family val="1"/>
    </font>
    <font>
      <b/>
      <sz val="10"/>
      <name val="Times New Roman"/>
      <family val="1"/>
    </font>
    <font>
      <sz val="10"/>
      <name val="Courier"/>
      <family val="3"/>
    </font>
    <font>
      <sz val="12"/>
      <color indexed="9"/>
      <name val="Times New Roman"/>
      <family val="1"/>
    </font>
    <font>
      <sz val="8"/>
      <name val="Times New Roman"/>
      <family val="1"/>
    </font>
    <font>
      <b/>
      <u/>
      <sz val="12"/>
      <name val="Times New Roman"/>
      <family val="1"/>
    </font>
    <font>
      <sz val="12"/>
      <color indexed="10"/>
      <name val="Times New Roman"/>
      <family val="1"/>
    </font>
    <font>
      <b/>
      <u/>
      <sz val="12"/>
      <color indexed="10"/>
      <name val="Times New Roman"/>
      <family val="1"/>
    </font>
    <font>
      <b/>
      <u/>
      <sz val="12"/>
      <name val="Courier"/>
      <family val="3"/>
    </font>
    <font>
      <b/>
      <sz val="8"/>
      <name val="Times New Roman"/>
      <family val="1"/>
    </font>
    <font>
      <b/>
      <u/>
      <sz val="10"/>
      <name val="Times New Roman"/>
      <family val="1"/>
    </font>
    <font>
      <b/>
      <sz val="12"/>
      <color indexed="10"/>
      <name val="Times New Roman"/>
      <family val="1"/>
    </font>
    <font>
      <sz val="12"/>
      <color indexed="10"/>
      <name val="Courier"/>
      <family val="3"/>
    </font>
    <font>
      <i/>
      <sz val="12"/>
      <name val="Times New Roman"/>
      <family val="1"/>
    </font>
    <font>
      <sz val="12"/>
      <name val="Courier"/>
      <family val="3"/>
    </font>
    <font>
      <b/>
      <u/>
      <sz val="8"/>
      <color indexed="10"/>
      <name val="Times New Roman"/>
      <family val="1"/>
    </font>
    <font>
      <u/>
      <sz val="12"/>
      <color indexed="12"/>
      <name val="Courier"/>
      <family val="3"/>
    </font>
    <font>
      <sz val="12"/>
      <name val="Courier New"/>
      <family val="3"/>
    </font>
    <font>
      <b/>
      <sz val="12"/>
      <name val="Courier"/>
      <family val="3"/>
    </font>
    <font>
      <sz val="12"/>
      <name val="Courier"/>
      <family val="3"/>
    </font>
    <font>
      <b/>
      <u/>
      <sz val="10"/>
      <name val="Courier"/>
      <family val="3"/>
    </font>
    <font>
      <sz val="10"/>
      <color indexed="1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
      <u/>
      <sz val="12"/>
      <color theme="10"/>
      <name val="Courier"/>
    </font>
    <font>
      <u/>
      <sz val="10"/>
      <color rgb="FFFF0000"/>
      <name val="Times New Roman"/>
      <family val="1"/>
    </font>
  </fonts>
  <fills count="15">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1"/>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rgb="FFFFFFC0"/>
        <bgColor indexed="64"/>
      </patternFill>
    </fill>
    <fill>
      <patternFill patternType="solid">
        <fgColor rgb="FFFFFF00"/>
        <bgColor indexed="64"/>
      </patternFill>
    </fill>
    <fill>
      <patternFill patternType="solid">
        <fgColor rgb="FFFFFF99"/>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top/>
      <bottom style="double">
        <color indexed="64"/>
      </bottom>
      <diagonal/>
    </border>
    <border>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style="thin">
        <color indexed="64"/>
      </left>
      <right/>
      <top/>
      <bottom/>
      <diagonal/>
    </border>
  </borders>
  <cellStyleXfs count="343">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29" fillId="0" borderId="0"/>
    <xf numFmtId="0" fontId="9" fillId="0" borderId="0"/>
    <xf numFmtId="0" fontId="9" fillId="0" borderId="0"/>
    <xf numFmtId="0" fontId="9" fillId="0" borderId="0"/>
    <xf numFmtId="0" fontId="2" fillId="0" borderId="0"/>
    <xf numFmtId="0" fontId="9" fillId="0" borderId="0"/>
    <xf numFmtId="0" fontId="2" fillId="0" borderId="0"/>
    <xf numFmtId="0" fontId="29"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9" fillId="0" borderId="0"/>
    <xf numFmtId="0" fontId="9" fillId="0" borderId="0"/>
    <xf numFmtId="0" fontId="32" fillId="0" borderId="0"/>
    <xf numFmtId="0" fontId="9" fillId="0" borderId="0"/>
    <xf numFmtId="0" fontId="9"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43" fillId="0" borderId="0" applyNumberFormat="0" applyFill="0" applyBorder="0" applyAlignment="0" applyProtection="0">
      <alignment vertical="top"/>
      <protection locked="0"/>
    </xf>
  </cellStyleXfs>
  <cellXfs count="610">
    <xf numFmtId="0" fontId="0" fillId="0" borderId="0" xfId="0"/>
    <xf numFmtId="0" fontId="3" fillId="0" borderId="0" xfId="0" applyFont="1" applyProtection="1">
      <protection locked="0"/>
    </xf>
    <xf numFmtId="0" fontId="3" fillId="0" borderId="0" xfId="0" applyFont="1"/>
    <xf numFmtId="0" fontId="3" fillId="0" borderId="0" xfId="0" applyFont="1" applyAlignment="1"/>
    <xf numFmtId="0" fontId="3" fillId="2" borderId="0" xfId="0" applyFont="1" applyFill="1" applyProtection="1">
      <protection locked="0"/>
    </xf>
    <xf numFmtId="37" fontId="3" fillId="3" borderId="3" xfId="0" applyNumberFormat="1" applyFont="1" applyFill="1" applyBorder="1" applyAlignment="1" applyProtection="1">
      <alignment horizontal="center"/>
    </xf>
    <xf numFmtId="37" fontId="3" fillId="3" borderId="0" xfId="0" applyNumberFormat="1" applyFont="1" applyFill="1" applyAlignment="1" applyProtection="1">
      <alignment horizontal="right"/>
    </xf>
    <xf numFmtId="0" fontId="3" fillId="3" borderId="0" xfId="0" applyFont="1" applyFill="1" applyProtection="1"/>
    <xf numFmtId="37" fontId="3" fillId="3" borderId="0" xfId="0" applyNumberFormat="1" applyFont="1" applyFill="1" applyAlignment="1" applyProtection="1">
      <alignment horizontal="left"/>
    </xf>
    <xf numFmtId="37" fontId="3" fillId="3" borderId="0" xfId="0" applyNumberFormat="1" applyFont="1" applyFill="1" applyAlignment="1" applyProtection="1">
      <alignment horizontal="centerContinuous"/>
    </xf>
    <xf numFmtId="0" fontId="3" fillId="3" borderId="0" xfId="0" applyFont="1" applyFill="1" applyAlignment="1" applyProtection="1">
      <alignment horizontal="centerContinuous"/>
    </xf>
    <xf numFmtId="37" fontId="3" fillId="3" borderId="2" xfId="0" applyNumberFormat="1" applyFont="1" applyFill="1" applyBorder="1" applyProtection="1"/>
    <xf numFmtId="37" fontId="3" fillId="3" borderId="0" xfId="0" applyNumberFormat="1" applyFont="1" applyFill="1" applyProtection="1"/>
    <xf numFmtId="0" fontId="3" fillId="3" borderId="0" xfId="0" applyFont="1" applyFill="1"/>
    <xf numFmtId="0" fontId="3" fillId="3" borderId="0" xfId="0" applyFont="1" applyFill="1" applyAlignment="1" applyProtection="1">
      <alignment horizontal="center"/>
    </xf>
    <xf numFmtId="0" fontId="11" fillId="0" borderId="0" xfId="0" applyFont="1" applyAlignment="1">
      <alignment horizontal="center" vertical="top"/>
    </xf>
    <xf numFmtId="0" fontId="0" fillId="0" borderId="0" xfId="0" applyAlignment="1">
      <alignment vertical="top"/>
    </xf>
    <xf numFmtId="0" fontId="11" fillId="0" borderId="0" xfId="0" applyFont="1" applyAlignment="1">
      <alignment vertical="top"/>
    </xf>
    <xf numFmtId="0" fontId="9" fillId="0" borderId="0" xfId="341" applyAlignment="1">
      <alignment vertical="top"/>
    </xf>
    <xf numFmtId="0" fontId="9" fillId="0" borderId="0" xfId="341"/>
    <xf numFmtId="0" fontId="12" fillId="0" borderId="0" xfId="0" applyFont="1" applyAlignment="1">
      <alignment vertical="top"/>
    </xf>
    <xf numFmtId="0" fontId="7" fillId="0" borderId="0" xfId="0" applyFont="1" applyAlignment="1">
      <alignment horizontal="center" vertical="top"/>
    </xf>
    <xf numFmtId="0" fontId="11"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vertical="top"/>
    </xf>
    <xf numFmtId="0" fontId="13" fillId="0" borderId="0" xfId="0" applyFont="1" applyAlignment="1"/>
    <xf numFmtId="0" fontId="13" fillId="0" borderId="0" xfId="0" applyNumberFormat="1" applyFont="1" applyAlignment="1"/>
    <xf numFmtId="0" fontId="7" fillId="0" borderId="0" xfId="0" applyFont="1" applyAlignment="1"/>
    <xf numFmtId="0" fontId="7" fillId="0" borderId="0" xfId="0" applyFont="1"/>
    <xf numFmtId="0" fontId="14" fillId="0" borderId="0" xfId="0" applyFont="1"/>
    <xf numFmtId="37" fontId="3" fillId="3" borderId="0" xfId="0" applyNumberFormat="1" applyFont="1" applyFill="1" applyBorder="1" applyAlignment="1" applyProtection="1">
      <alignment horizontal="left"/>
    </xf>
    <xf numFmtId="0" fontId="3" fillId="3" borderId="0" xfId="0" applyFont="1" applyFill="1" applyAlignment="1">
      <alignment horizontal="center"/>
    </xf>
    <xf numFmtId="0" fontId="3" fillId="0" borderId="0" xfId="0" applyFont="1" applyAlignment="1">
      <alignment vertical="top"/>
    </xf>
    <xf numFmtId="0" fontId="3" fillId="0" borderId="0" xfId="341" applyFont="1" applyAlignment="1">
      <alignment vertical="top"/>
    </xf>
    <xf numFmtId="0" fontId="18" fillId="0" borderId="0" xfId="0" applyNumberFormat="1" applyFont="1" applyAlignment="1">
      <alignment vertical="top"/>
    </xf>
    <xf numFmtId="0" fontId="18" fillId="0" borderId="0" xfId="0" applyFont="1" applyAlignment="1"/>
    <xf numFmtId="0" fontId="3" fillId="0" borderId="0" xfId="341" applyFont="1"/>
    <xf numFmtId="0" fontId="3" fillId="0" borderId="0" xfId="0" applyFont="1" applyAlignment="1">
      <alignment horizontal="right"/>
    </xf>
    <xf numFmtId="166" fontId="3" fillId="3" borderId="0" xfId="0" applyNumberFormat="1" applyFont="1" applyFill="1" applyAlignment="1" applyProtection="1">
      <alignment horizontal="center"/>
    </xf>
    <xf numFmtId="37" fontId="3" fillId="3" borderId="1" xfId="0" applyNumberFormat="1" applyFont="1" applyFill="1" applyBorder="1" applyAlignment="1" applyProtection="1">
      <alignment horizontal="center"/>
    </xf>
    <xf numFmtId="37" fontId="3" fillId="3" borderId="0" xfId="0" applyNumberFormat="1" applyFont="1" applyFill="1" applyBorder="1" applyAlignment="1" applyProtection="1">
      <alignment horizontal="center"/>
    </xf>
    <xf numFmtId="165" fontId="3" fillId="4" borderId="1" xfId="0" applyNumberFormat="1" applyFont="1" applyFill="1" applyBorder="1" applyAlignment="1" applyProtection="1">
      <alignment horizontal="center"/>
    </xf>
    <xf numFmtId="165" fontId="3" fillId="3" borderId="0" xfId="0" applyNumberFormat="1" applyFont="1" applyFill="1" applyBorder="1" applyAlignment="1" applyProtection="1">
      <alignment horizontal="center"/>
    </xf>
    <xf numFmtId="0" fontId="3" fillId="3" borderId="0" xfId="0" applyFont="1" applyFill="1" applyAlignment="1">
      <alignment horizontal="left"/>
    </xf>
    <xf numFmtId="37" fontId="4" fillId="3" borderId="0" xfId="0" applyNumberFormat="1" applyFont="1" applyFill="1" applyAlignment="1" applyProtection="1">
      <alignment horizontal="center"/>
    </xf>
    <xf numFmtId="0" fontId="0" fillId="3" borderId="0" xfId="0" applyFill="1"/>
    <xf numFmtId="0" fontId="0" fillId="3" borderId="0" xfId="0" applyFill="1" applyAlignment="1"/>
    <xf numFmtId="171" fontId="3" fillId="3" borderId="0" xfId="0" applyNumberFormat="1" applyFont="1" applyFill="1" applyBorder="1" applyAlignment="1" applyProtection="1">
      <alignment horizontal="center"/>
    </xf>
    <xf numFmtId="0" fontId="3" fillId="0" borderId="0" xfId="0" applyFont="1" applyAlignment="1">
      <alignment vertical="center"/>
    </xf>
    <xf numFmtId="0" fontId="3" fillId="6" borderId="0" xfId="0" applyFont="1" applyFill="1" applyAlignment="1">
      <alignment vertical="center"/>
    </xf>
    <xf numFmtId="37" fontId="3" fillId="3" borderId="0" xfId="0" applyNumberFormat="1" applyFont="1" applyFill="1" applyAlignment="1" applyProtection="1">
      <alignment horizontal="left" vertical="center"/>
    </xf>
    <xf numFmtId="0" fontId="3" fillId="3" borderId="0" xfId="0" applyFont="1" applyFill="1" applyAlignment="1" applyProtection="1">
      <alignment vertical="center"/>
    </xf>
    <xf numFmtId="0" fontId="3" fillId="2" borderId="1" xfId="0" applyFont="1" applyFill="1" applyBorder="1" applyAlignment="1" applyProtection="1">
      <alignment vertical="center"/>
    </xf>
    <xf numFmtId="37" fontId="3" fillId="2" borderId="1" xfId="0" applyNumberFormat="1" applyFont="1" applyFill="1" applyBorder="1" applyAlignment="1" applyProtection="1">
      <alignment horizontal="left" vertical="center"/>
      <protection locked="0"/>
    </xf>
    <xf numFmtId="0" fontId="3" fillId="3" borderId="0" xfId="0" applyFont="1" applyFill="1" applyBorder="1" applyAlignment="1" applyProtection="1">
      <alignment vertical="center"/>
    </xf>
    <xf numFmtId="37" fontId="3" fillId="3" borderId="0" xfId="0" applyNumberFormat="1" applyFont="1" applyFill="1" applyBorder="1" applyAlignment="1" applyProtection="1">
      <alignment horizontal="left" vertical="center"/>
      <protection locked="0"/>
    </xf>
    <xf numFmtId="0" fontId="4" fillId="2" borderId="2"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5" borderId="0" xfId="0" applyFont="1" applyFill="1" applyAlignment="1" applyProtection="1">
      <alignment vertical="center"/>
    </xf>
    <xf numFmtId="0" fontId="3" fillId="5" borderId="0" xfId="0" applyFont="1" applyFill="1" applyAlignment="1" applyProtection="1">
      <alignment vertical="center"/>
    </xf>
    <xf numFmtId="37" fontId="4" fillId="5" borderId="0" xfId="0" applyNumberFormat="1" applyFont="1" applyFill="1" applyAlignment="1" applyProtection="1">
      <alignment horizontal="left" vertical="center"/>
    </xf>
    <xf numFmtId="0" fontId="3" fillId="3" borderId="0" xfId="0" applyFont="1" applyFill="1" applyAlignment="1" applyProtection="1">
      <alignment horizontal="center" vertical="center"/>
    </xf>
    <xf numFmtId="0" fontId="3" fillId="5" borderId="7" xfId="0" applyFont="1" applyFill="1" applyBorder="1" applyAlignment="1" applyProtection="1">
      <alignment horizontal="center" vertical="center"/>
    </xf>
    <xf numFmtId="37" fontId="3" fillId="5" borderId="7" xfId="0" applyNumberFormat="1" applyFont="1" applyFill="1" applyBorder="1" applyAlignment="1" applyProtection="1">
      <alignment horizontal="center" vertical="center"/>
    </xf>
    <xf numFmtId="0" fontId="3" fillId="5"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center" vertical="center"/>
    </xf>
    <xf numFmtId="37" fontId="3" fillId="5" borderId="8"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left" vertical="center"/>
    </xf>
    <xf numFmtId="0" fontId="3" fillId="3" borderId="2" xfId="0" applyFont="1" applyFill="1" applyBorder="1" applyAlignment="1" applyProtection="1">
      <alignment vertical="center"/>
      <protection locked="0"/>
    </xf>
    <xf numFmtId="3" fontId="3" fillId="2" borderId="2" xfId="0" applyNumberFormat="1" applyFont="1" applyFill="1" applyBorder="1" applyAlignment="1" applyProtection="1">
      <alignment vertical="center"/>
      <protection locked="0"/>
    </xf>
    <xf numFmtId="3" fontId="3" fillId="7" borderId="2" xfId="0" applyNumberFormat="1" applyFont="1" applyFill="1" applyBorder="1" applyAlignment="1" applyProtection="1">
      <alignment vertical="center" wrapText="1"/>
      <protection locked="0"/>
    </xf>
    <xf numFmtId="164" fontId="3" fillId="7" borderId="2" xfId="0" applyNumberFormat="1" applyFont="1" applyFill="1" applyBorder="1" applyAlignment="1" applyProtection="1">
      <alignment vertical="center"/>
      <protection locked="0"/>
    </xf>
    <xf numFmtId="0" fontId="3" fillId="3" borderId="2" xfId="0" applyFont="1" applyFill="1" applyBorder="1" applyAlignment="1" applyProtection="1">
      <alignment vertical="center"/>
    </xf>
    <xf numFmtId="164" fontId="3" fillId="2" borderId="2" xfId="0" applyNumberFormat="1" applyFont="1" applyFill="1" applyBorder="1" applyAlignment="1" applyProtection="1">
      <alignment vertical="center"/>
      <protection locked="0"/>
    </xf>
    <xf numFmtId="0" fontId="3" fillId="7" borderId="2" xfId="0" applyFont="1" applyFill="1" applyBorder="1" applyAlignment="1" applyProtection="1">
      <alignment horizontal="left" vertical="center"/>
      <protection locked="0"/>
    </xf>
    <xf numFmtId="0" fontId="3" fillId="2" borderId="2" xfId="0" applyFont="1" applyFill="1" applyBorder="1" applyAlignment="1" applyProtection="1">
      <alignment vertical="center"/>
      <protection locked="0"/>
    </xf>
    <xf numFmtId="3" fontId="3" fillId="7" borderId="2" xfId="0" applyNumberFormat="1" applyFont="1" applyFill="1" applyBorder="1" applyAlignment="1" applyProtection="1">
      <alignment vertical="center"/>
      <protection locked="0"/>
    </xf>
    <xf numFmtId="37" fontId="3" fillId="3" borderId="1" xfId="0" applyNumberFormat="1" applyFont="1" applyFill="1" applyBorder="1" applyAlignment="1" applyProtection="1">
      <alignment horizontal="left" vertical="center"/>
    </xf>
    <xf numFmtId="0" fontId="3" fillId="3" borderId="1" xfId="0" applyFont="1" applyFill="1" applyBorder="1" applyAlignment="1" applyProtection="1">
      <alignment vertical="center"/>
    </xf>
    <xf numFmtId="0" fontId="3" fillId="3" borderId="6" xfId="0" applyFont="1" applyFill="1" applyBorder="1" applyAlignment="1" applyProtection="1">
      <alignment vertical="center"/>
    </xf>
    <xf numFmtId="3" fontId="3" fillId="4" borderId="6" xfId="0" applyNumberFormat="1" applyFont="1" applyFill="1" applyBorder="1" applyAlignment="1" applyProtection="1">
      <alignment vertical="center"/>
    </xf>
    <xf numFmtId="164" fontId="3" fillId="4" borderId="2" xfId="0" applyNumberFormat="1" applyFont="1" applyFill="1" applyBorder="1" applyAlignment="1" applyProtection="1">
      <alignment vertical="center"/>
    </xf>
    <xf numFmtId="164" fontId="3" fillId="3" borderId="1" xfId="0" applyNumberFormat="1" applyFont="1" applyFill="1" applyBorder="1" applyAlignment="1" applyProtection="1">
      <alignment vertical="center"/>
      <protection locked="0"/>
    </xf>
    <xf numFmtId="0" fontId="3" fillId="3" borderId="9" xfId="0" applyFont="1" applyFill="1" applyBorder="1" applyAlignment="1" applyProtection="1">
      <alignment vertical="center"/>
    </xf>
    <xf numFmtId="3" fontId="3" fillId="4" borderId="2" xfId="0" applyNumberFormat="1" applyFont="1" applyFill="1" applyBorder="1" applyAlignment="1" applyProtection="1">
      <alignment vertical="center"/>
    </xf>
    <xf numFmtId="37" fontId="3" fillId="3" borderId="0" xfId="0" applyNumberFormat="1" applyFont="1" applyFill="1" applyBorder="1" applyAlignment="1" applyProtection="1">
      <alignment horizontal="left" vertical="center"/>
    </xf>
    <xf numFmtId="164" fontId="3" fillId="3" borderId="0" xfId="0" applyNumberFormat="1" applyFont="1" applyFill="1" applyBorder="1" applyAlignment="1" applyProtection="1">
      <alignment vertical="center"/>
      <protection locked="0"/>
    </xf>
    <xf numFmtId="3" fontId="3" fillId="3" borderId="0" xfId="0" applyNumberFormat="1" applyFont="1" applyFill="1" applyBorder="1" applyAlignment="1" applyProtection="1">
      <alignment vertical="center"/>
    </xf>
    <xf numFmtId="37" fontId="4" fillId="8" borderId="0" xfId="0" applyNumberFormat="1" applyFont="1" applyFill="1" applyAlignment="1" applyProtection="1">
      <alignment horizontal="left" vertical="center"/>
    </xf>
    <xf numFmtId="0" fontId="3" fillId="3" borderId="0" xfId="0" applyFont="1" applyFill="1" applyAlignment="1">
      <alignment vertical="center"/>
    </xf>
    <xf numFmtId="0" fontId="3" fillId="8" borderId="0" xfId="0" applyFont="1" applyFill="1" applyAlignment="1" applyProtection="1">
      <alignment vertical="center"/>
    </xf>
    <xf numFmtId="37" fontId="3" fillId="3" borderId="2" xfId="0" applyNumberFormat="1" applyFont="1" applyFill="1" applyBorder="1" applyAlignment="1" applyProtection="1">
      <alignment vertical="center"/>
    </xf>
    <xf numFmtId="37" fontId="3" fillId="5" borderId="1" xfId="0" applyNumberFormat="1" applyFont="1" applyFill="1" applyBorder="1" applyAlignment="1" applyProtection="1">
      <alignment horizontal="left" vertical="center"/>
    </xf>
    <xf numFmtId="0" fontId="3" fillId="5" borderId="1" xfId="0" applyFont="1" applyFill="1" applyBorder="1" applyAlignment="1" applyProtection="1">
      <alignment vertical="center"/>
    </xf>
    <xf numFmtId="37" fontId="3" fillId="5" borderId="5" xfId="0" applyNumberFormat="1" applyFont="1" applyFill="1" applyBorder="1" applyAlignment="1" applyProtection="1">
      <alignment horizontal="left" vertical="center"/>
    </xf>
    <xf numFmtId="0" fontId="3" fillId="5" borderId="5" xfId="0" applyFont="1" applyFill="1" applyBorder="1" applyAlignment="1" applyProtection="1">
      <alignment vertical="center"/>
    </xf>
    <xf numFmtId="0" fontId="3" fillId="3" borderId="5" xfId="0" applyFont="1" applyFill="1" applyBorder="1" applyAlignment="1" applyProtection="1">
      <alignment vertical="center"/>
    </xf>
    <xf numFmtId="3" fontId="3" fillId="3" borderId="0" xfId="0" applyNumberFormat="1" applyFont="1" applyFill="1" applyBorder="1" applyAlignment="1" applyProtection="1">
      <alignment vertical="center"/>
      <protection locked="0"/>
    </xf>
    <xf numFmtId="37" fontId="20" fillId="8" borderId="0" xfId="0" applyNumberFormat="1" applyFont="1" applyFill="1" applyAlignment="1" applyProtection="1">
      <alignment horizontal="left" vertical="center"/>
    </xf>
    <xf numFmtId="0" fontId="5" fillId="5" borderId="0" xfId="0" applyFont="1" applyFill="1" applyAlignment="1">
      <alignment vertical="center"/>
    </xf>
    <xf numFmtId="0" fontId="3" fillId="8" borderId="0" xfId="0" applyFont="1" applyFill="1" applyAlignment="1" applyProtection="1">
      <alignment vertical="center"/>
      <protection locked="0"/>
    </xf>
    <xf numFmtId="0" fontId="3" fillId="3" borderId="0" xfId="0" applyFont="1" applyFill="1" applyAlignment="1" applyProtection="1">
      <alignment vertical="center"/>
      <protection locked="0"/>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protection locked="0"/>
    </xf>
    <xf numFmtId="0" fontId="3" fillId="8" borderId="1"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8" borderId="5" xfId="0" applyFont="1" applyFill="1" applyBorder="1" applyAlignment="1" applyProtection="1">
      <alignment vertical="center"/>
      <protection locked="0"/>
    </xf>
    <xf numFmtId="0" fontId="3" fillId="0" borderId="0" xfId="0" applyFont="1" applyAlignment="1" applyProtection="1">
      <alignment vertical="center"/>
      <protection locked="0"/>
    </xf>
    <xf numFmtId="37" fontId="3" fillId="3" borderId="0" xfId="0" applyNumberFormat="1" applyFont="1" applyFill="1" applyAlignment="1">
      <alignment vertical="center"/>
    </xf>
    <xf numFmtId="3" fontId="3" fillId="3" borderId="0" xfId="0" applyNumberFormat="1" applyFont="1" applyFill="1" applyAlignment="1" applyProtection="1">
      <alignment vertical="center"/>
    </xf>
    <xf numFmtId="37" fontId="3" fillId="3" borderId="5" xfId="0" applyNumberFormat="1" applyFont="1" applyFill="1" applyBorder="1" applyAlignment="1" applyProtection="1">
      <alignment horizontal="left" vertical="center"/>
    </xf>
    <xf numFmtId="37" fontId="3" fillId="2" borderId="2" xfId="0" applyNumberFormat="1" applyFont="1" applyFill="1" applyBorder="1" applyAlignment="1" applyProtection="1">
      <alignment vertical="center"/>
      <protection locked="0"/>
    </xf>
    <xf numFmtId="37" fontId="3" fillId="3" borderId="4" xfId="0" applyNumberFormat="1" applyFont="1" applyFill="1" applyBorder="1" applyAlignment="1" applyProtection="1">
      <alignment horizontal="left" vertical="center"/>
    </xf>
    <xf numFmtId="3" fontId="3" fillId="3" borderId="9" xfId="0" applyNumberFormat="1" applyFont="1" applyFill="1" applyBorder="1" applyAlignment="1" applyProtection="1">
      <alignment vertical="center"/>
    </xf>
    <xf numFmtId="3" fontId="3" fillId="3" borderId="6" xfId="0" applyNumberFormat="1" applyFont="1" applyFill="1" applyBorder="1" applyAlignment="1" applyProtection="1">
      <alignment vertical="center"/>
    </xf>
    <xf numFmtId="3" fontId="3" fillId="3" borderId="5" xfId="0" applyNumberFormat="1" applyFont="1" applyFill="1" applyBorder="1" applyAlignment="1" applyProtection="1">
      <alignment vertical="center"/>
    </xf>
    <xf numFmtId="0" fontId="4" fillId="3" borderId="0" xfId="0" applyFont="1" applyFill="1" applyAlignment="1" applyProtection="1">
      <alignment vertical="center"/>
    </xf>
    <xf numFmtId="37" fontId="3" fillId="3" borderId="1" xfId="0" applyNumberFormat="1" applyFont="1" applyFill="1" applyBorder="1" applyAlignment="1" applyProtection="1">
      <alignment vertical="center"/>
    </xf>
    <xf numFmtId="0" fontId="0" fillId="3" borderId="0" xfId="0" applyFill="1" applyAlignment="1">
      <alignment vertical="center"/>
    </xf>
    <xf numFmtId="0" fontId="3" fillId="5" borderId="7" xfId="0" applyFont="1" applyFill="1" applyBorder="1" applyAlignment="1">
      <alignment horizontal="center" vertical="center"/>
    </xf>
    <xf numFmtId="0" fontId="3" fillId="5" borderId="3" xfId="0" applyFont="1" applyFill="1" applyBorder="1" applyAlignment="1">
      <alignment horizontal="center" vertical="center"/>
    </xf>
    <xf numFmtId="0" fontId="21" fillId="3" borderId="0" xfId="0" applyFont="1" applyFill="1" applyAlignment="1">
      <alignment vertical="center"/>
    </xf>
    <xf numFmtId="0" fontId="27" fillId="3" borderId="0" xfId="0" applyFont="1" applyFill="1" applyAlignment="1">
      <alignment vertical="center"/>
    </xf>
    <xf numFmtId="0" fontId="3" fillId="5" borderId="8" xfId="0" applyFont="1" applyFill="1" applyBorder="1" applyAlignment="1">
      <alignment horizontal="center" vertical="center"/>
    </xf>
    <xf numFmtId="37" fontId="3" fillId="3" borderId="8" xfId="0" applyNumberFormat="1" applyFont="1" applyFill="1" applyBorder="1" applyAlignment="1">
      <alignment vertical="center"/>
    </xf>
    <xf numFmtId="3" fontId="3" fillId="2" borderId="8" xfId="0" applyNumberFormat="1" applyFont="1" applyFill="1" applyBorder="1" applyAlignment="1" applyProtection="1">
      <alignment vertical="center"/>
      <protection locked="0"/>
    </xf>
    <xf numFmtId="0" fontId="15" fillId="3" borderId="0" xfId="0" applyFont="1" applyFill="1" applyAlignment="1">
      <alignment vertical="center"/>
    </xf>
    <xf numFmtId="0" fontId="15" fillId="0" borderId="0" xfId="0" applyFont="1" applyAlignment="1">
      <alignment vertical="center"/>
    </xf>
    <xf numFmtId="0" fontId="15" fillId="3" borderId="0" xfId="0" applyFont="1" applyFill="1" applyAlignment="1" applyProtection="1">
      <alignment vertical="center"/>
    </xf>
    <xf numFmtId="0" fontId="0" fillId="0" borderId="0" xfId="0" applyAlignment="1">
      <alignment vertical="center"/>
    </xf>
    <xf numFmtId="37" fontId="15" fillId="3" borderId="0" xfId="0" applyNumberFormat="1" applyFont="1" applyFill="1" applyAlignment="1" applyProtection="1">
      <alignment horizontal="centerContinuous" vertical="center"/>
    </xf>
    <xf numFmtId="0" fontId="15" fillId="3" borderId="0" xfId="0" applyFont="1" applyFill="1" applyAlignment="1" applyProtection="1">
      <alignment horizontal="centerContinuous" vertical="center"/>
    </xf>
    <xf numFmtId="37" fontId="15" fillId="3" borderId="0" xfId="0" applyNumberFormat="1" applyFont="1" applyFill="1" applyAlignment="1" applyProtection="1">
      <alignment horizontal="left" vertical="center"/>
    </xf>
    <xf numFmtId="37" fontId="15" fillId="3" borderId="0" xfId="0" applyNumberFormat="1" applyFont="1" applyFill="1" applyAlignment="1" applyProtection="1">
      <alignment horizontal="fill" vertical="center"/>
    </xf>
    <xf numFmtId="37" fontId="15" fillId="3" borderId="4" xfId="0" applyNumberFormat="1" applyFont="1" applyFill="1" applyBorder="1" applyAlignment="1" applyProtection="1">
      <alignment horizontal="centerContinuous" vertical="center"/>
    </xf>
    <xf numFmtId="0" fontId="15" fillId="3" borderId="5" xfId="0" applyFont="1" applyFill="1" applyBorder="1" applyAlignment="1" applyProtection="1">
      <alignment horizontal="centerContinuous" vertical="center"/>
    </xf>
    <xf numFmtId="0" fontId="15" fillId="3" borderId="6" xfId="0" applyFont="1" applyFill="1" applyBorder="1" applyAlignment="1" applyProtection="1">
      <alignment horizontal="centerContinuous" vertical="center"/>
    </xf>
    <xf numFmtId="37" fontId="15" fillId="3" borderId="7" xfId="0" applyNumberFormat="1" applyFont="1" applyFill="1" applyBorder="1" applyAlignment="1" applyProtection="1">
      <alignment horizontal="center" vertical="center"/>
    </xf>
    <xf numFmtId="37" fontId="16" fillId="3" borderId="1" xfId="0" applyNumberFormat="1" applyFont="1" applyFill="1" applyBorder="1" applyAlignment="1" applyProtection="1">
      <alignment horizontal="left" vertical="center"/>
    </xf>
    <xf numFmtId="0" fontId="15" fillId="3" borderId="1" xfId="0" applyFont="1" applyFill="1" applyBorder="1" applyAlignment="1" applyProtection="1">
      <alignment vertical="center"/>
    </xf>
    <xf numFmtId="37" fontId="15" fillId="3" borderId="8" xfId="0" applyNumberFormat="1" applyFont="1" applyFill="1" applyBorder="1" applyAlignment="1" applyProtection="1">
      <alignment horizontal="center" vertical="center"/>
    </xf>
    <xf numFmtId="37" fontId="15" fillId="3" borderId="2" xfId="0" applyNumberFormat="1" applyFont="1" applyFill="1" applyBorder="1" applyAlignment="1" applyProtection="1">
      <alignment horizontal="left" vertical="center"/>
    </xf>
    <xf numFmtId="37" fontId="15" fillId="3" borderId="3" xfId="0" applyNumberFormat="1" applyFont="1" applyFill="1" applyBorder="1" applyAlignment="1" applyProtection="1">
      <alignment horizontal="center" vertical="center"/>
    </xf>
    <xf numFmtId="0" fontId="15" fillId="3" borderId="0" xfId="0" applyFont="1" applyFill="1" applyBorder="1" applyAlignment="1" applyProtection="1">
      <alignment vertical="center"/>
    </xf>
    <xf numFmtId="37" fontId="15" fillId="3" borderId="4" xfId="0" applyNumberFormat="1" applyFont="1" applyFill="1" applyBorder="1" applyAlignment="1" applyProtection="1">
      <alignment horizontal="left" vertical="center"/>
    </xf>
    <xf numFmtId="0" fontId="15" fillId="3" borderId="6" xfId="0" applyFont="1" applyFill="1" applyBorder="1" applyAlignment="1" applyProtection="1">
      <alignment vertical="center"/>
    </xf>
    <xf numFmtId="37" fontId="15" fillId="3" borderId="9" xfId="0" applyNumberFormat="1" applyFont="1" applyFill="1" applyBorder="1" applyAlignment="1" applyProtection="1">
      <alignment horizontal="center" vertical="center"/>
    </xf>
    <xf numFmtId="37" fontId="15" fillId="3" borderId="2" xfId="0" applyNumberFormat="1" applyFont="1" applyFill="1" applyBorder="1" applyAlignment="1" applyProtection="1">
      <alignment horizontal="center" vertical="center"/>
    </xf>
    <xf numFmtId="0" fontId="15" fillId="3" borderId="3" xfId="0" applyFont="1" applyFill="1" applyBorder="1" applyAlignment="1" applyProtection="1">
      <alignment vertical="center"/>
    </xf>
    <xf numFmtId="37" fontId="15" fillId="3" borderId="6" xfId="0" applyNumberFormat="1" applyFont="1" applyFill="1" applyBorder="1" applyAlignment="1" applyProtection="1">
      <alignment horizontal="center" vertical="center"/>
    </xf>
    <xf numFmtId="37" fontId="25" fillId="3" borderId="8" xfId="0" applyNumberFormat="1" applyFont="1" applyFill="1" applyBorder="1" applyAlignment="1" applyProtection="1">
      <alignment horizontal="left" vertical="center"/>
    </xf>
    <xf numFmtId="37" fontId="25" fillId="3" borderId="8" xfId="0" applyNumberFormat="1" applyFont="1" applyFill="1" applyBorder="1" applyAlignment="1" applyProtection="1">
      <alignment horizontal="center" vertical="center"/>
    </xf>
    <xf numFmtId="0" fontId="15" fillId="3" borderId="2" xfId="0" applyFont="1" applyFill="1" applyBorder="1" applyAlignment="1" applyProtection="1">
      <alignment vertical="center"/>
    </xf>
    <xf numFmtId="0" fontId="15" fillId="3" borderId="8" xfId="0" applyFont="1" applyFill="1" applyBorder="1" applyAlignment="1" applyProtection="1">
      <alignment vertical="center"/>
    </xf>
    <xf numFmtId="37" fontId="15" fillId="3" borderId="4" xfId="0" applyNumberFormat="1" applyFont="1" applyFill="1" applyBorder="1" applyAlignment="1" applyProtection="1">
      <alignment horizontal="center" vertical="center"/>
    </xf>
    <xf numFmtId="37" fontId="15" fillId="3" borderId="2" xfId="0" applyNumberFormat="1" applyFont="1" applyFill="1" applyBorder="1" applyAlignment="1" applyProtection="1">
      <alignment vertical="center"/>
    </xf>
    <xf numFmtId="37" fontId="3" fillId="3" borderId="2" xfId="0" applyNumberFormat="1" applyFont="1" applyFill="1" applyBorder="1" applyAlignment="1" applyProtection="1">
      <alignment horizontal="center" vertical="center"/>
    </xf>
    <xf numFmtId="0" fontId="15" fillId="3" borderId="2" xfId="0" applyFont="1" applyFill="1" applyBorder="1" applyAlignment="1" applyProtection="1">
      <alignment horizontal="center" vertical="center"/>
    </xf>
    <xf numFmtId="0" fontId="15" fillId="3" borderId="7" xfId="0" applyFont="1" applyFill="1" applyBorder="1" applyAlignment="1" applyProtection="1">
      <alignment vertical="center"/>
    </xf>
    <xf numFmtId="37" fontId="16" fillId="3" borderId="7" xfId="0" applyNumberFormat="1" applyFont="1" applyFill="1" applyBorder="1" applyAlignment="1" applyProtection="1">
      <alignment horizontal="left" vertical="center"/>
    </xf>
    <xf numFmtId="37" fontId="15" fillId="3" borderId="10" xfId="0" applyNumberFormat="1" applyFont="1" applyFill="1" applyBorder="1" applyAlignment="1" applyProtection="1">
      <alignment horizontal="left" vertical="center"/>
    </xf>
    <xf numFmtId="0" fontId="15" fillId="3" borderId="11" xfId="0" applyFont="1" applyFill="1" applyBorder="1" applyAlignment="1" applyProtection="1">
      <alignment vertical="center"/>
    </xf>
    <xf numFmtId="37" fontId="15" fillId="3" borderId="0" xfId="0" applyNumberFormat="1" applyFont="1" applyFill="1" applyBorder="1" applyAlignment="1" applyProtection="1">
      <alignment vertical="center"/>
    </xf>
    <xf numFmtId="0" fontId="15" fillId="3" borderId="0" xfId="0" applyFont="1" applyFill="1" applyAlignment="1" applyProtection="1">
      <alignment horizontal="center" vertical="center"/>
    </xf>
    <xf numFmtId="0" fontId="3" fillId="9" borderId="2" xfId="0" applyFont="1" applyFill="1" applyBorder="1" applyAlignment="1">
      <alignment horizontal="center" vertical="center" shrinkToFit="1"/>
    </xf>
    <xf numFmtId="0" fontId="21" fillId="9" borderId="6" xfId="0" applyFont="1" applyFill="1" applyBorder="1" applyAlignment="1" applyProtection="1">
      <alignment horizontal="center" vertical="center"/>
    </xf>
    <xf numFmtId="3" fontId="15" fillId="2" borderId="2" xfId="0" applyNumberFormat="1" applyFont="1" applyFill="1" applyBorder="1" applyAlignment="1" applyProtection="1">
      <alignment vertical="center"/>
      <protection locked="0"/>
    </xf>
    <xf numFmtId="37" fontId="15" fillId="3" borderId="6" xfId="0" applyNumberFormat="1" applyFont="1" applyFill="1" applyBorder="1" applyAlignment="1" applyProtection="1">
      <alignment horizontal="fill" vertical="center"/>
    </xf>
    <xf numFmtId="37" fontId="15" fillId="3" borderId="0" xfId="0" applyNumberFormat="1" applyFont="1" applyFill="1" applyAlignment="1" applyProtection="1">
      <alignment horizontal="right" vertical="center"/>
    </xf>
    <xf numFmtId="0" fontId="15" fillId="2" borderId="1" xfId="0" applyFont="1" applyFill="1" applyBorder="1" applyAlignment="1" applyProtection="1">
      <alignment vertical="center"/>
      <protection locked="0"/>
    </xf>
    <xf numFmtId="0" fontId="15" fillId="2" borderId="5" xfId="0" applyFont="1" applyFill="1" applyBorder="1" applyAlignment="1" applyProtection="1">
      <alignment vertical="center"/>
      <protection locked="0"/>
    </xf>
    <xf numFmtId="0" fontId="15" fillId="3" borderId="0" xfId="0" applyFont="1" applyFill="1" applyAlignment="1" applyProtection="1">
      <alignment horizontal="right" vertical="center"/>
    </xf>
    <xf numFmtId="0" fontId="15" fillId="3" borderId="0" xfId="0" applyFont="1" applyFill="1" applyAlignment="1" applyProtection="1">
      <alignment horizontal="left" vertical="center"/>
    </xf>
    <xf numFmtId="0" fontId="15" fillId="0" borderId="0" xfId="0" applyFont="1" applyAlignment="1" applyProtection="1">
      <alignment vertical="center"/>
      <protection locked="0"/>
    </xf>
    <xf numFmtId="37" fontId="3" fillId="3" borderId="0" xfId="0" applyNumberFormat="1" applyFont="1" applyFill="1" applyAlignment="1" applyProtection="1">
      <alignment horizontal="centerContinuous" vertical="center"/>
    </xf>
    <xf numFmtId="37" fontId="3" fillId="3" borderId="4" xfId="0" applyNumberFormat="1" applyFont="1" applyFill="1" applyBorder="1" applyAlignment="1" applyProtection="1">
      <alignment horizontal="centerContinuous" vertical="center"/>
    </xf>
    <xf numFmtId="0" fontId="3" fillId="3" borderId="5" xfId="0" applyFont="1" applyFill="1" applyBorder="1" applyAlignment="1" applyProtection="1">
      <alignment horizontal="centerContinuous" vertical="center"/>
    </xf>
    <xf numFmtId="0" fontId="3" fillId="3" borderId="6" xfId="0" applyFont="1" applyFill="1" applyBorder="1" applyAlignment="1" applyProtection="1">
      <alignment horizontal="centerContinuous" vertical="center"/>
    </xf>
    <xf numFmtId="37" fontId="3" fillId="3" borderId="7" xfId="0" applyNumberFormat="1" applyFont="1" applyFill="1" applyBorder="1" applyAlignment="1" applyProtection="1">
      <alignment horizontal="center" vertical="center"/>
    </xf>
    <xf numFmtId="37" fontId="3" fillId="3" borderId="8"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fill" vertical="center"/>
    </xf>
    <xf numFmtId="0" fontId="3" fillId="0" borderId="0" xfId="0" applyFont="1" applyAlignment="1" applyProtection="1">
      <alignment horizontal="center" vertical="center"/>
      <protection locked="0"/>
    </xf>
    <xf numFmtId="37" fontId="3"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center" vertical="center" wrapText="1"/>
    </xf>
    <xf numFmtId="0" fontId="3" fillId="3" borderId="0" xfId="0" quotePrefix="1" applyFont="1" applyFill="1" applyAlignment="1" applyProtection="1">
      <alignment vertical="center"/>
    </xf>
    <xf numFmtId="3" fontId="3" fillId="3" borderId="0" xfId="0" quotePrefix="1" applyNumberFormat="1" applyFont="1" applyFill="1" applyAlignment="1" applyProtection="1">
      <alignment vertical="center"/>
    </xf>
    <xf numFmtId="3" fontId="3" fillId="3" borderId="1" xfId="0" applyNumberFormat="1" applyFont="1" applyFill="1" applyBorder="1" applyAlignment="1" applyProtection="1">
      <alignment vertical="center"/>
    </xf>
    <xf numFmtId="3" fontId="3" fillId="3" borderId="13" xfId="0" applyNumberFormat="1" applyFont="1" applyFill="1" applyBorder="1" applyAlignment="1" applyProtection="1">
      <alignment vertical="center"/>
    </xf>
    <xf numFmtId="0" fontId="3" fillId="3" borderId="13" xfId="0" applyFont="1" applyFill="1" applyBorder="1" applyAlignment="1" applyProtection="1">
      <alignment vertical="center"/>
    </xf>
    <xf numFmtId="167" fontId="3" fillId="3" borderId="1" xfId="0" applyNumberFormat="1" applyFont="1" applyFill="1" applyBorder="1" applyAlignment="1" applyProtection="1">
      <alignment vertical="center"/>
    </xf>
    <xf numFmtId="0" fontId="3" fillId="3" borderId="0" xfId="0" quotePrefix="1" applyFont="1" applyFill="1" applyBorder="1" applyAlignment="1" applyProtection="1">
      <alignment vertical="center"/>
    </xf>
    <xf numFmtId="3" fontId="3" fillId="3" borderId="14" xfId="0" applyNumberFormat="1" applyFont="1" applyFill="1" applyBorder="1" applyAlignment="1" applyProtection="1">
      <alignment vertical="center"/>
    </xf>
    <xf numFmtId="0" fontId="6" fillId="0" borderId="0" xfId="0" applyFont="1" applyAlignment="1">
      <alignment vertical="center"/>
    </xf>
    <xf numFmtId="37" fontId="3" fillId="3" borderId="0" xfId="0" applyNumberFormat="1" applyFont="1" applyFill="1" applyAlignment="1" applyProtection="1">
      <alignment horizontal="right" vertical="center"/>
    </xf>
    <xf numFmtId="0" fontId="4" fillId="3" borderId="1"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2" borderId="8" xfId="0" applyFont="1" applyFill="1" applyBorder="1" applyAlignment="1" applyProtection="1">
      <alignment vertical="center"/>
      <protection locked="0"/>
    </xf>
    <xf numFmtId="170" fontId="3" fillId="2" borderId="8" xfId="1" applyNumberFormat="1" applyFont="1" applyFill="1" applyBorder="1" applyAlignment="1" applyProtection="1">
      <alignment vertical="center"/>
      <protection locked="0"/>
    </xf>
    <xf numFmtId="170" fontId="3" fillId="2" borderId="2" xfId="1" applyNumberFormat="1"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protection locked="0"/>
    </xf>
    <xf numFmtId="1" fontId="3" fillId="3" borderId="0" xfId="0" applyNumberFormat="1" applyFont="1" applyFill="1" applyBorder="1" applyAlignment="1" applyProtection="1">
      <alignment horizontal="right" vertical="center"/>
    </xf>
    <xf numFmtId="0" fontId="4" fillId="3" borderId="0" xfId="340" applyFont="1" applyFill="1" applyAlignment="1" applyProtection="1">
      <alignment horizontal="centerContinuous" vertical="center"/>
    </xf>
    <xf numFmtId="0" fontId="3" fillId="3" borderId="1" xfId="0" applyFont="1" applyFill="1" applyBorder="1" applyAlignment="1" applyProtection="1">
      <alignment horizontal="fill" vertical="center"/>
    </xf>
    <xf numFmtId="0" fontId="3" fillId="3" borderId="7" xfId="0" applyFont="1" applyFill="1" applyBorder="1" applyAlignment="1" applyProtection="1">
      <alignment horizontal="center" vertical="center"/>
    </xf>
    <xf numFmtId="0" fontId="3" fillId="3" borderId="10" xfId="0" applyFont="1" applyFill="1" applyBorder="1" applyAlignment="1" applyProtection="1">
      <alignment horizontal="centerContinuous" vertical="center"/>
    </xf>
    <xf numFmtId="0" fontId="3" fillId="3" borderId="11" xfId="0" applyFont="1" applyFill="1" applyBorder="1" applyAlignment="1" applyProtection="1">
      <alignment horizontal="centerContinuous" vertical="center"/>
    </xf>
    <xf numFmtId="0" fontId="3" fillId="3" borderId="3" xfId="0" applyFont="1" applyFill="1" applyBorder="1" applyAlignment="1" applyProtection="1">
      <alignment horizontal="center" vertical="center"/>
    </xf>
    <xf numFmtId="1" fontId="3" fillId="3" borderId="18" xfId="0" applyNumberFormat="1" applyFont="1" applyFill="1" applyBorder="1" applyAlignment="1" applyProtection="1">
      <alignment horizontal="center" vertical="center"/>
    </xf>
    <xf numFmtId="0" fontId="3" fillId="3" borderId="2" xfId="0" applyFont="1" applyFill="1" applyBorder="1" applyAlignment="1" applyProtection="1">
      <alignment horizontal="left" vertical="center"/>
    </xf>
    <xf numFmtId="0" fontId="3" fillId="3" borderId="8" xfId="0" applyFont="1" applyFill="1" applyBorder="1" applyAlignment="1" applyProtection="1">
      <alignment horizontal="center" vertical="center"/>
    </xf>
    <xf numFmtId="2" fontId="3" fillId="3" borderId="2" xfId="0" applyNumberFormat="1" applyFont="1" applyFill="1" applyBorder="1" applyAlignment="1" applyProtection="1">
      <alignment vertical="center"/>
    </xf>
    <xf numFmtId="3" fontId="3" fillId="3" borderId="2" xfId="0" applyNumberFormat="1" applyFont="1" applyFill="1" applyBorder="1" applyAlignment="1" applyProtection="1">
      <alignment vertical="center"/>
    </xf>
    <xf numFmtId="0" fontId="3" fillId="7" borderId="2" xfId="0" applyFont="1" applyFill="1" applyBorder="1" applyAlignment="1" applyProtection="1">
      <alignment horizontal="center" vertical="center"/>
      <protection locked="0"/>
    </xf>
    <xf numFmtId="2" fontId="3" fillId="7" borderId="2" xfId="0" applyNumberFormat="1" applyFont="1" applyFill="1" applyBorder="1" applyAlignment="1" applyProtection="1">
      <alignment horizontal="center" vertical="center"/>
      <protection locked="0"/>
    </xf>
    <xf numFmtId="3" fontId="3" fillId="7" borderId="2" xfId="0" applyNumberFormat="1" applyFont="1" applyFill="1" applyBorder="1" applyAlignment="1" applyProtection="1">
      <alignment horizontal="center" vertical="center"/>
      <protection locked="0"/>
    </xf>
    <xf numFmtId="37" fontId="3" fillId="7" borderId="2" xfId="0" applyNumberFormat="1" applyFont="1" applyFill="1" applyBorder="1" applyAlignment="1" applyProtection="1">
      <alignment horizontal="center" vertical="center"/>
      <protection locked="0"/>
    </xf>
    <xf numFmtId="169" fontId="3" fillId="7"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xf>
    <xf numFmtId="168" fontId="4" fillId="3" borderId="2" xfId="0" applyNumberFormat="1" applyFont="1" applyFill="1" applyBorder="1" applyAlignment="1" applyProtection="1">
      <alignment horizontal="center" vertical="center"/>
    </xf>
    <xf numFmtId="2" fontId="4" fillId="3" borderId="2" xfId="0" applyNumberFormat="1" applyFont="1" applyFill="1" applyBorder="1" applyAlignment="1" applyProtection="1">
      <alignment horizontal="center" vertical="center"/>
    </xf>
    <xf numFmtId="3" fontId="4" fillId="3" borderId="2" xfId="0" applyNumberFormat="1" applyFont="1" applyFill="1" applyBorder="1" applyAlignment="1" applyProtection="1">
      <alignment horizontal="center" vertical="center"/>
    </xf>
    <xf numFmtId="37" fontId="4" fillId="4" borderId="2" xfId="0" applyNumberFormat="1" applyFont="1" applyFill="1" applyBorder="1" applyAlignment="1" applyProtection="1">
      <alignment horizontal="center" vertical="center"/>
    </xf>
    <xf numFmtId="169" fontId="4" fillId="3" borderId="2" xfId="0" applyNumberFormat="1" applyFont="1" applyFill="1" applyBorder="1" applyAlignment="1" applyProtection="1">
      <alignment horizontal="center" vertical="center"/>
    </xf>
    <xf numFmtId="168" fontId="3" fillId="3" borderId="2" xfId="0" applyNumberFormat="1" applyFont="1" applyFill="1" applyBorder="1" applyAlignment="1" applyProtection="1">
      <alignment horizontal="center" vertical="center"/>
    </xf>
    <xf numFmtId="2" fontId="3" fillId="3" borderId="2" xfId="0" applyNumberFormat="1" applyFont="1" applyFill="1" applyBorder="1" applyAlignment="1" applyProtection="1">
      <alignment horizontal="center" vertical="center"/>
    </xf>
    <xf numFmtId="3" fontId="3" fillId="3" borderId="2" xfId="0" applyNumberFormat="1" applyFont="1" applyFill="1" applyBorder="1" applyAlignment="1" applyProtection="1">
      <alignment horizontal="center" vertical="center"/>
    </xf>
    <xf numFmtId="169" fontId="3" fillId="3" borderId="2" xfId="0" applyNumberFormat="1" applyFont="1" applyFill="1" applyBorder="1" applyAlignment="1" applyProtection="1">
      <alignment horizontal="center" vertical="center"/>
    </xf>
    <xf numFmtId="1" fontId="4" fillId="3" borderId="2" xfId="0" applyNumberFormat="1" applyFont="1" applyFill="1" applyBorder="1" applyAlignment="1" applyProtection="1">
      <alignment horizontal="center" vertical="center"/>
    </xf>
    <xf numFmtId="3" fontId="4" fillId="4" borderId="2" xfId="0" applyNumberFormat="1" applyFont="1" applyFill="1" applyBorder="1" applyAlignment="1" applyProtection="1">
      <alignment horizontal="center" vertical="center"/>
    </xf>
    <xf numFmtId="1" fontId="3" fillId="3" borderId="2" xfId="0" applyNumberFormat="1" applyFont="1" applyFill="1" applyBorder="1" applyAlignment="1" applyProtection="1">
      <alignment horizontal="center" vertical="center"/>
    </xf>
    <xf numFmtId="37" fontId="3" fillId="0" borderId="0" xfId="0" applyNumberFormat="1" applyFont="1" applyAlignment="1" applyProtection="1">
      <alignment vertical="center"/>
      <protection locked="0"/>
    </xf>
    <xf numFmtId="0" fontId="3" fillId="0" borderId="0" xfId="0" applyFont="1" applyAlignment="1" applyProtection="1">
      <alignment horizontal="left" vertical="center"/>
      <protection locked="0"/>
    </xf>
    <xf numFmtId="0" fontId="3" fillId="3" borderId="0" xfId="0" applyNumberFormat="1" applyFont="1" applyFill="1" applyAlignment="1" applyProtection="1">
      <alignment horizontal="right" vertical="center"/>
    </xf>
    <xf numFmtId="0" fontId="3" fillId="3" borderId="0" xfId="0" applyFont="1" applyFill="1" applyAlignment="1" applyProtection="1">
      <alignment horizontal="right" vertical="center"/>
    </xf>
    <xf numFmtId="0" fontId="3" fillId="3" borderId="19"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18" xfId="0" applyFont="1" applyFill="1" applyBorder="1" applyAlignment="1" applyProtection="1">
      <alignment horizontal="left" vertical="center"/>
    </xf>
    <xf numFmtId="0" fontId="7" fillId="3" borderId="8" xfId="0" applyFont="1" applyFill="1" applyBorder="1" applyAlignment="1" applyProtection="1">
      <alignment horizontal="center" vertical="center"/>
    </xf>
    <xf numFmtId="14" fontId="3" fillId="3" borderId="8" xfId="0" quotePrefix="1" applyNumberFormat="1" applyFont="1" applyFill="1" applyBorder="1" applyAlignment="1" applyProtection="1">
      <alignment horizontal="center" vertical="center"/>
    </xf>
    <xf numFmtId="0" fontId="3" fillId="7" borderId="2" xfId="0" applyFont="1" applyFill="1" applyBorder="1" applyAlignment="1" applyProtection="1">
      <alignment vertical="center"/>
      <protection locked="0"/>
    </xf>
    <xf numFmtId="1" fontId="3" fillId="7" borderId="2" xfId="0" applyNumberFormat="1" applyFont="1" applyFill="1" applyBorder="1" applyAlignment="1" applyProtection="1">
      <alignment vertical="center"/>
      <protection locked="0"/>
    </xf>
    <xf numFmtId="2" fontId="3" fillId="7" borderId="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xf>
    <xf numFmtId="0" fontId="3" fillId="0" borderId="0" xfId="0" applyFont="1" applyBorder="1" applyAlignment="1">
      <alignment vertical="center"/>
    </xf>
    <xf numFmtId="0" fontId="3" fillId="6" borderId="0" xfId="339" applyFont="1" applyFill="1" applyAlignment="1" applyProtection="1">
      <alignment vertical="center"/>
    </xf>
    <xf numFmtId="0" fontId="3" fillId="6" borderId="0" xfId="0" applyFont="1" applyFill="1" applyAlignment="1" applyProtection="1">
      <alignment vertical="center"/>
    </xf>
    <xf numFmtId="0" fontId="3" fillId="3" borderId="0" xfId="0" quotePrefix="1" applyFont="1" applyFill="1" applyAlignment="1" applyProtection="1">
      <alignment horizontal="right" vertical="center"/>
    </xf>
    <xf numFmtId="0" fontId="3" fillId="3" borderId="0" xfId="0" applyFont="1" applyFill="1" applyAlignment="1" applyProtection="1">
      <alignment horizontal="left" vertical="center"/>
    </xf>
    <xf numFmtId="1" fontId="3" fillId="3" borderId="8" xfId="0" applyNumberFormat="1" applyFont="1" applyFill="1" applyBorder="1" applyAlignment="1" applyProtection="1">
      <alignment horizontal="center" vertical="center"/>
    </xf>
    <xf numFmtId="0" fontId="3" fillId="3" borderId="4" xfId="0" applyFont="1" applyFill="1" applyBorder="1" applyAlignment="1" applyProtection="1">
      <alignment horizontal="left" vertical="center"/>
    </xf>
    <xf numFmtId="3" fontId="3" fillId="7" borderId="6" xfId="0" applyNumberFormat="1" applyFont="1" applyFill="1" applyBorder="1" applyAlignment="1" applyProtection="1">
      <alignment vertical="center"/>
      <protection locked="0"/>
    </xf>
    <xf numFmtId="37" fontId="3" fillId="3" borderId="4" xfId="0" applyNumberFormat="1" applyFont="1" applyFill="1" applyBorder="1" applyAlignment="1" applyProtection="1">
      <alignment vertical="center"/>
    </xf>
    <xf numFmtId="37" fontId="3" fillId="7" borderId="2" xfId="0" applyNumberFormat="1" applyFont="1" applyFill="1" applyBorder="1" applyAlignment="1" applyProtection="1">
      <alignment vertical="center"/>
      <protection locked="0"/>
    </xf>
    <xf numFmtId="37" fontId="3" fillId="7" borderId="4" xfId="0" applyNumberFormat="1" applyFont="1" applyFill="1" applyBorder="1" applyAlignment="1" applyProtection="1">
      <alignment vertical="center"/>
      <protection locked="0"/>
    </xf>
    <xf numFmtId="0" fontId="3" fillId="7" borderId="4" xfId="0" applyFont="1" applyFill="1" applyBorder="1" applyAlignment="1" applyProtection="1">
      <alignment horizontal="left" vertical="center"/>
      <protection locked="0"/>
    </xf>
    <xf numFmtId="0" fontId="3" fillId="3" borderId="4" xfId="0" applyFont="1" applyFill="1" applyBorder="1" applyAlignment="1" applyProtection="1">
      <alignment vertical="center"/>
    </xf>
    <xf numFmtId="3" fontId="21" fillId="10" borderId="11"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4" fillId="4" borderId="2" xfId="0" applyNumberFormat="1" applyFont="1" applyFill="1" applyBorder="1" applyAlignment="1" applyProtection="1">
      <alignment vertical="center"/>
    </xf>
    <xf numFmtId="0" fontId="4" fillId="3" borderId="0" xfId="0" applyFont="1" applyFill="1" applyAlignment="1" applyProtection="1">
      <alignment horizontal="left" vertical="center"/>
    </xf>
    <xf numFmtId="0" fontId="3" fillId="3" borderId="0" xfId="0" applyFont="1" applyFill="1" applyAlignment="1" applyProtection="1">
      <alignment horizontal="fill" vertical="center"/>
    </xf>
    <xf numFmtId="0" fontId="3" fillId="3" borderId="8"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vertical="center"/>
    </xf>
    <xf numFmtId="0" fontId="3" fillId="7" borderId="4" xfId="0" applyFont="1" applyFill="1" applyBorder="1" applyAlignment="1" applyProtection="1">
      <alignment vertical="center"/>
      <protection locked="0"/>
    </xf>
    <xf numFmtId="37" fontId="3" fillId="4" borderId="2" xfId="0" applyNumberFormat="1" applyFont="1" applyFill="1" applyBorder="1" applyAlignment="1" applyProtection="1">
      <alignment vertical="center"/>
    </xf>
    <xf numFmtId="0" fontId="21" fillId="0" borderId="0" xfId="0" applyFont="1" applyAlignment="1">
      <alignment vertical="center"/>
    </xf>
    <xf numFmtId="0" fontId="22" fillId="3" borderId="0" xfId="0" applyFont="1" applyFill="1" applyAlignment="1" applyProtection="1">
      <alignment horizontal="center" vertical="center"/>
    </xf>
    <xf numFmtId="0" fontId="3" fillId="3" borderId="0" xfId="0" applyFont="1" applyFill="1" applyAlignment="1">
      <alignment horizontal="right" vertical="center"/>
    </xf>
    <xf numFmtId="1" fontId="3" fillId="3" borderId="7" xfId="0" applyNumberFormat="1" applyFont="1" applyFill="1" applyBorder="1" applyAlignment="1" applyProtection="1">
      <alignment horizontal="center" vertical="center"/>
    </xf>
    <xf numFmtId="0" fontId="3" fillId="2" borderId="2" xfId="0" applyFont="1" applyFill="1" applyBorder="1" applyAlignment="1" applyProtection="1">
      <alignment horizontal="left" vertical="center"/>
      <protection locked="0"/>
    </xf>
    <xf numFmtId="37" fontId="3" fillId="4" borderId="7" xfId="0" applyNumberFormat="1" applyFont="1" applyFill="1" applyBorder="1" applyAlignment="1" applyProtection="1">
      <alignment vertical="center"/>
    </xf>
    <xf numFmtId="0" fontId="3" fillId="3" borderId="0" xfId="0" applyNumberFormat="1" applyFont="1" applyFill="1" applyAlignment="1" applyProtection="1">
      <alignment vertical="center"/>
    </xf>
    <xf numFmtId="37" fontId="3" fillId="3" borderId="0" xfId="0" applyNumberFormat="1" applyFont="1" applyFill="1" applyAlignment="1" applyProtection="1">
      <alignment horizontal="fill" vertical="center"/>
    </xf>
    <xf numFmtId="0" fontId="3" fillId="4" borderId="0" xfId="0" applyFont="1" applyFill="1" applyAlignment="1" applyProtection="1">
      <alignment horizontal="left" vertical="center"/>
    </xf>
    <xf numFmtId="37" fontId="4" fillId="9" borderId="12" xfId="0" applyNumberFormat="1" applyFont="1" applyFill="1" applyBorder="1" applyAlignment="1" applyProtection="1">
      <alignment vertical="center"/>
    </xf>
    <xf numFmtId="0" fontId="21" fillId="6" borderId="0" xfId="0" applyFont="1" applyFill="1" applyAlignment="1">
      <alignment vertical="center"/>
    </xf>
    <xf numFmtId="37" fontId="3" fillId="6" borderId="0" xfId="0" applyNumberFormat="1" applyFont="1" applyFill="1" applyAlignment="1">
      <alignment vertical="center"/>
    </xf>
    <xf numFmtId="37" fontId="3" fillId="0" borderId="0" xfId="0" applyNumberFormat="1" applyFont="1" applyAlignment="1">
      <alignment vertical="center"/>
    </xf>
    <xf numFmtId="166" fontId="3" fillId="3" borderId="0" xfId="0" applyNumberFormat="1" applyFont="1" applyFill="1" applyAlignment="1" applyProtection="1">
      <alignment vertical="center"/>
    </xf>
    <xf numFmtId="37" fontId="3" fillId="3" borderId="0" xfId="0" quotePrefix="1" applyNumberFormat="1" applyFont="1" applyFill="1" applyAlignment="1" applyProtection="1">
      <alignment horizontal="right" vertical="center"/>
    </xf>
    <xf numFmtId="37" fontId="3" fillId="3" borderId="18" xfId="0" applyNumberFormat="1" applyFont="1" applyFill="1" applyBorder="1" applyAlignment="1" applyProtection="1">
      <alignment horizontal="left" vertical="center"/>
    </xf>
    <xf numFmtId="3" fontId="3" fillId="3" borderId="2" xfId="0" applyNumberFormat="1" applyFont="1" applyFill="1" applyBorder="1" applyAlignment="1" applyProtection="1">
      <alignment horizontal="fill" vertical="center"/>
    </xf>
    <xf numFmtId="3" fontId="21" fillId="10" borderId="2" xfId="0" applyNumberFormat="1" applyFont="1" applyFill="1" applyBorder="1" applyAlignment="1" applyProtection="1">
      <alignment horizontal="center" vertical="center"/>
    </xf>
    <xf numFmtId="3" fontId="3" fillId="9" borderId="2" xfId="0" applyNumberFormat="1" applyFont="1" applyFill="1" applyBorder="1" applyAlignment="1" applyProtection="1">
      <alignment vertical="center"/>
    </xf>
    <xf numFmtId="0" fontId="3" fillId="2" borderId="0" xfId="0" applyFont="1" applyFill="1" applyAlignment="1" applyProtection="1">
      <alignment horizontal="left" vertical="center"/>
      <protection locked="0"/>
    </xf>
    <xf numFmtId="0" fontId="3" fillId="2" borderId="4" xfId="0" applyFont="1" applyFill="1" applyBorder="1" applyAlignment="1" applyProtection="1">
      <alignment horizontal="left" vertical="center"/>
    </xf>
    <xf numFmtId="0" fontId="3" fillId="2" borderId="4" xfId="0" applyFont="1" applyFill="1" applyBorder="1" applyAlignment="1">
      <alignment vertical="center"/>
    </xf>
    <xf numFmtId="3" fontId="4" fillId="4" borderId="2" xfId="0" applyNumberFormat="1" applyFont="1" applyFill="1" applyBorder="1" applyAlignment="1" applyProtection="1">
      <alignment vertical="center"/>
    </xf>
    <xf numFmtId="0" fontId="3" fillId="3" borderId="0" xfId="0" applyFont="1" applyFill="1" applyAlignment="1" applyProtection="1">
      <alignment horizontal="center" vertical="center"/>
      <protection locked="0"/>
    </xf>
    <xf numFmtId="37" fontId="3" fillId="2" borderId="4" xfId="0" applyNumberFormat="1" applyFont="1" applyFill="1" applyBorder="1" applyAlignment="1" applyProtection="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28" fillId="3" borderId="0" xfId="0" applyFont="1" applyFill="1" applyAlignment="1">
      <alignment horizontal="center" vertical="center"/>
    </xf>
    <xf numFmtId="0" fontId="3" fillId="3" borderId="6" xfId="0" applyFont="1" applyFill="1" applyBorder="1" applyAlignment="1">
      <alignment horizontal="center" vertical="center"/>
    </xf>
    <xf numFmtId="0" fontId="19" fillId="3" borderId="7" xfId="0" applyFont="1" applyFill="1" applyBorder="1" applyAlignment="1">
      <alignment vertical="center"/>
    </xf>
    <xf numFmtId="0" fontId="19" fillId="3" borderId="6" xfId="0" applyFont="1" applyFill="1" applyBorder="1" applyAlignment="1">
      <alignment horizontal="center" vertical="center"/>
    </xf>
    <xf numFmtId="0" fontId="19" fillId="3" borderId="11" xfId="0" applyFont="1" applyFill="1" applyBorder="1" applyAlignment="1">
      <alignment vertical="center"/>
    </xf>
    <xf numFmtId="0" fontId="19" fillId="3" borderId="2" xfId="0" applyFont="1" applyFill="1" applyBorder="1" applyAlignment="1">
      <alignment horizontal="center" vertical="center"/>
    </xf>
    <xf numFmtId="0" fontId="3" fillId="3" borderId="6" xfId="0" applyFont="1" applyFill="1" applyBorder="1" applyAlignment="1">
      <alignment vertical="center"/>
    </xf>
    <xf numFmtId="0" fontId="3" fillId="3" borderId="2" xfId="0" applyFont="1" applyFill="1" applyBorder="1" applyAlignment="1">
      <alignment horizontal="center" vertical="center"/>
    </xf>
    <xf numFmtId="0" fontId="19" fillId="3" borderId="18" xfId="0" applyFont="1" applyFill="1" applyBorder="1" applyAlignment="1">
      <alignment vertical="center"/>
    </xf>
    <xf numFmtId="0" fontId="19" fillId="3" borderId="1" xfId="0" applyFont="1" applyFill="1" applyBorder="1" applyAlignment="1">
      <alignment vertical="center"/>
    </xf>
    <xf numFmtId="0" fontId="19" fillId="3" borderId="0" xfId="0" applyFont="1" applyFill="1" applyAlignment="1">
      <alignment vertical="center"/>
    </xf>
    <xf numFmtId="0" fontId="19" fillId="2" borderId="2" xfId="0" applyFont="1" applyFill="1" applyBorder="1" applyAlignment="1" applyProtection="1">
      <alignment vertical="center"/>
      <protection locked="0"/>
    </xf>
    <xf numFmtId="0" fontId="19" fillId="2" borderId="6" xfId="0" applyFont="1" applyFill="1" applyBorder="1" applyAlignment="1" applyProtection="1">
      <alignment vertical="center"/>
      <protection locked="0"/>
    </xf>
    <xf numFmtId="0" fontId="19" fillId="2" borderId="8" xfId="0" applyFont="1" applyFill="1" applyBorder="1" applyAlignment="1" applyProtection="1">
      <alignment vertical="center"/>
      <protection locked="0"/>
    </xf>
    <xf numFmtId="3" fontId="3" fillId="3" borderId="0" xfId="0" applyNumberFormat="1" applyFont="1" applyFill="1" applyAlignment="1">
      <alignment vertical="center"/>
    </xf>
    <xf numFmtId="3" fontId="3" fillId="0" borderId="0" xfId="0" applyNumberFormat="1" applyFont="1" applyAlignment="1">
      <alignment vertical="center"/>
    </xf>
    <xf numFmtId="0" fontId="3" fillId="0" borderId="0" xfId="0" applyFont="1" applyAlignment="1">
      <alignment horizontal="centerContinuous" vertical="center"/>
    </xf>
    <xf numFmtId="0" fontId="3" fillId="3" borderId="7" xfId="0" applyFont="1" applyFill="1" applyBorder="1" applyAlignment="1" applyProtection="1">
      <alignment horizontal="centerContinuous" vertical="center"/>
    </xf>
    <xf numFmtId="1" fontId="3" fillId="3" borderId="4" xfId="0" applyNumberFormat="1" applyFont="1" applyFill="1" applyBorder="1" applyAlignment="1" applyProtection="1">
      <alignment horizontal="centerContinuous" vertical="center"/>
    </xf>
    <xf numFmtId="164" fontId="3" fillId="3" borderId="2" xfId="0" applyNumberFormat="1" applyFont="1" applyFill="1" applyBorder="1" applyAlignment="1" applyProtection="1">
      <alignment vertical="center"/>
    </xf>
    <xf numFmtId="37" fontId="3" fillId="3" borderId="2" xfId="0" applyNumberFormat="1" applyFont="1" applyFill="1" applyBorder="1" applyAlignment="1" applyProtection="1">
      <alignment vertical="center"/>
      <protection locked="0"/>
    </xf>
    <xf numFmtId="1" fontId="3" fillId="3" borderId="0" xfId="0" applyNumberFormat="1" applyFont="1" applyFill="1" applyAlignment="1" applyProtection="1">
      <alignment vertical="center"/>
    </xf>
    <xf numFmtId="1" fontId="5" fillId="3" borderId="0" xfId="0" applyNumberFormat="1" applyFont="1" applyFill="1" applyAlignment="1" applyProtection="1">
      <alignment horizontal="center" vertical="center"/>
    </xf>
    <xf numFmtId="37" fontId="3" fillId="3" borderId="12" xfId="0" applyNumberFormat="1" applyFont="1" applyFill="1" applyBorder="1" applyAlignment="1" applyProtection="1">
      <alignment vertical="center"/>
    </xf>
    <xf numFmtId="0" fontId="3" fillId="2" borderId="0" xfId="0" applyFont="1" applyFill="1" applyAlignment="1" applyProtection="1">
      <alignment vertical="center"/>
      <protection locked="0"/>
    </xf>
    <xf numFmtId="0" fontId="3" fillId="3" borderId="7"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3" fontId="3" fillId="2" borderId="2" xfId="0" applyNumberFormat="1" applyFont="1" applyFill="1" applyBorder="1" applyAlignment="1" applyProtection="1">
      <alignment horizontal="center" vertical="center"/>
      <protection locked="0"/>
    </xf>
    <xf numFmtId="173" fontId="3" fillId="3" borderId="2" xfId="0" applyNumberFormat="1" applyFont="1" applyFill="1" applyBorder="1" applyAlignment="1" applyProtection="1">
      <alignment horizontal="center" vertical="center"/>
    </xf>
    <xf numFmtId="3" fontId="3" fillId="2" borderId="7" xfId="0" applyNumberFormat="1" applyFont="1" applyFill="1" applyBorder="1" applyAlignment="1" applyProtection="1">
      <alignment horizontal="center" vertical="center"/>
      <protection locked="0"/>
    </xf>
    <xf numFmtId="3" fontId="3" fillId="3" borderId="12" xfId="0" applyNumberFormat="1" applyFont="1" applyFill="1" applyBorder="1" applyAlignment="1" applyProtection="1">
      <alignment horizontal="center" vertical="center"/>
    </xf>
    <xf numFmtId="173" fontId="3" fillId="3" borderId="12"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center" vertical="center"/>
    </xf>
    <xf numFmtId="173" fontId="3" fillId="3" borderId="1" xfId="0" applyNumberFormat="1" applyFont="1" applyFill="1" applyBorder="1" applyAlignment="1" applyProtection="1">
      <alignment horizontal="center" vertical="center"/>
    </xf>
    <xf numFmtId="173" fontId="3" fillId="3" borderId="0" xfId="0" applyNumberFormat="1" applyFont="1" applyFill="1" applyBorder="1" applyAlignment="1" applyProtection="1">
      <alignment horizontal="center" vertical="center"/>
    </xf>
    <xf numFmtId="3" fontId="3" fillId="3" borderId="1" xfId="0" applyNumberFormat="1" applyFont="1" applyFill="1" applyBorder="1" applyAlignment="1">
      <alignment horizontal="center" vertical="center"/>
    </xf>
    <xf numFmtId="0" fontId="0" fillId="3" borderId="0" xfId="0" applyFill="1" applyAlignment="1">
      <alignment horizontal="center" vertical="center"/>
    </xf>
    <xf numFmtId="173" fontId="3" fillId="3" borderId="1" xfId="0" applyNumberFormat="1" applyFont="1" applyFill="1" applyBorder="1" applyAlignment="1">
      <alignment horizontal="center" vertical="center"/>
    </xf>
    <xf numFmtId="172" fontId="3" fillId="3" borderId="0" xfId="0" applyNumberFormat="1" applyFont="1" applyFill="1" applyBorder="1" applyAlignment="1" applyProtection="1">
      <alignment vertical="center"/>
    </xf>
    <xf numFmtId="3" fontId="30" fillId="9" borderId="0" xfId="0" applyNumberFormat="1" applyFont="1" applyFill="1" applyAlignment="1">
      <alignment horizontal="center" vertical="center"/>
    </xf>
    <xf numFmtId="37" fontId="15" fillId="3" borderId="0" xfId="0" applyNumberFormat="1" applyFont="1" applyFill="1" applyBorder="1" applyAlignment="1" applyProtection="1">
      <alignment horizontal="left" vertical="center"/>
    </xf>
    <xf numFmtId="37" fontId="15" fillId="3" borderId="0" xfId="0" applyNumberFormat="1" applyFont="1" applyFill="1" applyBorder="1" applyAlignment="1" applyProtection="1">
      <alignment horizontal="fill" vertical="center"/>
    </xf>
    <xf numFmtId="0" fontId="32" fillId="0" borderId="0" xfId="319" applyFont="1"/>
    <xf numFmtId="0" fontId="3" fillId="0" borderId="0" xfId="319" applyFont="1" applyAlignment="1">
      <alignment horizontal="left" vertical="center"/>
    </xf>
    <xf numFmtId="49" fontId="3" fillId="2" borderId="0" xfId="319" applyNumberFormat="1" applyFont="1" applyFill="1" applyAlignment="1" applyProtection="1">
      <alignment horizontal="left" vertical="center"/>
      <protection locked="0"/>
    </xf>
    <xf numFmtId="174" fontId="19" fillId="0" borderId="0" xfId="319" applyNumberFormat="1" applyFont="1" applyAlignment="1">
      <alignment horizontal="left" vertical="center"/>
    </xf>
    <xf numFmtId="49" fontId="3" fillId="0" borderId="0" xfId="319" applyNumberFormat="1" applyFont="1" applyAlignment="1">
      <alignment horizontal="left" vertical="center"/>
    </xf>
    <xf numFmtId="0" fontId="19" fillId="0" borderId="0" xfId="319" applyFont="1" applyAlignment="1">
      <alignment horizontal="left" vertical="center"/>
    </xf>
    <xf numFmtId="175" fontId="19" fillId="0" borderId="0" xfId="319" applyNumberFormat="1" applyFont="1" applyAlignment="1">
      <alignment horizontal="left" vertical="center"/>
    </xf>
    <xf numFmtId="0" fontId="3" fillId="2" borderId="0" xfId="319" applyFont="1" applyFill="1" applyAlignment="1" applyProtection="1">
      <alignment horizontal="left" vertical="center"/>
      <protection locked="0"/>
    </xf>
    <xf numFmtId="0" fontId="32" fillId="2" borderId="0" xfId="319" applyFont="1" applyFill="1" applyAlignment="1" applyProtection="1">
      <alignment horizontal="left" vertical="center"/>
      <protection locked="0"/>
    </xf>
    <xf numFmtId="0" fontId="3" fillId="2" borderId="1" xfId="0" applyFont="1" applyFill="1" applyBorder="1" applyAlignment="1" applyProtection="1">
      <alignment vertical="center"/>
      <protection locked="0"/>
    </xf>
    <xf numFmtId="14" fontId="3" fillId="7" borderId="2" xfId="0" applyNumberFormat="1" applyFont="1" applyFill="1" applyBorder="1" applyAlignment="1" applyProtection="1">
      <alignment vertical="center"/>
      <protection locked="0"/>
    </xf>
    <xf numFmtId="14" fontId="3" fillId="7" borderId="2" xfId="0" applyNumberFormat="1" applyFont="1" applyFill="1" applyBorder="1" applyAlignment="1" applyProtection="1">
      <alignment horizontal="center" vertical="center"/>
      <protection locked="0"/>
    </xf>
    <xf numFmtId="37" fontId="3" fillId="11" borderId="2" xfId="0" applyNumberFormat="1" applyFont="1" applyFill="1" applyBorder="1" applyAlignment="1" applyProtection="1">
      <alignment vertical="center"/>
      <protection locked="0"/>
    </xf>
    <xf numFmtId="3" fontId="3" fillId="7" borderId="4" xfId="0" applyNumberFormat="1" applyFont="1" applyFill="1" applyBorder="1" applyAlignment="1" applyProtection="1">
      <alignment vertical="center"/>
      <protection locked="0"/>
    </xf>
    <xf numFmtId="3" fontId="21" fillId="10" borderId="4" xfId="0" applyNumberFormat="1" applyFont="1" applyFill="1" applyBorder="1" applyAlignment="1" applyProtection="1">
      <alignment horizontal="center" vertical="center"/>
    </xf>
    <xf numFmtId="3" fontId="4" fillId="4" borderId="4" xfId="0" applyNumberFormat="1" applyFont="1" applyFill="1" applyBorder="1" applyAlignment="1" applyProtection="1">
      <alignment vertical="center"/>
    </xf>
    <xf numFmtId="0" fontId="3" fillId="3" borderId="18" xfId="0" applyNumberFormat="1" applyFont="1" applyFill="1" applyBorder="1" applyAlignment="1" applyProtection="1">
      <alignment horizontal="center" vertical="center"/>
    </xf>
    <xf numFmtId="3" fontId="3" fillId="3" borderId="4" xfId="0" applyNumberFormat="1" applyFont="1" applyFill="1" applyBorder="1" applyAlignment="1" applyProtection="1">
      <alignment vertical="center"/>
    </xf>
    <xf numFmtId="3" fontId="3" fillId="4" borderId="4" xfId="0" applyNumberFormat="1" applyFont="1" applyFill="1" applyBorder="1" applyAlignment="1" applyProtection="1">
      <alignment vertical="center"/>
    </xf>
    <xf numFmtId="49" fontId="3" fillId="2" borderId="2" xfId="0" applyNumberFormat="1" applyFont="1" applyFill="1" applyBorder="1" applyAlignment="1" applyProtection="1">
      <alignment horizontal="center" vertical="center"/>
      <protection locked="0"/>
    </xf>
    <xf numFmtId="37" fontId="15" fillId="3" borderId="0" xfId="0" applyNumberFormat="1" applyFont="1" applyFill="1" applyAlignment="1" applyProtection="1">
      <alignment horizontal="center" vertical="center"/>
      <protection locked="0"/>
    </xf>
    <xf numFmtId="37" fontId="15" fillId="3" borderId="0" xfId="0" applyNumberFormat="1" applyFont="1" applyFill="1" applyAlignment="1" applyProtection="1">
      <alignment horizontal="left" vertical="center"/>
      <protection locked="0"/>
    </xf>
    <xf numFmtId="0" fontId="15" fillId="5" borderId="2" xfId="0" applyFont="1" applyFill="1" applyBorder="1" applyAlignment="1" applyProtection="1">
      <alignment horizontal="center" vertical="center"/>
    </xf>
    <xf numFmtId="37" fontId="15" fillId="3" borderId="13" xfId="0" applyNumberFormat="1" applyFont="1" applyFill="1" applyBorder="1" applyAlignment="1" applyProtection="1">
      <alignment horizontal="center" vertical="center"/>
    </xf>
    <xf numFmtId="0" fontId="3" fillId="9" borderId="9" xfId="16" applyFont="1" applyFill="1" applyBorder="1" applyAlignment="1" applyProtection="1">
      <alignment vertical="center"/>
    </xf>
    <xf numFmtId="0" fontId="15" fillId="9" borderId="9" xfId="16" applyFont="1" applyFill="1" applyBorder="1" applyAlignment="1" applyProtection="1">
      <alignment vertical="center"/>
    </xf>
    <xf numFmtId="37" fontId="15" fillId="3" borderId="8" xfId="25" applyNumberFormat="1" applyFont="1" applyFill="1" applyBorder="1" applyAlignment="1" applyProtection="1">
      <alignment horizontal="center" vertical="center"/>
    </xf>
    <xf numFmtId="37" fontId="15" fillId="3" borderId="3" xfId="25" applyNumberFormat="1" applyFont="1" applyFill="1" applyBorder="1" applyAlignment="1" applyProtection="1">
      <alignment horizontal="center" vertical="center"/>
    </xf>
    <xf numFmtId="0" fontId="22" fillId="3" borderId="2" xfId="0" applyFont="1" applyFill="1" applyBorder="1" applyAlignment="1" applyProtection="1">
      <alignment horizontal="center" vertical="center"/>
    </xf>
    <xf numFmtId="3" fontId="22" fillId="3" borderId="2" xfId="0" applyNumberFormat="1" applyFont="1" applyFill="1" applyBorder="1" applyAlignment="1" applyProtection="1">
      <alignment horizontal="center" vertical="center"/>
    </xf>
    <xf numFmtId="3" fontId="21" fillId="10" borderId="7" xfId="0" applyNumberFormat="1" applyFont="1" applyFill="1" applyBorder="1" applyAlignment="1" applyProtection="1">
      <alignment horizontal="center" vertical="center"/>
    </xf>
    <xf numFmtId="0" fontId="4" fillId="3" borderId="9" xfId="0" applyFont="1" applyFill="1" applyBorder="1" applyAlignment="1" applyProtection="1">
      <alignment vertical="center"/>
    </xf>
    <xf numFmtId="37" fontId="4" fillId="3" borderId="1"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3" fontId="3" fillId="9" borderId="4" xfId="0" applyNumberFormat="1" applyFont="1" applyFill="1" applyBorder="1" applyAlignment="1" applyProtection="1">
      <alignment vertical="center"/>
    </xf>
    <xf numFmtId="0" fontId="16" fillId="9" borderId="1" xfId="16" applyFont="1" applyFill="1" applyBorder="1" applyAlignment="1" applyProtection="1">
      <alignment vertical="center"/>
    </xf>
    <xf numFmtId="176" fontId="16" fillId="9" borderId="18" xfId="16" applyNumberFormat="1" applyFont="1" applyFill="1" applyBorder="1" applyAlignment="1" applyProtection="1">
      <alignment horizontal="center" vertical="center"/>
    </xf>
    <xf numFmtId="176" fontId="15" fillId="3" borderId="19" xfId="16" applyNumberFormat="1" applyFont="1" applyFill="1" applyBorder="1" applyAlignment="1" applyProtection="1">
      <alignment vertical="center"/>
    </xf>
    <xf numFmtId="176" fontId="15" fillId="3" borderId="18" xfId="16" applyNumberFormat="1" applyFont="1" applyFill="1" applyBorder="1" applyAlignment="1" applyProtection="1">
      <alignment horizontal="center" vertical="center"/>
    </xf>
    <xf numFmtId="0" fontId="15" fillId="3" borderId="0" xfId="16" applyFont="1" applyFill="1" applyBorder="1" applyAlignment="1" applyProtection="1">
      <alignment vertical="center"/>
    </xf>
    <xf numFmtId="0" fontId="15" fillId="3" borderId="15" xfId="16" applyFont="1" applyFill="1" applyBorder="1" applyAlignment="1" applyProtection="1">
      <alignment vertical="center"/>
    </xf>
    <xf numFmtId="0" fontId="15" fillId="3" borderId="0" xfId="16" applyFont="1" applyFill="1" applyBorder="1" applyAlignment="1" applyProtection="1">
      <alignment horizontal="left" vertical="center"/>
    </xf>
    <xf numFmtId="0" fontId="36" fillId="0" borderId="0" xfId="0" applyFont="1" applyAlignment="1">
      <alignment vertical="center"/>
    </xf>
    <xf numFmtId="176" fontId="15" fillId="3" borderId="19" xfId="16" applyNumberFormat="1" applyFont="1" applyFill="1" applyBorder="1" applyAlignment="1" applyProtection="1">
      <alignment horizontal="center" vertical="center"/>
    </xf>
    <xf numFmtId="0" fontId="3" fillId="3" borderId="0" xfId="28" applyFont="1" applyFill="1" applyAlignment="1" applyProtection="1">
      <alignment horizontal="right" vertical="center"/>
    </xf>
    <xf numFmtId="0" fontId="37" fillId="3" borderId="0" xfId="0" applyFont="1" applyFill="1" applyBorder="1" applyAlignment="1" applyProtection="1">
      <alignment horizontal="center" vertical="center"/>
    </xf>
    <xf numFmtId="0" fontId="37" fillId="3" borderId="0" xfId="0" applyFont="1" applyFill="1" applyAlignment="1" applyProtection="1">
      <alignment horizontal="center" vertical="center"/>
    </xf>
    <xf numFmtId="164" fontId="3" fillId="3" borderId="8" xfId="0" applyNumberFormat="1" applyFont="1" applyFill="1" applyBorder="1" applyAlignment="1" applyProtection="1">
      <alignment vertical="center"/>
    </xf>
    <xf numFmtId="37" fontId="3" fillId="3" borderId="8" xfId="0" applyNumberFormat="1" applyFont="1" applyFill="1" applyBorder="1" applyAlignment="1" applyProtection="1">
      <alignment horizontal="fill" vertical="center"/>
    </xf>
    <xf numFmtId="37" fontId="3" fillId="3" borderId="8" xfId="0" applyNumberFormat="1" applyFont="1" applyFill="1" applyBorder="1" applyAlignment="1" applyProtection="1">
      <alignment vertical="center"/>
    </xf>
    <xf numFmtId="37" fontId="3" fillId="3" borderId="7" xfId="16" applyNumberFormat="1" applyFont="1" applyFill="1" applyBorder="1" applyAlignment="1" applyProtection="1">
      <alignment horizontal="center"/>
    </xf>
    <xf numFmtId="37" fontId="3" fillId="3" borderId="8" xfId="16" applyNumberFormat="1" applyFont="1" applyFill="1" applyBorder="1" applyAlignment="1" applyProtection="1">
      <alignment horizontal="center"/>
    </xf>
    <xf numFmtId="0" fontId="3" fillId="3" borderId="0" xfId="16" applyFont="1" applyFill="1" applyBorder="1" applyAlignment="1" applyProtection="1">
      <alignment vertical="center"/>
    </xf>
    <xf numFmtId="0" fontId="3" fillId="3" borderId="19" xfId="16" applyFont="1" applyFill="1" applyBorder="1" applyAlignment="1" applyProtection="1">
      <alignment vertical="center"/>
    </xf>
    <xf numFmtId="0" fontId="3" fillId="3" borderId="15" xfId="16" applyFont="1" applyFill="1" applyBorder="1" applyAlignment="1" applyProtection="1">
      <alignment vertical="center"/>
    </xf>
    <xf numFmtId="0" fontId="3" fillId="0" borderId="0" xfId="16" applyFont="1" applyFill="1" applyBorder="1" applyAlignment="1" applyProtection="1">
      <alignment vertical="center"/>
    </xf>
    <xf numFmtId="0" fontId="15" fillId="12" borderId="19" xfId="25" applyFont="1" applyFill="1" applyBorder="1" applyProtection="1"/>
    <xf numFmtId="0" fontId="3" fillId="12" borderId="0" xfId="25" applyFont="1" applyFill="1" applyBorder="1" applyProtection="1"/>
    <xf numFmtId="176" fontId="3" fillId="12" borderId="15" xfId="25" applyNumberFormat="1" applyFont="1" applyFill="1" applyBorder="1" applyAlignment="1" applyProtection="1">
      <alignment horizontal="center"/>
    </xf>
    <xf numFmtId="0" fontId="3" fillId="12" borderId="18" xfId="25" applyFont="1" applyFill="1" applyBorder="1" applyProtection="1"/>
    <xf numFmtId="0" fontId="3" fillId="12" borderId="1" xfId="25" applyFont="1" applyFill="1" applyBorder="1" applyProtection="1"/>
    <xf numFmtId="176" fontId="3" fillId="13" borderId="9" xfId="25" applyNumberFormat="1" applyFont="1" applyFill="1" applyBorder="1" applyAlignment="1" applyProtection="1">
      <alignment horizontal="center"/>
    </xf>
    <xf numFmtId="0" fontId="3" fillId="0" borderId="0" xfId="25" applyFont="1" applyFill="1" applyBorder="1" applyProtection="1"/>
    <xf numFmtId="0" fontId="3" fillId="12" borderId="19" xfId="25" applyFont="1" applyFill="1" applyBorder="1" applyProtection="1"/>
    <xf numFmtId="0" fontId="3" fillId="12" borderId="15" xfId="25" applyFont="1" applyFill="1" applyBorder="1" applyProtection="1"/>
    <xf numFmtId="172" fontId="3" fillId="12" borderId="15" xfId="25" applyNumberFormat="1" applyFont="1" applyFill="1" applyBorder="1" applyAlignment="1" applyProtection="1">
      <alignment horizontal="center"/>
    </xf>
    <xf numFmtId="0" fontId="3" fillId="13" borderId="19" xfId="25" applyFont="1" applyFill="1" applyBorder="1" applyProtection="1"/>
    <xf numFmtId="0" fontId="3" fillId="13" borderId="0" xfId="25" applyFont="1" applyFill="1" applyBorder="1" applyProtection="1"/>
    <xf numFmtId="0" fontId="3" fillId="13" borderId="18" xfId="25" applyFont="1" applyFill="1" applyBorder="1" applyProtection="1"/>
    <xf numFmtId="0" fontId="3" fillId="13" borderId="1" xfId="25" applyFont="1" applyFill="1" applyBorder="1" applyProtection="1"/>
    <xf numFmtId="0" fontId="3" fillId="0" borderId="0" xfId="25" applyFont="1" applyProtection="1"/>
    <xf numFmtId="176" fontId="3" fillId="12" borderId="9" xfId="25" applyNumberFormat="1" applyFont="1" applyFill="1" applyBorder="1" applyAlignment="1" applyProtection="1">
      <alignment horizontal="center"/>
    </xf>
    <xf numFmtId="173" fontId="3" fillId="11" borderId="15" xfId="25" applyNumberFormat="1" applyFont="1" applyFill="1" applyBorder="1" applyAlignment="1" applyProtection="1">
      <alignment horizontal="center"/>
      <protection locked="0"/>
    </xf>
    <xf numFmtId="37" fontId="3" fillId="14" borderId="12" xfId="0" applyNumberFormat="1" applyFont="1" applyFill="1" applyBorder="1" applyAlignment="1" applyProtection="1">
      <alignment vertical="center"/>
    </xf>
    <xf numFmtId="176" fontId="3" fillId="13" borderId="15" xfId="25" applyNumberFormat="1" applyFont="1" applyFill="1" applyBorder="1" applyAlignment="1" applyProtection="1">
      <alignment horizontal="center"/>
    </xf>
    <xf numFmtId="0" fontId="3" fillId="13" borderId="18" xfId="0" applyFont="1" applyFill="1" applyBorder="1" applyAlignment="1">
      <alignment vertical="center"/>
    </xf>
    <xf numFmtId="0" fontId="3" fillId="13" borderId="1" xfId="0" applyFont="1" applyFill="1" applyBorder="1" applyAlignment="1">
      <alignment vertical="center"/>
    </xf>
    <xf numFmtId="176" fontId="3" fillId="13" borderId="9" xfId="0" applyNumberFormat="1" applyFont="1" applyFill="1" applyBorder="1" applyAlignment="1">
      <alignment horizontal="center" vertical="center"/>
    </xf>
    <xf numFmtId="0" fontId="3"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0" xfId="0" applyFont="1" applyFill="1" applyBorder="1" applyAlignment="1" applyProtection="1">
      <alignment horizontal="left" vertical="center"/>
    </xf>
    <xf numFmtId="0" fontId="38" fillId="0" borderId="0" xfId="0" applyFont="1"/>
    <xf numFmtId="0" fontId="39" fillId="0" borderId="0" xfId="321" applyFont="1"/>
    <xf numFmtId="174" fontId="40" fillId="0" borderId="0" xfId="321" applyNumberFormat="1" applyFont="1" applyAlignment="1">
      <alignment horizontal="left" vertical="center"/>
    </xf>
    <xf numFmtId="0" fontId="40" fillId="0" borderId="0" xfId="321" applyNumberFormat="1" applyFont="1" applyAlignment="1">
      <alignment horizontal="left" vertical="center"/>
    </xf>
    <xf numFmtId="1" fontId="40" fillId="0" borderId="0" xfId="321" applyNumberFormat="1" applyFont="1" applyAlignment="1">
      <alignment horizontal="left" vertical="center"/>
    </xf>
    <xf numFmtId="0" fontId="41" fillId="0" borderId="0" xfId="321" applyFont="1" applyAlignment="1">
      <alignment horizontal="left" vertical="center"/>
    </xf>
    <xf numFmtId="0" fontId="3" fillId="12" borderId="0" xfId="0" applyFont="1" applyFill="1" applyAlignment="1" applyProtection="1">
      <alignment vertical="center"/>
      <protection locked="0"/>
    </xf>
    <xf numFmtId="10" fontId="3" fillId="7" borderId="2" xfId="0" applyNumberFormat="1" applyFont="1" applyFill="1" applyBorder="1" applyAlignment="1" applyProtection="1">
      <alignment vertical="center"/>
      <protection locked="0"/>
    </xf>
    <xf numFmtId="0" fontId="3" fillId="3" borderId="7" xfId="0" applyFont="1" applyFill="1" applyBorder="1" applyAlignment="1">
      <alignment horizontal="center" vertical="center"/>
    </xf>
    <xf numFmtId="37" fontId="3" fillId="4" borderId="12" xfId="0" applyNumberFormat="1" applyFont="1" applyFill="1" applyBorder="1" applyAlignment="1" applyProtection="1">
      <alignment horizontal="center" vertical="center"/>
    </xf>
    <xf numFmtId="171" fontId="3" fillId="4" borderId="12" xfId="0" applyNumberFormat="1" applyFont="1" applyFill="1" applyBorder="1" applyAlignment="1" applyProtection="1">
      <alignment horizontal="center" vertical="center"/>
    </xf>
    <xf numFmtId="171" fontId="3" fillId="3" borderId="2" xfId="0" applyNumberFormat="1" applyFont="1" applyFill="1" applyBorder="1" applyAlignment="1" applyProtection="1">
      <alignment horizontal="center" vertical="center"/>
    </xf>
    <xf numFmtId="178" fontId="3" fillId="3" borderId="0" xfId="0" applyNumberFormat="1" applyFont="1" applyFill="1" applyAlignment="1">
      <alignment horizontal="center" vertical="center"/>
    </xf>
    <xf numFmtId="0" fontId="15" fillId="12" borderId="19" xfId="0" applyFont="1" applyFill="1" applyBorder="1" applyAlignment="1" applyProtection="1">
      <alignment vertical="center"/>
    </xf>
    <xf numFmtId="0" fontId="3" fillId="12" borderId="0" xfId="0" applyFont="1" applyFill="1" applyBorder="1" applyAlignment="1" applyProtection="1">
      <alignment vertical="center"/>
    </xf>
    <xf numFmtId="0" fontId="15" fillId="12" borderId="0" xfId="0" applyFont="1" applyFill="1" applyBorder="1" applyAlignment="1" applyProtection="1">
      <alignment vertical="center"/>
    </xf>
    <xf numFmtId="176" fontId="15" fillId="12" borderId="15" xfId="0" applyNumberFormat="1" applyFont="1" applyFill="1" applyBorder="1" applyAlignment="1" applyProtection="1">
      <alignment horizontal="center" vertical="center"/>
    </xf>
    <xf numFmtId="0" fontId="15" fillId="12" borderId="19" xfId="0" applyFont="1" applyFill="1" applyBorder="1" applyAlignment="1" applyProtection="1">
      <alignment horizontal="left" vertical="center"/>
    </xf>
    <xf numFmtId="176" fontId="15" fillId="11" borderId="2" xfId="0" applyNumberFormat="1" applyFont="1" applyFill="1" applyBorder="1" applyAlignment="1" applyProtection="1">
      <alignment horizontal="center" vertical="center"/>
      <protection locked="0"/>
    </xf>
    <xf numFmtId="173" fontId="16" fillId="12" borderId="6" xfId="0" applyNumberFormat="1" applyFont="1" applyFill="1" applyBorder="1" applyAlignment="1" applyProtection="1">
      <alignment horizontal="center" vertical="center"/>
    </xf>
    <xf numFmtId="0" fontId="16" fillId="13" borderId="19" xfId="0" applyFont="1" applyFill="1" applyBorder="1" applyAlignment="1" applyProtection="1">
      <alignment vertical="center"/>
    </xf>
    <xf numFmtId="0" fontId="3" fillId="13" borderId="0" xfId="0" applyFont="1" applyFill="1" applyBorder="1" applyAlignment="1" applyProtection="1">
      <alignment vertical="center"/>
    </xf>
    <xf numFmtId="0" fontId="15" fillId="13" borderId="0" xfId="0" applyFont="1" applyFill="1" applyBorder="1" applyAlignment="1" applyProtection="1">
      <alignment vertical="center"/>
    </xf>
    <xf numFmtId="176" fontId="16" fillId="13" borderId="6" xfId="0" applyNumberFormat="1" applyFont="1" applyFill="1" applyBorder="1" applyAlignment="1" applyProtection="1">
      <alignment horizontal="center" vertical="center"/>
    </xf>
    <xf numFmtId="37" fontId="15" fillId="3" borderId="18" xfId="0" applyNumberFormat="1" applyFont="1" applyFill="1" applyBorder="1" applyAlignment="1" applyProtection="1">
      <alignment horizontal="left" vertical="center"/>
    </xf>
    <xf numFmtId="0" fontId="17" fillId="12" borderId="1" xfId="0" applyFont="1" applyFill="1" applyBorder="1" applyAlignment="1">
      <alignment horizontal="left" vertical="center"/>
    </xf>
    <xf numFmtId="176" fontId="16" fillId="13" borderId="9" xfId="0" applyNumberFormat="1" applyFont="1" applyFill="1" applyBorder="1" applyAlignment="1" applyProtection="1">
      <alignment horizontal="center" vertical="center"/>
      <protection locked="0"/>
    </xf>
    <xf numFmtId="0" fontId="42" fillId="0" borderId="0" xfId="0" applyFont="1" applyProtection="1">
      <protection locked="0"/>
    </xf>
    <xf numFmtId="173" fontId="15" fillId="12" borderId="19" xfId="0" applyNumberFormat="1" applyFont="1" applyFill="1" applyBorder="1" applyAlignment="1" applyProtection="1">
      <alignment horizontal="center" vertical="center"/>
    </xf>
    <xf numFmtId="0" fontId="15" fillId="12" borderId="0" xfId="0" applyFont="1" applyFill="1" applyBorder="1" applyAlignment="1" applyProtection="1">
      <alignment horizontal="left" vertical="center"/>
    </xf>
    <xf numFmtId="0" fontId="25" fillId="12" borderId="0" xfId="0" applyFont="1" applyFill="1" applyBorder="1" applyAlignment="1" applyProtection="1">
      <alignment horizontal="center" vertical="center"/>
    </xf>
    <xf numFmtId="0" fontId="0" fillId="12" borderId="15" xfId="0" applyFill="1" applyBorder="1" applyAlignment="1" applyProtection="1">
      <alignment vertical="center"/>
    </xf>
    <xf numFmtId="173" fontId="15" fillId="13" borderId="18" xfId="0" applyNumberFormat="1" applyFont="1" applyFill="1" applyBorder="1" applyAlignment="1" applyProtection="1">
      <alignment horizontal="center" vertical="center"/>
    </xf>
    <xf numFmtId="173" fontId="15" fillId="12" borderId="4" xfId="0" applyNumberFormat="1" applyFont="1" applyFill="1" applyBorder="1" applyAlignment="1" applyProtection="1">
      <alignment horizontal="center" vertical="center"/>
    </xf>
    <xf numFmtId="173" fontId="15" fillId="13" borderId="4" xfId="0" applyNumberFormat="1" applyFont="1" applyFill="1" applyBorder="1" applyAlignment="1" applyProtection="1">
      <alignment horizontal="center" vertical="center"/>
    </xf>
    <xf numFmtId="0" fontId="15" fillId="12" borderId="1" xfId="0" applyFont="1" applyFill="1" applyBorder="1" applyAlignment="1" applyProtection="1">
      <alignment horizontal="left" vertical="center"/>
    </xf>
    <xf numFmtId="0" fontId="25" fillId="12" borderId="1" xfId="0" applyFont="1" applyFill="1" applyBorder="1" applyAlignment="1" applyProtection="1">
      <alignment horizontal="center" vertical="center"/>
    </xf>
    <xf numFmtId="0" fontId="0" fillId="12" borderId="9" xfId="0" applyFill="1" applyBorder="1" applyAlignment="1" applyProtection="1">
      <alignment vertical="center"/>
    </xf>
    <xf numFmtId="37" fontId="3" fillId="3" borderId="15" xfId="0" applyNumberFormat="1" applyFont="1" applyFill="1" applyBorder="1" applyAlignment="1" applyProtection="1">
      <alignment horizontal="right" vertical="center"/>
    </xf>
    <xf numFmtId="176" fontId="15" fillId="12" borderId="19" xfId="0" applyNumberFormat="1" applyFont="1" applyFill="1" applyBorder="1" applyAlignment="1" applyProtection="1">
      <alignment horizontal="center" vertical="center"/>
    </xf>
    <xf numFmtId="0" fontId="15" fillId="12" borderId="15" xfId="0" applyFont="1" applyFill="1" applyBorder="1" applyAlignment="1" applyProtection="1">
      <alignment vertical="center"/>
    </xf>
    <xf numFmtId="176" fontId="15" fillId="12" borderId="18" xfId="0" applyNumberFormat="1" applyFont="1" applyFill="1" applyBorder="1" applyAlignment="1" applyProtection="1">
      <alignment horizontal="center" vertical="center"/>
    </xf>
    <xf numFmtId="176" fontId="15" fillId="12" borderId="19" xfId="0" applyNumberFormat="1" applyFont="1" applyFill="1" applyBorder="1" applyAlignment="1" applyProtection="1">
      <alignment vertical="center"/>
    </xf>
    <xf numFmtId="0" fontId="3" fillId="12" borderId="15" xfId="0" applyFont="1" applyFill="1" applyBorder="1" applyProtection="1">
      <protection locked="0"/>
    </xf>
    <xf numFmtId="176" fontId="15" fillId="13" borderId="18" xfId="0" applyNumberFormat="1" applyFont="1" applyFill="1" applyBorder="1" applyAlignment="1" applyProtection="1">
      <alignment horizontal="center" vertical="center"/>
    </xf>
    <xf numFmtId="0" fontId="15" fillId="13" borderId="1" xfId="0" applyFont="1" applyFill="1" applyBorder="1" applyAlignment="1" applyProtection="1">
      <alignment vertical="center"/>
    </xf>
    <xf numFmtId="0" fontId="15" fillId="13" borderId="9" xfId="0" applyFont="1" applyFill="1" applyBorder="1" applyAlignment="1" applyProtection="1">
      <alignment vertical="center"/>
    </xf>
    <xf numFmtId="37" fontId="3" fillId="13" borderId="9" xfId="0" applyNumberFormat="1" applyFont="1" applyFill="1" applyBorder="1" applyAlignment="1" applyProtection="1">
      <alignment horizontal="right" vertical="center"/>
    </xf>
    <xf numFmtId="0" fontId="3" fillId="12" borderId="19" xfId="0" applyFont="1" applyFill="1" applyBorder="1" applyAlignment="1" applyProtection="1">
      <alignment vertical="center"/>
    </xf>
    <xf numFmtId="176" fontId="19" fillId="12" borderId="19" xfId="0" applyNumberFormat="1" applyFont="1" applyFill="1" applyBorder="1" applyAlignment="1" applyProtection="1">
      <alignment horizontal="center" vertical="center"/>
    </xf>
    <xf numFmtId="0" fontId="3" fillId="12" borderId="15" xfId="0" applyFont="1" applyFill="1" applyBorder="1" applyAlignment="1" applyProtection="1">
      <alignment vertical="center"/>
    </xf>
    <xf numFmtId="176" fontId="19" fillId="12" borderId="19" xfId="0" applyNumberFormat="1" applyFont="1" applyFill="1" applyBorder="1" applyAlignment="1" applyProtection="1">
      <alignment vertical="center"/>
    </xf>
    <xf numFmtId="0" fontId="19" fillId="12" borderId="0" xfId="0" applyFont="1" applyFill="1" applyBorder="1" applyAlignment="1" applyProtection="1">
      <alignment vertical="center"/>
    </xf>
    <xf numFmtId="176" fontId="19" fillId="12" borderId="18" xfId="0" applyNumberFormat="1" applyFont="1" applyFill="1" applyBorder="1" applyAlignment="1" applyProtection="1">
      <alignment horizontal="center" vertical="center"/>
    </xf>
    <xf numFmtId="176" fontId="19" fillId="13" borderId="18" xfId="0" applyNumberFormat="1" applyFont="1" applyFill="1" applyBorder="1" applyAlignment="1" applyProtection="1">
      <alignment horizontal="center" vertical="center"/>
    </xf>
    <xf numFmtId="0" fontId="3" fillId="13" borderId="9" xfId="0" applyFont="1" applyFill="1" applyBorder="1" applyAlignment="1" applyProtection="1">
      <alignment vertical="center"/>
    </xf>
    <xf numFmtId="0" fontId="3" fillId="13" borderId="9" xfId="0" applyFont="1" applyFill="1" applyBorder="1" applyProtection="1">
      <protection locked="0"/>
    </xf>
    <xf numFmtId="178" fontId="3" fillId="2" borderId="2" xfId="0" applyNumberFormat="1" applyFont="1" applyFill="1" applyBorder="1" applyAlignment="1" applyProtection="1">
      <alignment vertical="center"/>
      <protection locked="0"/>
    </xf>
    <xf numFmtId="37" fontId="3" fillId="3" borderId="1" xfId="16" applyNumberFormat="1" applyFont="1" applyFill="1" applyBorder="1" applyAlignment="1" applyProtection="1">
      <alignment horizontal="left" vertical="center"/>
    </xf>
    <xf numFmtId="178" fontId="3" fillId="7" borderId="2" xfId="0" applyNumberFormat="1" applyFont="1" applyFill="1" applyBorder="1" applyAlignment="1" applyProtection="1">
      <alignment vertical="center"/>
      <protection locked="0"/>
    </xf>
    <xf numFmtId="37" fontId="3" fillId="3" borderId="5" xfId="13" applyNumberFormat="1" applyFont="1" applyFill="1" applyBorder="1" applyAlignment="1" applyProtection="1">
      <alignment horizontal="left" vertical="center"/>
    </xf>
    <xf numFmtId="1" fontId="3" fillId="3" borderId="10" xfId="0" applyNumberFormat="1" applyFont="1" applyFill="1" applyBorder="1" applyAlignment="1" applyProtection="1">
      <alignment horizontal="center" vertical="center"/>
    </xf>
    <xf numFmtId="37" fontId="3" fillId="3" borderId="10" xfId="0" applyNumberFormat="1" applyFont="1" applyFill="1" applyBorder="1" applyAlignment="1" applyProtection="1">
      <alignment horizontal="center" vertical="center"/>
    </xf>
    <xf numFmtId="0" fontId="15" fillId="3" borderId="9" xfId="0" applyFont="1" applyFill="1" applyBorder="1" applyAlignment="1" applyProtection="1">
      <alignment vertical="center"/>
    </xf>
    <xf numFmtId="0" fontId="15" fillId="0" borderId="0" xfId="16" applyFont="1" applyFill="1" applyBorder="1" applyAlignment="1" applyProtection="1">
      <alignment vertical="center"/>
    </xf>
    <xf numFmtId="176" fontId="16" fillId="0" borderId="0" xfId="16" applyNumberFormat="1" applyFont="1" applyFill="1" applyBorder="1" applyAlignment="1" applyProtection="1">
      <alignment horizontal="center" vertical="center"/>
    </xf>
    <xf numFmtId="0" fontId="16" fillId="0" borderId="0" xfId="16" applyFont="1" applyFill="1" applyBorder="1" applyAlignment="1" applyProtection="1">
      <alignment vertical="center"/>
    </xf>
    <xf numFmtId="37" fontId="15" fillId="3" borderId="2" xfId="0" applyNumberFormat="1" applyFont="1" applyFill="1" applyBorder="1" applyAlignment="1" applyProtection="1">
      <alignment horizontal="right" vertical="center"/>
    </xf>
    <xf numFmtId="177" fontId="15" fillId="3" borderId="2" xfId="0" applyNumberFormat="1" applyFont="1" applyFill="1" applyBorder="1" applyAlignment="1" applyProtection="1">
      <alignment horizontal="right" vertical="center"/>
    </xf>
    <xf numFmtId="172" fontId="3" fillId="3" borderId="2" xfId="0" applyNumberFormat="1" applyFont="1" applyFill="1" applyBorder="1" applyAlignment="1" applyProtection="1">
      <alignment horizontal="right" vertical="center"/>
    </xf>
    <xf numFmtId="0" fontId="15" fillId="3" borderId="2" xfId="0" applyFont="1" applyFill="1" applyBorder="1" applyAlignment="1" applyProtection="1">
      <alignment horizontal="right" vertical="center"/>
    </xf>
    <xf numFmtId="0" fontId="15" fillId="3" borderId="7" xfId="0" applyFont="1" applyFill="1" applyBorder="1" applyAlignment="1" applyProtection="1">
      <alignment horizontal="right" vertical="center"/>
    </xf>
    <xf numFmtId="37" fontId="15" fillId="3" borderId="12" xfId="0" applyNumberFormat="1" applyFont="1" applyFill="1" applyBorder="1" applyAlignment="1" applyProtection="1">
      <alignment horizontal="right" vertical="center"/>
    </xf>
    <xf numFmtId="0" fontId="3" fillId="11" borderId="0" xfId="0" applyFont="1" applyFill="1" applyProtection="1">
      <protection locked="0"/>
    </xf>
    <xf numFmtId="37" fontId="15" fillId="3" borderId="0" xfId="0" applyNumberFormat="1" applyFont="1" applyFill="1" applyBorder="1" applyAlignment="1" applyProtection="1">
      <alignment horizontal="fill" vertical="center"/>
      <protection locked="0"/>
    </xf>
    <xf numFmtId="0" fontId="15"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Continuous" vertical="center"/>
      <protection locked="0"/>
    </xf>
    <xf numFmtId="37" fontId="15" fillId="3" borderId="0" xfId="0" applyNumberFormat="1" applyFont="1" applyFill="1" applyBorder="1" applyAlignment="1" applyProtection="1">
      <alignment horizontal="centerContinuous" vertical="center"/>
    </xf>
    <xf numFmtId="37" fontId="15" fillId="3" borderId="7" xfId="0" applyNumberFormat="1" applyFont="1" applyFill="1" applyBorder="1" applyAlignment="1" applyProtection="1">
      <alignment horizontal="right" vertical="center"/>
    </xf>
    <xf numFmtId="0" fontId="3" fillId="3" borderId="0" xfId="0" applyFont="1" applyFill="1" applyAlignment="1" applyProtection="1">
      <alignment horizontal="right" vertical="center"/>
    </xf>
    <xf numFmtId="3" fontId="3" fillId="11" borderId="1" xfId="0" applyNumberFormat="1" applyFont="1" applyFill="1" applyBorder="1" applyAlignment="1" applyProtection="1">
      <alignment vertical="center"/>
    </xf>
    <xf numFmtId="0" fontId="3" fillId="3" borderId="1" xfId="0" applyFont="1" applyFill="1" applyBorder="1" applyAlignment="1">
      <alignment horizontal="center" vertical="center" wrapText="1"/>
    </xf>
    <xf numFmtId="0" fontId="3" fillId="0" borderId="0" xfId="0" applyFont="1" applyAlignment="1">
      <alignment horizontal="center" vertical="center" wrapText="1"/>
    </xf>
    <xf numFmtId="3" fontId="19" fillId="2" borderId="2" xfId="0" applyNumberFormat="1" applyFont="1" applyFill="1" applyBorder="1" applyAlignment="1" applyProtection="1">
      <alignment horizontal="right" vertical="center"/>
      <protection locked="0"/>
    </xf>
    <xf numFmtId="3" fontId="19" fillId="3" borderId="0" xfId="0" applyNumberFormat="1" applyFont="1" applyFill="1" applyAlignment="1">
      <alignment horizontal="right" vertical="center"/>
    </xf>
    <xf numFmtId="3" fontId="19" fillId="3" borderId="2" xfId="0" applyNumberFormat="1" applyFont="1" applyFill="1" applyBorder="1" applyAlignment="1">
      <alignment horizontal="right" vertical="center"/>
    </xf>
    <xf numFmtId="3" fontId="19" fillId="4" borderId="2" xfId="0" applyNumberFormat="1" applyFont="1" applyFill="1" applyBorder="1" applyAlignment="1">
      <alignment horizontal="right" vertical="center"/>
    </xf>
    <xf numFmtId="3" fontId="3" fillId="3" borderId="0" xfId="0" applyNumberFormat="1" applyFont="1" applyFill="1" applyAlignment="1">
      <alignment horizontal="right" vertical="center"/>
    </xf>
    <xf numFmtId="3" fontId="19" fillId="4" borderId="8" xfId="0" applyNumberFormat="1" applyFont="1" applyFill="1" applyBorder="1" applyAlignment="1">
      <alignment horizontal="right" vertical="center"/>
    </xf>
    <xf numFmtId="3" fontId="24" fillId="9" borderId="2" xfId="0" applyNumberFormat="1" applyFont="1" applyFill="1" applyBorder="1" applyAlignment="1">
      <alignment horizontal="right" vertical="center"/>
    </xf>
    <xf numFmtId="3" fontId="30" fillId="9" borderId="0" xfId="0" applyNumberFormat="1" applyFont="1" applyFill="1" applyAlignment="1">
      <alignment horizontal="right" vertical="center"/>
    </xf>
    <xf numFmtId="37" fontId="15" fillId="3" borderId="1" xfId="0" applyNumberFormat="1" applyFont="1" applyFill="1" applyBorder="1" applyAlignment="1" applyProtection="1">
      <alignment horizontal="fill" vertical="center"/>
      <protection locked="0"/>
    </xf>
    <xf numFmtId="0" fontId="43" fillId="2" borderId="1" xfId="342" applyFill="1" applyBorder="1" applyAlignment="1" applyProtection="1">
      <alignment vertical="center"/>
      <protection locked="0"/>
    </xf>
    <xf numFmtId="164" fontId="3" fillId="3" borderId="0" xfId="0" applyNumberFormat="1" applyFont="1" applyFill="1" applyAlignment="1">
      <alignment vertical="center"/>
    </xf>
    <xf numFmtId="164" fontId="3" fillId="3" borderId="0" xfId="0" applyNumberFormat="1" applyFont="1" applyFill="1" applyBorder="1" applyAlignment="1" applyProtection="1">
      <alignment vertical="center"/>
    </xf>
    <xf numFmtId="0" fontId="44" fillId="3" borderId="0" xfId="0" applyFont="1" applyFill="1" applyAlignment="1" applyProtection="1">
      <alignment horizontal="right" vertical="center"/>
      <protection locked="0"/>
    </xf>
    <xf numFmtId="0" fontId="15" fillId="3" borderId="0" xfId="0" applyFont="1" applyFill="1" applyAlignment="1" applyProtection="1">
      <alignment horizontal="left" vertical="center"/>
      <protection locked="0"/>
    </xf>
    <xf numFmtId="164" fontId="3" fillId="0" borderId="0" xfId="0" applyNumberFormat="1" applyFont="1" applyAlignment="1">
      <alignment vertical="center"/>
    </xf>
    <xf numFmtId="0" fontId="15" fillId="0" borderId="0" xfId="321" applyFont="1" applyAlignment="1">
      <alignment horizontal="left" vertical="center"/>
    </xf>
    <xf numFmtId="37" fontId="3" fillId="5" borderId="0" xfId="0" applyNumberFormat="1" applyFont="1" applyFill="1" applyAlignment="1" applyProtection="1">
      <alignment horizontal="center" vertical="center" wrapText="1"/>
    </xf>
    <xf numFmtId="0" fontId="0" fillId="5" borderId="1" xfId="0" applyFill="1" applyBorder="1" applyAlignment="1">
      <alignment horizontal="center" vertical="center" wrapText="1"/>
    </xf>
    <xf numFmtId="37" fontId="22" fillId="3" borderId="0" xfId="0" applyNumberFormat="1" applyFont="1" applyFill="1" applyAlignment="1" applyProtection="1">
      <alignment horizontal="center" vertical="center"/>
    </xf>
    <xf numFmtId="0" fontId="23" fillId="0" borderId="0" xfId="0" applyFont="1" applyAlignment="1">
      <alignment horizontal="center" vertical="center"/>
    </xf>
    <xf numFmtId="37" fontId="4" fillId="3" borderId="0" xfId="0" applyNumberFormat="1" applyFont="1" applyFill="1" applyAlignment="1" applyProtection="1">
      <alignment horizontal="center" vertical="center"/>
    </xf>
    <xf numFmtId="0" fontId="1" fillId="0" borderId="0" xfId="0" applyFont="1" applyAlignment="1">
      <alignment horizontal="center" vertical="center"/>
    </xf>
    <xf numFmtId="0" fontId="3" fillId="3" borderId="0" xfId="0" applyFont="1" applyFill="1" applyBorder="1" applyAlignment="1" applyProtection="1">
      <alignment vertical="center" wrapText="1"/>
    </xf>
    <xf numFmtId="0" fontId="4"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3" fillId="5" borderId="7" xfId="0" applyFont="1" applyFill="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21" fillId="3" borderId="0" xfId="0" applyFont="1" applyFill="1" applyBorder="1" applyAlignment="1">
      <alignment vertical="center"/>
    </xf>
    <xf numFmtId="0" fontId="27" fillId="0" borderId="0" xfId="0" applyFont="1" applyAlignment="1">
      <alignment vertical="center"/>
    </xf>
    <xf numFmtId="0" fontId="3" fillId="0" borderId="0" xfId="319" applyFont="1" applyAlignment="1">
      <alignment horizontal="left" vertical="center" wrapText="1"/>
    </xf>
    <xf numFmtId="0" fontId="32" fillId="0" borderId="0" xfId="319" applyFont="1" applyAlignment="1">
      <alignment horizontal="left" vertical="center" wrapText="1"/>
    </xf>
    <xf numFmtId="0" fontId="20" fillId="0" borderId="0" xfId="319" applyFont="1" applyAlignment="1">
      <alignment horizontal="left" vertical="center"/>
    </xf>
    <xf numFmtId="37" fontId="15" fillId="0" borderId="0" xfId="0" applyNumberFormat="1" applyFont="1" applyAlignment="1" applyProtection="1">
      <alignment horizontal="center" vertical="center"/>
      <protection locked="0"/>
    </xf>
    <xf numFmtId="37" fontId="16" fillId="3" borderId="0" xfId="0" applyNumberFormat="1" applyFont="1" applyFill="1" applyAlignment="1" applyProtection="1">
      <alignment horizontal="center" vertical="center"/>
    </xf>
    <xf numFmtId="37" fontId="15" fillId="3" borderId="7" xfId="0" applyNumberFormat="1" applyFont="1" applyFill="1" applyBorder="1" applyAlignment="1" applyProtection="1">
      <alignment horizontal="center" vertical="center" wrapText="1"/>
    </xf>
    <xf numFmtId="0" fontId="17" fillId="0" borderId="8" xfId="0" applyFont="1" applyBorder="1" applyAlignment="1">
      <alignment horizontal="center" vertical="center" wrapText="1"/>
    </xf>
    <xf numFmtId="37" fontId="25" fillId="3" borderId="0" xfId="0" applyNumberFormat="1" applyFont="1" applyFill="1" applyAlignment="1" applyProtection="1">
      <alignment horizontal="center" vertical="center"/>
    </xf>
    <xf numFmtId="0" fontId="33" fillId="0" borderId="0" xfId="0" applyFont="1" applyAlignment="1">
      <alignment horizontal="center" vertical="center"/>
    </xf>
    <xf numFmtId="37" fontId="15" fillId="3" borderId="0" xfId="0" applyNumberFormat="1" applyFont="1" applyFill="1" applyAlignment="1" applyProtection="1">
      <alignment horizontal="center" vertical="center"/>
    </xf>
    <xf numFmtId="0" fontId="0" fillId="0" borderId="0" xfId="0" applyAlignment="1">
      <alignment horizontal="center" vertical="center"/>
    </xf>
    <xf numFmtId="0" fontId="0" fillId="0" borderId="0" xfId="0" applyAlignment="1">
      <alignment vertical="center"/>
    </xf>
    <xf numFmtId="37" fontId="15" fillId="3" borderId="4" xfId="0" applyNumberFormat="1" applyFont="1" applyFill="1" applyBorder="1" applyAlignment="1" applyProtection="1">
      <alignment horizontal="fill" vertical="center"/>
    </xf>
    <xf numFmtId="0" fontId="0" fillId="0" borderId="6" xfId="0" applyBorder="1" applyAlignment="1">
      <alignment vertical="center"/>
    </xf>
    <xf numFmtId="0" fontId="15" fillId="3" borderId="0" xfId="0" applyFont="1" applyFill="1" applyAlignment="1" applyProtection="1">
      <alignment horizontal="center" vertical="center"/>
    </xf>
    <xf numFmtId="0" fontId="15" fillId="5" borderId="7" xfId="0" applyFont="1" applyFill="1" applyBorder="1" applyAlignment="1" applyProtection="1">
      <alignment horizontal="center" vertical="center" wrapText="1"/>
    </xf>
    <xf numFmtId="0" fontId="0" fillId="0" borderId="8" xfId="0" applyBorder="1" applyAlignment="1">
      <alignment vertical="center" wrapText="1"/>
    </xf>
    <xf numFmtId="0" fontId="6" fillId="3" borderId="0" xfId="0" applyFont="1" applyFill="1" applyAlignment="1" applyProtection="1">
      <alignment horizontal="center" vertical="center"/>
    </xf>
    <xf numFmtId="0" fontId="4" fillId="3" borderId="0" xfId="0" applyFont="1" applyFill="1" applyAlignment="1" applyProtection="1">
      <alignment horizontal="center" vertical="center"/>
    </xf>
    <xf numFmtId="37" fontId="3" fillId="3" borderId="7" xfId="0" applyNumberFormat="1" applyFont="1" applyFill="1" applyBorder="1" applyAlignment="1" applyProtection="1">
      <alignment horizontal="center" vertical="center" wrapText="1"/>
    </xf>
    <xf numFmtId="37" fontId="3" fillId="3" borderId="7" xfId="0" applyNumberFormat="1" applyFont="1" applyFill="1" applyBorder="1" applyAlignment="1" applyProtection="1">
      <alignment horizontal="center" wrapText="1"/>
    </xf>
    <xf numFmtId="0" fontId="0" fillId="0" borderId="8" xfId="0" applyBorder="1" applyAlignment="1">
      <alignment horizontal="center" wrapText="1"/>
    </xf>
    <xf numFmtId="37" fontId="3" fillId="3" borderId="4" xfId="0" applyNumberFormat="1"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37" fontId="4" fillId="3" borderId="0" xfId="0" applyNumberFormat="1" applyFont="1" applyFill="1" applyAlignment="1" applyProtection="1">
      <alignment horizontal="center"/>
    </xf>
    <xf numFmtId="0" fontId="3" fillId="3" borderId="18" xfId="0" applyFont="1" applyFill="1" applyBorder="1" applyAlignment="1" applyProtection="1">
      <alignment horizontal="center" vertical="center"/>
    </xf>
    <xf numFmtId="0" fontId="0" fillId="0" borderId="9" xfId="0" applyBorder="1" applyAlignment="1" applyProtection="1">
      <alignment vertical="center"/>
    </xf>
    <xf numFmtId="1" fontId="3" fillId="3" borderId="18" xfId="0" applyNumberFormat="1" applyFont="1" applyFill="1" applyBorder="1" applyAlignment="1" applyProtection="1">
      <alignment horizontal="center" vertical="center"/>
    </xf>
    <xf numFmtId="0" fontId="0" fillId="0" borderId="9" xfId="0" applyBorder="1" applyAlignment="1" applyProtection="1">
      <alignment horizontal="center" vertical="center"/>
    </xf>
    <xf numFmtId="3" fontId="3" fillId="3" borderId="13" xfId="28" applyNumberFormat="1" applyFont="1" applyFill="1" applyBorder="1" applyAlignment="1" applyProtection="1">
      <alignment horizontal="right" vertical="center"/>
    </xf>
    <xf numFmtId="0" fontId="2" fillId="0" borderId="11" xfId="28" applyBorder="1" applyAlignment="1">
      <alignment horizontal="right" vertical="center"/>
    </xf>
    <xf numFmtId="0" fontId="3" fillId="3" borderId="0" xfId="28" applyFont="1" applyFill="1" applyAlignment="1" applyProtection="1">
      <alignment horizontal="right" vertical="center"/>
    </xf>
    <xf numFmtId="0" fontId="3" fillId="0" borderId="15" xfId="28" applyFont="1" applyBorder="1" applyAlignment="1">
      <alignment horizontal="right" vertical="center"/>
    </xf>
    <xf numFmtId="0" fontId="3" fillId="3" borderId="0" xfId="0" applyFont="1" applyFill="1" applyAlignment="1" applyProtection="1">
      <alignment horizontal="center" vertical="center"/>
    </xf>
    <xf numFmtId="0" fontId="3" fillId="3" borderId="0" xfId="0" applyNumberFormat="1" applyFont="1" applyFill="1" applyBorder="1" applyAlignment="1" applyProtection="1">
      <alignment horizontal="right" vertical="center"/>
    </xf>
    <xf numFmtId="0" fontId="0" fillId="0" borderId="0" xfId="0" applyAlignment="1">
      <alignment horizontal="right" vertical="center"/>
    </xf>
    <xf numFmtId="37" fontId="3" fillId="3" borderId="0" xfId="0" applyNumberFormat="1" applyFont="1" applyFill="1" applyAlignment="1" applyProtection="1">
      <alignment horizontal="center" vertical="center"/>
    </xf>
    <xf numFmtId="173" fontId="25" fillId="12" borderId="10" xfId="0" applyNumberFormat="1" applyFont="1" applyFill="1" applyBorder="1" applyAlignment="1" applyProtection="1">
      <alignment horizontal="center"/>
    </xf>
    <xf numFmtId="0" fontId="23" fillId="0" borderId="13" xfId="0" applyFont="1" applyBorder="1" applyAlignment="1"/>
    <xf numFmtId="0" fontId="23" fillId="0" borderId="11" xfId="0" applyFont="1" applyBorder="1" applyAlignment="1"/>
    <xf numFmtId="0" fontId="25" fillId="12" borderId="10" xfId="0" applyFont="1" applyFill="1" applyBorder="1" applyAlignment="1" applyProtection="1">
      <alignment horizontal="center" vertical="center"/>
    </xf>
    <xf numFmtId="0" fontId="0" fillId="0" borderId="13" xfId="0" applyBorder="1" applyAlignment="1">
      <alignment vertical="center"/>
    </xf>
    <xf numFmtId="0" fontId="0" fillId="0" borderId="11" xfId="0" applyBorder="1" applyAlignment="1">
      <alignment vertical="center"/>
    </xf>
    <xf numFmtId="0" fontId="25" fillId="3" borderId="10" xfId="16" applyFont="1" applyFill="1" applyBorder="1" applyAlignment="1" applyProtection="1">
      <alignment horizontal="center" vertical="center"/>
    </xf>
    <xf numFmtId="0" fontId="35" fillId="0" borderId="13" xfId="16" applyFont="1" applyBorder="1" applyAlignment="1" applyProtection="1">
      <alignment horizontal="center" vertical="center"/>
    </xf>
    <xf numFmtId="0" fontId="2" fillId="0" borderId="11" xfId="16" applyBorder="1" applyAlignment="1" applyProtection="1">
      <alignment vertical="center"/>
    </xf>
    <xf numFmtId="0" fontId="0" fillId="0" borderId="13" xfId="0" applyBorder="1" applyAlignment="1">
      <alignment horizontal="center" vertical="center"/>
    </xf>
    <xf numFmtId="0" fontId="0" fillId="0" borderId="11" xfId="0" applyBorder="1" applyAlignment="1"/>
    <xf numFmtId="0" fontId="17" fillId="0" borderId="13" xfId="0" applyFont="1" applyBorder="1" applyAlignment="1">
      <alignment horizontal="center" vertical="center"/>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37" fontId="3" fillId="12" borderId="0" xfId="0" applyNumberFormat="1" applyFont="1" applyFill="1" applyAlignment="1" applyProtection="1">
      <alignment horizontal="center" vertical="center"/>
    </xf>
    <xf numFmtId="0" fontId="20" fillId="12" borderId="10" xfId="25" applyFont="1" applyFill="1" applyBorder="1" applyAlignment="1" applyProtection="1">
      <alignment horizontal="center"/>
    </xf>
    <xf numFmtId="0" fontId="20" fillId="12" borderId="13" xfId="25" applyFont="1" applyFill="1" applyBorder="1" applyAlignment="1" applyProtection="1">
      <alignment horizontal="center"/>
    </xf>
    <xf numFmtId="0" fontId="20" fillId="12" borderId="11" xfId="25" applyFont="1" applyFill="1" applyBorder="1" applyAlignment="1" applyProtection="1">
      <alignment horizontal="center"/>
    </xf>
    <xf numFmtId="0" fontId="2" fillId="0" borderId="13" xfId="25" applyBorder="1" applyAlignment="1" applyProtection="1">
      <alignment horizontal="center"/>
    </xf>
    <xf numFmtId="0" fontId="2" fillId="0" borderId="11" xfId="25" applyBorder="1" applyAlignment="1" applyProtection="1">
      <alignment horizontal="center"/>
    </xf>
    <xf numFmtId="37" fontId="20" fillId="3" borderId="0" xfId="0" applyNumberFormat="1" applyFont="1" applyFill="1" applyAlignment="1" applyProtection="1">
      <alignment horizontal="center" vertical="center"/>
    </xf>
    <xf numFmtId="37" fontId="3" fillId="3" borderId="1" xfId="0" applyNumberFormat="1" applyFont="1" applyFill="1" applyBorder="1" applyAlignment="1" applyProtection="1">
      <alignment horizontal="center" vertical="center"/>
      <protection locked="0"/>
    </xf>
    <xf numFmtId="0" fontId="0" fillId="0" borderId="13" xfId="0" applyBorder="1" applyAlignment="1">
      <alignment horizontal="center"/>
    </xf>
    <xf numFmtId="0" fontId="0" fillId="0" borderId="11" xfId="0" applyBorder="1" applyAlignment="1">
      <alignment horizontal="center"/>
    </xf>
    <xf numFmtId="0" fontId="3" fillId="3" borderId="0" xfId="0" applyFont="1" applyFill="1" applyAlignment="1">
      <alignment horizontal="right" vertical="center"/>
    </xf>
    <xf numFmtId="0" fontId="0" fillId="0" borderId="0" xfId="0" applyAlignment="1" applyProtection="1">
      <alignment vertical="center"/>
    </xf>
    <xf numFmtId="0" fontId="3" fillId="3" borderId="0" xfId="0" applyFont="1" applyFill="1" applyAlignment="1" applyProtection="1">
      <alignment horizontal="right" vertical="center"/>
    </xf>
    <xf numFmtId="0" fontId="11" fillId="0" borderId="0" xfId="0" applyFont="1" applyAlignment="1">
      <alignment horizontal="center" vertical="top"/>
    </xf>
    <xf numFmtId="0" fontId="12"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vertical="top" wrapText="1"/>
    </xf>
    <xf numFmtId="0" fontId="7" fillId="0" borderId="0" xfId="0" applyFont="1" applyAlignment="1">
      <alignment horizontal="center"/>
    </xf>
  </cellXfs>
  <cellStyles count="343">
    <cellStyle name="Comma" xfId="1" builtinId="3"/>
    <cellStyle name="Comma 11 2" xfId="2"/>
    <cellStyle name="Comma 16" xfId="3"/>
    <cellStyle name="Comma 16 2" xfId="4"/>
    <cellStyle name="Comma 16 3" xfId="5"/>
    <cellStyle name="Hyperlink" xfId="342" builtinId="8"/>
    <cellStyle name="Hyperlink 3" xfId="6"/>
    <cellStyle name="Hyperlink 3 2" xfId="7"/>
    <cellStyle name="Hyperlink 7" xfId="8"/>
    <cellStyle name="Hyperlink 7 2" xfId="9"/>
    <cellStyle name="Normal" xfId="0" builtinId="0"/>
    <cellStyle name="Normal 10" xfId="10"/>
    <cellStyle name="Normal 10 2" xfId="11"/>
    <cellStyle name="Normal 10 2 2" xfId="12"/>
    <cellStyle name="Normal 10 2 2 2" xfId="13"/>
    <cellStyle name="Normal 10 3" xfId="14"/>
    <cellStyle name="Normal 10 4" xfId="15"/>
    <cellStyle name="Normal 10 5" xfId="16"/>
    <cellStyle name="Normal 10 6" xfId="17"/>
    <cellStyle name="Normal 11" xfId="18"/>
    <cellStyle name="Normal 11 2" xfId="19"/>
    <cellStyle name="Normal 11 2 2" xfId="20"/>
    <cellStyle name="Normal 11 3" xfId="21"/>
    <cellStyle name="Normal 11 4" xfId="22"/>
    <cellStyle name="Normal 11 5" xfId="23"/>
    <cellStyle name="Normal 12" xfId="24"/>
    <cellStyle name="Normal 12 10" xfId="25"/>
    <cellStyle name="Normal 12 11" xfId="26"/>
    <cellStyle name="Normal 12 12" xfId="27"/>
    <cellStyle name="Normal 12 2" xfId="28"/>
    <cellStyle name="Normal 12 2 2" xfId="29"/>
    <cellStyle name="Normal 12 3" xfId="30"/>
    <cellStyle name="Normal 12 4" xfId="31"/>
    <cellStyle name="Normal 12 5" xfId="32"/>
    <cellStyle name="Normal 12 6" xfId="33"/>
    <cellStyle name="Normal 12 7" xfId="34"/>
    <cellStyle name="Normal 12 8" xfId="35"/>
    <cellStyle name="Normal 12 9" xfId="36"/>
    <cellStyle name="Normal 13" xfId="37"/>
    <cellStyle name="Normal 13 10" xfId="38"/>
    <cellStyle name="Normal 13 11" xfId="39"/>
    <cellStyle name="Normal 13 12" xfId="40"/>
    <cellStyle name="Normal 13 2" xfId="41"/>
    <cellStyle name="Normal 13 2 2" xfId="42"/>
    <cellStyle name="Normal 13 3" xfId="43"/>
    <cellStyle name="Normal 13 4" xfId="44"/>
    <cellStyle name="Normal 13 5" xfId="45"/>
    <cellStyle name="Normal 13 6" xfId="46"/>
    <cellStyle name="Normal 13 7" xfId="47"/>
    <cellStyle name="Normal 13 8" xfId="48"/>
    <cellStyle name="Normal 13 9" xfId="49"/>
    <cellStyle name="Normal 14" xfId="50"/>
    <cellStyle name="Normal 14 2" xfId="51"/>
    <cellStyle name="Normal 14 3" xfId="52"/>
    <cellStyle name="Normal 14 4" xfId="53"/>
    <cellStyle name="Normal 14 5" xfId="54"/>
    <cellStyle name="Normal 14 6" xfId="55"/>
    <cellStyle name="Normal 15" xfId="56"/>
    <cellStyle name="Normal 15 2" xfId="57"/>
    <cellStyle name="Normal 15 3" xfId="58"/>
    <cellStyle name="Normal 15 4" xfId="59"/>
    <cellStyle name="Normal 16" xfId="60"/>
    <cellStyle name="Normal 16 2" xfId="61"/>
    <cellStyle name="Normal 16 3" xfId="62"/>
    <cellStyle name="Normal 16 4" xfId="63"/>
    <cellStyle name="Normal 17" xfId="64"/>
    <cellStyle name="Normal 17 2" xfId="65"/>
    <cellStyle name="Normal 17 3" xfId="66"/>
    <cellStyle name="Normal 17 4" xfId="67"/>
    <cellStyle name="Normal 18" xfId="68"/>
    <cellStyle name="Normal 18 2" xfId="69"/>
    <cellStyle name="Normal 18 2 2" xfId="70"/>
    <cellStyle name="Normal 18 2 3" xfId="71"/>
    <cellStyle name="Normal 18 3" xfId="72"/>
    <cellStyle name="Normal 18 4" xfId="73"/>
    <cellStyle name="Normal 18 5" xfId="74"/>
    <cellStyle name="Normal 18 6" xfId="75"/>
    <cellStyle name="Normal 18 7" xfId="76"/>
    <cellStyle name="Normal 19" xfId="77"/>
    <cellStyle name="Normal 19 2" xfId="78"/>
    <cellStyle name="Normal 19 2 2" xfId="79"/>
    <cellStyle name="Normal 19 2 3" xfId="80"/>
    <cellStyle name="Normal 19 3" xfId="81"/>
    <cellStyle name="Normal 19 4" xfId="82"/>
    <cellStyle name="Normal 19 5" xfId="83"/>
    <cellStyle name="Normal 19 6" xfId="84"/>
    <cellStyle name="Normal 2 10" xfId="85"/>
    <cellStyle name="Normal 2 10 10" xfId="86"/>
    <cellStyle name="Normal 2 10 2" xfId="87"/>
    <cellStyle name="Normal 2 10 2 2" xfId="88"/>
    <cellStyle name="Normal 2 10 3" xfId="89"/>
    <cellStyle name="Normal 2 10 3 2" xfId="90"/>
    <cellStyle name="Normal 2 10 4" xfId="91"/>
    <cellStyle name="Normal 2 10 4 2" xfId="92"/>
    <cellStyle name="Normal 2 10 5" xfId="93"/>
    <cellStyle name="Normal 2 10 5 2" xfId="94"/>
    <cellStyle name="Normal 2 10 6" xfId="95"/>
    <cellStyle name="Normal 2 10 6 2" xfId="96"/>
    <cellStyle name="Normal 2 10 7" xfId="97"/>
    <cellStyle name="Normal 2 10 7 2" xfId="98"/>
    <cellStyle name="Normal 2 10 8" xfId="99"/>
    <cellStyle name="Normal 2 10 8 2" xfId="100"/>
    <cellStyle name="Normal 2 10 9" xfId="101"/>
    <cellStyle name="Normal 2 11" xfId="102"/>
    <cellStyle name="Normal 2 11 10" xfId="103"/>
    <cellStyle name="Normal 2 11 2" xfId="104"/>
    <cellStyle name="Normal 2 11 2 2" xfId="105"/>
    <cellStyle name="Normal 2 11 3" xfId="106"/>
    <cellStyle name="Normal 2 11 3 2" xfId="107"/>
    <cellStyle name="Normal 2 11 4" xfId="108"/>
    <cellStyle name="Normal 2 11 4 2" xfId="109"/>
    <cellStyle name="Normal 2 11 5" xfId="110"/>
    <cellStyle name="Normal 2 11 5 2" xfId="111"/>
    <cellStyle name="Normal 2 11 6" xfId="112"/>
    <cellStyle name="Normal 2 11 6 2" xfId="113"/>
    <cellStyle name="Normal 2 11 7" xfId="114"/>
    <cellStyle name="Normal 2 11 7 2" xfId="115"/>
    <cellStyle name="Normal 2 11 8" xfId="116"/>
    <cellStyle name="Normal 2 11 8 2" xfId="117"/>
    <cellStyle name="Normal 2 11 9" xfId="118"/>
    <cellStyle name="Normal 2 12" xfId="119"/>
    <cellStyle name="Normal 2 13" xfId="120"/>
    <cellStyle name="Normal 2 14" xfId="121"/>
    <cellStyle name="Normal 2 15" xfId="122"/>
    <cellStyle name="Normal 2 16" xfId="123"/>
    <cellStyle name="Normal 2 2" xfId="124"/>
    <cellStyle name="Normal 2 2 10" xfId="125"/>
    <cellStyle name="Normal 2 2 10 2" xfId="126"/>
    <cellStyle name="Normal 2 2 11" xfId="127"/>
    <cellStyle name="Normal 2 2 11 2" xfId="128"/>
    <cellStyle name="Normal 2 2 12" xfId="129"/>
    <cellStyle name="Normal 2 2 12 2" xfId="130"/>
    <cellStyle name="Normal 2 2 13" xfId="131"/>
    <cellStyle name="Normal 2 2 13 2" xfId="132"/>
    <cellStyle name="Normal 2 2 14" xfId="133"/>
    <cellStyle name="Normal 2 2 14 2" xfId="134"/>
    <cellStyle name="Normal 2 2 15" xfId="135"/>
    <cellStyle name="Normal 2 2 15 2" xfId="136"/>
    <cellStyle name="Normal 2 2 16" xfId="137"/>
    <cellStyle name="Normal 2 2 17" xfId="138"/>
    <cellStyle name="Normal 2 2 18" xfId="139"/>
    <cellStyle name="Normal 2 2 19" xfId="140"/>
    <cellStyle name="Normal 2 2 2" xfId="141"/>
    <cellStyle name="Normal 2 2 2 2" xfId="142"/>
    <cellStyle name="Normal 2 2 2 2 2" xfId="143"/>
    <cellStyle name="Normal 2 2 2 3" xfId="144"/>
    <cellStyle name="Normal 2 2 2 3 2" xfId="145"/>
    <cellStyle name="Normal 2 2 2 4" xfId="146"/>
    <cellStyle name="Normal 2 2 2 4 2" xfId="147"/>
    <cellStyle name="Normal 2 2 2 5" xfId="148"/>
    <cellStyle name="Normal 2 2 2 5 2" xfId="149"/>
    <cellStyle name="Normal 2 2 2 6" xfId="150"/>
    <cellStyle name="Normal 2 2 2 6 2" xfId="151"/>
    <cellStyle name="Normal 2 2 2 7" xfId="152"/>
    <cellStyle name="Normal 2 2 2 8" xfId="153"/>
    <cellStyle name="Normal 2 2 20" xfId="154"/>
    <cellStyle name="Normal 2 2 21" xfId="155"/>
    <cellStyle name="Normal 2 2 3" xfId="156"/>
    <cellStyle name="Normal 2 2 3 2" xfId="157"/>
    <cellStyle name="Normal 2 2 4" xfId="158"/>
    <cellStyle name="Normal 2 2 4 2" xfId="159"/>
    <cellStyle name="Normal 2 2 5" xfId="160"/>
    <cellStyle name="Normal 2 2 5 2" xfId="161"/>
    <cellStyle name="Normal 2 2 6" xfId="162"/>
    <cellStyle name="Normal 2 2 6 2" xfId="163"/>
    <cellStyle name="Normal 2 2 7" xfId="164"/>
    <cellStyle name="Normal 2 2 7 2" xfId="165"/>
    <cellStyle name="Normal 2 2 8" xfId="166"/>
    <cellStyle name="Normal 2 2 8 2" xfId="167"/>
    <cellStyle name="Normal 2 2 9" xfId="168"/>
    <cellStyle name="Normal 2 2 9 2" xfId="169"/>
    <cellStyle name="Normal 2 3" xfId="170"/>
    <cellStyle name="Normal 2 3 10" xfId="171"/>
    <cellStyle name="Normal 2 3 11" xfId="172"/>
    <cellStyle name="Normal 2 3 12" xfId="173"/>
    <cellStyle name="Normal 2 3 13" xfId="174"/>
    <cellStyle name="Normal 2 3 14" xfId="175"/>
    <cellStyle name="Normal 2 3 2" xfId="176"/>
    <cellStyle name="Normal 2 3 2 2" xfId="177"/>
    <cellStyle name="Normal 2 3 3" xfId="178"/>
    <cellStyle name="Normal 2 3 3 2" xfId="179"/>
    <cellStyle name="Normal 2 3 3 3" xfId="180"/>
    <cellStyle name="Normal 2 3 4" xfId="181"/>
    <cellStyle name="Normal 2 3 5" xfId="182"/>
    <cellStyle name="Normal 2 3 6" xfId="183"/>
    <cellStyle name="Normal 2 3 7" xfId="184"/>
    <cellStyle name="Normal 2 3 8" xfId="185"/>
    <cellStyle name="Normal 2 3 9" xfId="186"/>
    <cellStyle name="Normal 2 4" xfId="187"/>
    <cellStyle name="Normal 2 4 10" xfId="188"/>
    <cellStyle name="Normal 2 4 11" xfId="189"/>
    <cellStyle name="Normal 2 4 2" xfId="190"/>
    <cellStyle name="Normal 2 4 2 2" xfId="191"/>
    <cellStyle name="Normal 2 4 3" xfId="192"/>
    <cellStyle name="Normal 2 4 3 2" xfId="193"/>
    <cellStyle name="Normal 2 4 3 3" xfId="194"/>
    <cellStyle name="Normal 2 4 4" xfId="195"/>
    <cellStyle name="Normal 2 4 5" xfId="196"/>
    <cellStyle name="Normal 2 4 6" xfId="197"/>
    <cellStyle name="Normal 2 4 7" xfId="198"/>
    <cellStyle name="Normal 2 4 8" xfId="199"/>
    <cellStyle name="Normal 2 4 9" xfId="200"/>
    <cellStyle name="Normal 2 5" xfId="201"/>
    <cellStyle name="Normal 2 5 10" xfId="202"/>
    <cellStyle name="Normal 2 5 11" xfId="203"/>
    <cellStyle name="Normal 2 5 12" xfId="204"/>
    <cellStyle name="Normal 2 5 2" xfId="205"/>
    <cellStyle name="Normal 2 5 2 2" xfId="206"/>
    <cellStyle name="Normal 2 5 3" xfId="207"/>
    <cellStyle name="Normal 2 5 3 2" xfId="208"/>
    <cellStyle name="Normal 2 5 4" xfId="209"/>
    <cellStyle name="Normal 2 5 5" xfId="210"/>
    <cellStyle name="Normal 2 5 6" xfId="211"/>
    <cellStyle name="Normal 2 5 7" xfId="212"/>
    <cellStyle name="Normal 2 5 8" xfId="213"/>
    <cellStyle name="Normal 2 5 9" xfId="214"/>
    <cellStyle name="Normal 2 6" xfId="215"/>
    <cellStyle name="Normal 2 6 10" xfId="216"/>
    <cellStyle name="Normal 2 6 11" xfId="217"/>
    <cellStyle name="Normal 2 6 12" xfId="218"/>
    <cellStyle name="Normal 2 6 2" xfId="219"/>
    <cellStyle name="Normal 2 6 2 2" xfId="220"/>
    <cellStyle name="Normal 2 6 3" xfId="221"/>
    <cellStyle name="Normal 2 6 3 2" xfId="222"/>
    <cellStyle name="Normal 2 6 4" xfId="223"/>
    <cellStyle name="Normal 2 6 5" xfId="224"/>
    <cellStyle name="Normal 2 6 6" xfId="225"/>
    <cellStyle name="Normal 2 6 7" xfId="226"/>
    <cellStyle name="Normal 2 6 8" xfId="227"/>
    <cellStyle name="Normal 2 6 9" xfId="228"/>
    <cellStyle name="Normal 2 7" xfId="229"/>
    <cellStyle name="Normal 2 7 10" xfId="230"/>
    <cellStyle name="Normal 2 7 2" xfId="231"/>
    <cellStyle name="Normal 2 7 2 2" xfId="232"/>
    <cellStyle name="Normal 2 7 2 3" xfId="233"/>
    <cellStyle name="Normal 2 7 3" xfId="234"/>
    <cellStyle name="Normal 2 7 3 2" xfId="235"/>
    <cellStyle name="Normal 2 7 4" xfId="236"/>
    <cellStyle name="Normal 2 7 4 2" xfId="237"/>
    <cellStyle name="Normal 2 7 5" xfId="238"/>
    <cellStyle name="Normal 2 7 5 2" xfId="239"/>
    <cellStyle name="Normal 2 7 6" xfId="240"/>
    <cellStyle name="Normal 2 7 6 2" xfId="241"/>
    <cellStyle name="Normal 2 7 7" xfId="242"/>
    <cellStyle name="Normal 2 7 7 2" xfId="243"/>
    <cellStyle name="Normal 2 7 8" xfId="244"/>
    <cellStyle name="Normal 2 7 8 2" xfId="245"/>
    <cellStyle name="Normal 2 7 9" xfId="246"/>
    <cellStyle name="Normal 2 8" xfId="247"/>
    <cellStyle name="Normal 2 8 10" xfId="248"/>
    <cellStyle name="Normal 2 8 2" xfId="249"/>
    <cellStyle name="Normal 2 8 2 2" xfId="250"/>
    <cellStyle name="Normal 2 8 3" xfId="251"/>
    <cellStyle name="Normal 2 8 3 2" xfId="252"/>
    <cellStyle name="Normal 2 8 4" xfId="253"/>
    <cellStyle name="Normal 2 8 4 2" xfId="254"/>
    <cellStyle name="Normal 2 8 5" xfId="255"/>
    <cellStyle name="Normal 2 8 5 2" xfId="256"/>
    <cellStyle name="Normal 2 8 6" xfId="257"/>
    <cellStyle name="Normal 2 8 6 2" xfId="258"/>
    <cellStyle name="Normal 2 8 7" xfId="259"/>
    <cellStyle name="Normal 2 8 7 2" xfId="260"/>
    <cellStyle name="Normal 2 8 8" xfId="261"/>
    <cellStyle name="Normal 2 8 8 2" xfId="262"/>
    <cellStyle name="Normal 2 8 9" xfId="263"/>
    <cellStyle name="Normal 2 9" xfId="264"/>
    <cellStyle name="Normal 2 9 10" xfId="265"/>
    <cellStyle name="Normal 2 9 2" xfId="266"/>
    <cellStyle name="Normal 2 9 2 2" xfId="267"/>
    <cellStyle name="Normal 2 9 3" xfId="268"/>
    <cellStyle name="Normal 2 9 3 2" xfId="269"/>
    <cellStyle name="Normal 2 9 4" xfId="270"/>
    <cellStyle name="Normal 2 9 4 2" xfId="271"/>
    <cellStyle name="Normal 2 9 5" xfId="272"/>
    <cellStyle name="Normal 2 9 5 2" xfId="273"/>
    <cellStyle name="Normal 2 9 6" xfId="274"/>
    <cellStyle name="Normal 2 9 6 2" xfId="275"/>
    <cellStyle name="Normal 2 9 7" xfId="276"/>
    <cellStyle name="Normal 2 9 7 2" xfId="277"/>
    <cellStyle name="Normal 2 9 8" xfId="278"/>
    <cellStyle name="Normal 2 9 8 2" xfId="279"/>
    <cellStyle name="Normal 2 9 9" xfId="280"/>
    <cellStyle name="Normal 20" xfId="281"/>
    <cellStyle name="Normal 20 2" xfId="282"/>
    <cellStyle name="Normal 20 3" xfId="283"/>
    <cellStyle name="Normal 22" xfId="284"/>
    <cellStyle name="Normal 22 2" xfId="285"/>
    <cellStyle name="Normal 22 3" xfId="286"/>
    <cellStyle name="Normal 23" xfId="287"/>
    <cellStyle name="Normal 23 2" xfId="288"/>
    <cellStyle name="Normal 23 3" xfId="289"/>
    <cellStyle name="Normal 24" xfId="290"/>
    <cellStyle name="Normal 24 2" xfId="291"/>
    <cellStyle name="Normal 24 3" xfId="292"/>
    <cellStyle name="Normal 25" xfId="293"/>
    <cellStyle name="Normal 25 2" xfId="294"/>
    <cellStyle name="Normal 25 3" xfId="295"/>
    <cellStyle name="Normal 3" xfId="296"/>
    <cellStyle name="Normal 3 2" xfId="297"/>
    <cellStyle name="Normal 3 3" xfId="298"/>
    <cellStyle name="Normal 3 3 2" xfId="299"/>
    <cellStyle name="Normal 3 3 3" xfId="300"/>
    <cellStyle name="Normal 3 4" xfId="301"/>
    <cellStyle name="Normal 3 5" xfId="302"/>
    <cellStyle name="Normal 3 6" xfId="303"/>
    <cellStyle name="Normal 3 7" xfId="304"/>
    <cellStyle name="Normal 4" xfId="305"/>
    <cellStyle name="Normal 4 2" xfId="306"/>
    <cellStyle name="Normal 4 3" xfId="307"/>
    <cellStyle name="Normal 4 3 2" xfId="308"/>
    <cellStyle name="Normal 4 3 3" xfId="309"/>
    <cellStyle name="Normal 4 4" xfId="310"/>
    <cellStyle name="Normal 4 5" xfId="311"/>
    <cellStyle name="Normal 5" xfId="312"/>
    <cellStyle name="Normal 5 2" xfId="313"/>
    <cellStyle name="Normal 5 3" xfId="314"/>
    <cellStyle name="Normal 6 2" xfId="315"/>
    <cellStyle name="Normal 6 3" xfId="316"/>
    <cellStyle name="Normal 6 4" xfId="317"/>
    <cellStyle name="Normal 6 5" xfId="318"/>
    <cellStyle name="Normal 7" xfId="319"/>
    <cellStyle name="Normal 7 2" xfId="320"/>
    <cellStyle name="Normal 7 2 2" xfId="321"/>
    <cellStyle name="Normal 7 2 2 2" xfId="322"/>
    <cellStyle name="Normal 7 2 3" xfId="323"/>
    <cellStyle name="Normal 7 2 4" xfId="324"/>
    <cellStyle name="Normal 7 3" xfId="325"/>
    <cellStyle name="Normal 7 4" xfId="326"/>
    <cellStyle name="Normal 7 5" xfId="327"/>
    <cellStyle name="Normal 7 5 2" xfId="328"/>
    <cellStyle name="Normal 7 5 3" xfId="329"/>
    <cellStyle name="Normal 7 6" xfId="330"/>
    <cellStyle name="Normal 8" xfId="331"/>
    <cellStyle name="Normal 8 2" xfId="332"/>
    <cellStyle name="Normal 9" xfId="333"/>
    <cellStyle name="Normal 9 2" xfId="334"/>
    <cellStyle name="Normal 9 2 2" xfId="335"/>
    <cellStyle name="Normal 9 3" xfId="336"/>
    <cellStyle name="Normal 9 4" xfId="337"/>
    <cellStyle name="Normal 9 5" xfId="338"/>
    <cellStyle name="Normal_debt" xfId="339"/>
    <cellStyle name="Normal_lpform" xfId="340"/>
    <cellStyle name="Normal_Township 07" xfId="341"/>
  </cellStyles>
  <dxfs count="16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rshirley@kmc-cpa.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32"/>
  <sheetViews>
    <sheetView zoomScaleNormal="100" workbookViewId="0">
      <selection activeCell="L3" sqref="L3"/>
    </sheetView>
  </sheetViews>
  <sheetFormatPr defaultRowHeight="15.75" x14ac:dyDescent="0.2"/>
  <cols>
    <col min="1" max="1" width="15.77734375" style="48" customWidth="1"/>
    <col min="2" max="2" width="20.77734375" style="48" customWidth="1"/>
    <col min="3" max="3" width="8.77734375" style="48" customWidth="1"/>
    <col min="4" max="5" width="13.33203125" style="48" customWidth="1"/>
    <col min="6" max="6" width="10.77734375" style="48" customWidth="1"/>
    <col min="7" max="7" width="1.77734375" style="48" customWidth="1"/>
    <col min="8" max="8" width="18.6640625" style="48" customWidth="1"/>
    <col min="9" max="16384" width="8.88671875" style="48"/>
  </cols>
  <sheetData>
    <row r="1" spans="1:9" x14ac:dyDescent="0.2">
      <c r="A1" s="530" t="s">
        <v>236</v>
      </c>
      <c r="B1" s="531"/>
      <c r="C1" s="531"/>
      <c r="D1" s="531"/>
      <c r="E1" s="531"/>
      <c r="F1" s="531"/>
      <c r="G1" s="51"/>
      <c r="H1" s="51"/>
      <c r="I1" s="51"/>
    </row>
    <row r="2" spans="1:9" x14ac:dyDescent="0.2">
      <c r="A2" s="50" t="s">
        <v>237</v>
      </c>
      <c r="B2" s="51"/>
      <c r="C2" s="355" t="s">
        <v>326</v>
      </c>
      <c r="D2" s="52"/>
      <c r="E2" s="53"/>
      <c r="F2" s="54"/>
      <c r="G2" s="51"/>
      <c r="H2" s="51"/>
      <c r="I2" s="51"/>
    </row>
    <row r="3" spans="1:9" x14ac:dyDescent="0.2">
      <c r="A3" s="50"/>
      <c r="B3" s="51"/>
      <c r="C3" s="51"/>
      <c r="D3" s="51"/>
      <c r="E3" s="55"/>
      <c r="F3" s="54"/>
      <c r="G3" s="51"/>
      <c r="H3" s="51"/>
      <c r="I3" s="51"/>
    </row>
    <row r="4" spans="1:9" x14ac:dyDescent="0.2">
      <c r="A4" s="50" t="s">
        <v>238</v>
      </c>
      <c r="B4" s="51"/>
      <c r="C4" s="56">
        <v>2014</v>
      </c>
      <c r="D4" s="57"/>
      <c r="E4" s="55"/>
      <c r="F4" s="54"/>
      <c r="G4" s="51"/>
      <c r="H4" s="51"/>
      <c r="I4" s="51"/>
    </row>
    <row r="5" spans="1:9" x14ac:dyDescent="0.2">
      <c r="A5" s="51"/>
      <c r="B5" s="51"/>
      <c r="C5" s="51"/>
      <c r="D5" s="51"/>
      <c r="E5" s="51"/>
      <c r="F5" s="51"/>
      <c r="G5" s="51"/>
      <c r="H5" s="51"/>
      <c r="I5" s="51"/>
    </row>
    <row r="6" spans="1:9" ht="18.75" customHeight="1" x14ac:dyDescent="0.2">
      <c r="A6" s="58" t="s">
        <v>281</v>
      </c>
      <c r="B6" s="59"/>
      <c r="C6" s="59"/>
      <c r="D6" s="59"/>
      <c r="E6" s="59"/>
      <c r="F6" s="59"/>
      <c r="G6" s="51"/>
      <c r="H6" s="532" t="s">
        <v>313</v>
      </c>
      <c r="I6" s="532"/>
    </row>
    <row r="7" spans="1:9" x14ac:dyDescent="0.2">
      <c r="A7" s="58" t="s">
        <v>280</v>
      </c>
      <c r="B7" s="59"/>
      <c r="C7" s="59"/>
      <c r="D7" s="59"/>
      <c r="E7" s="59"/>
      <c r="F7" s="59"/>
      <c r="G7" s="51"/>
      <c r="H7" s="532"/>
      <c r="I7" s="532"/>
    </row>
    <row r="8" spans="1:9" x14ac:dyDescent="0.2">
      <c r="A8" s="58"/>
      <c r="B8" s="59"/>
      <c r="C8" s="59"/>
      <c r="D8" s="59"/>
      <c r="E8" s="59"/>
      <c r="F8" s="59"/>
      <c r="G8" s="51"/>
      <c r="H8" s="532"/>
      <c r="I8" s="532"/>
    </row>
    <row r="9" spans="1:9" x14ac:dyDescent="0.2">
      <c r="A9" s="528" t="s">
        <v>30</v>
      </c>
      <c r="B9" s="529"/>
      <c r="C9" s="529"/>
      <c r="D9" s="529"/>
      <c r="E9" s="529"/>
      <c r="F9" s="529"/>
      <c r="G9" s="51"/>
      <c r="H9" s="532"/>
      <c r="I9" s="532"/>
    </row>
    <row r="10" spans="1:9" x14ac:dyDescent="0.2">
      <c r="A10" s="51"/>
      <c r="B10" s="51"/>
      <c r="C10" s="51"/>
      <c r="D10" s="51"/>
      <c r="E10" s="51"/>
      <c r="F10" s="51"/>
      <c r="G10" s="51"/>
      <c r="H10" s="532"/>
      <c r="I10" s="532"/>
    </row>
    <row r="11" spans="1:9" x14ac:dyDescent="0.2">
      <c r="A11" s="60" t="str">
        <f>CONCATENATE("The input for the following comes directly from the ",C4-1," Budget:")</f>
        <v>The input for the following comes directly from the 2013 Budget:</v>
      </c>
      <c r="B11" s="61"/>
      <c r="C11" s="61"/>
      <c r="D11" s="61"/>
      <c r="E11" s="51"/>
      <c r="F11" s="51"/>
      <c r="G11" s="51"/>
      <c r="H11" s="532"/>
      <c r="I11" s="532"/>
    </row>
    <row r="12" spans="1:9" x14ac:dyDescent="0.2">
      <c r="A12" s="62" t="s">
        <v>239</v>
      </c>
      <c r="B12" s="61"/>
      <c r="C12" s="61"/>
      <c r="D12" s="61"/>
      <c r="E12" s="51"/>
      <c r="F12" s="51"/>
      <c r="G12" s="51"/>
      <c r="H12" s="54"/>
      <c r="I12" s="433"/>
    </row>
    <row r="13" spans="1:9" x14ac:dyDescent="0.2">
      <c r="A13" s="62" t="s">
        <v>259</v>
      </c>
      <c r="B13" s="61"/>
      <c r="C13" s="61"/>
      <c r="D13" s="61"/>
      <c r="E13" s="51"/>
      <c r="F13" s="51"/>
      <c r="G13" s="51"/>
      <c r="H13" s="51"/>
      <c r="I13" s="51"/>
    </row>
    <row r="14" spans="1:9" x14ac:dyDescent="0.2">
      <c r="A14" s="51"/>
      <c r="B14" s="51"/>
      <c r="C14" s="63"/>
      <c r="D14" s="64">
        <f>C4-1</f>
        <v>2013</v>
      </c>
      <c r="E14" s="65" t="str">
        <f>CONCATENATE("",C4-2,"")</f>
        <v>2012</v>
      </c>
      <c r="F14" s="66">
        <f>C4-2</f>
        <v>2012</v>
      </c>
      <c r="H14" s="214" t="s">
        <v>314</v>
      </c>
      <c r="I14" s="209" t="s">
        <v>89</v>
      </c>
    </row>
    <row r="15" spans="1:9" x14ac:dyDescent="0.2">
      <c r="A15" s="50" t="s">
        <v>240</v>
      </c>
      <c r="B15" s="51"/>
      <c r="C15" s="67" t="s">
        <v>45</v>
      </c>
      <c r="D15" s="68" t="s">
        <v>258</v>
      </c>
      <c r="E15" s="68" t="s">
        <v>43</v>
      </c>
      <c r="F15" s="68" t="s">
        <v>37</v>
      </c>
      <c r="H15" s="220" t="str">
        <f>CONCATENATE("",E14," Ad Valorem Tax")</f>
        <v>2012 Ad Valorem Tax</v>
      </c>
      <c r="I15" s="434">
        <v>0.01</v>
      </c>
    </row>
    <row r="16" spans="1:9" x14ac:dyDescent="0.2">
      <c r="A16" s="51"/>
      <c r="B16" s="69" t="s">
        <v>46</v>
      </c>
      <c r="C16" s="210" t="s">
        <v>200</v>
      </c>
      <c r="D16" s="71">
        <v>1986036</v>
      </c>
      <c r="E16" s="72">
        <v>1355814</v>
      </c>
      <c r="F16" s="73">
        <v>31.303000000000001</v>
      </c>
      <c r="H16" s="222">
        <f>IF($I$15&gt;0,ROUND(E16-(E16*$I$15),0),0)</f>
        <v>1342256</v>
      </c>
    </row>
    <row r="17" spans="1:8" x14ac:dyDescent="0.2">
      <c r="A17" s="51"/>
      <c r="B17" s="69" t="s">
        <v>98</v>
      </c>
      <c r="C17" s="210" t="s">
        <v>241</v>
      </c>
      <c r="D17" s="71"/>
      <c r="E17" s="72"/>
      <c r="F17" s="73"/>
      <c r="H17" s="222">
        <f t="shared" ref="H17:H40" si="0">IF($I$15&gt;0,ROUND(E17-(E17*$I$15),0),0)</f>
        <v>0</v>
      </c>
    </row>
    <row r="18" spans="1:8" x14ac:dyDescent="0.2">
      <c r="A18" s="50"/>
      <c r="B18" s="74" t="s">
        <v>105</v>
      </c>
      <c r="C18" s="209" t="s">
        <v>200</v>
      </c>
      <c r="D18" s="71">
        <v>1142117</v>
      </c>
      <c r="E18" s="71">
        <v>798839</v>
      </c>
      <c r="F18" s="75">
        <v>18.443000000000001</v>
      </c>
      <c r="H18" s="222">
        <f t="shared" si="0"/>
        <v>790851</v>
      </c>
    </row>
    <row r="19" spans="1:8" x14ac:dyDescent="0.2">
      <c r="A19" s="51"/>
      <c r="B19" s="76" t="s">
        <v>327</v>
      </c>
      <c r="C19" s="365" t="s">
        <v>356</v>
      </c>
      <c r="D19" s="71">
        <v>86146</v>
      </c>
      <c r="E19" s="78">
        <v>65293</v>
      </c>
      <c r="F19" s="73">
        <v>1.5069999999999999</v>
      </c>
      <c r="H19" s="222">
        <f t="shared" si="0"/>
        <v>64640</v>
      </c>
    </row>
    <row r="20" spans="1:8" x14ac:dyDescent="0.2">
      <c r="A20" s="51"/>
      <c r="B20" s="76" t="s">
        <v>101</v>
      </c>
      <c r="C20" s="365" t="s">
        <v>453</v>
      </c>
      <c r="D20" s="71">
        <v>914831</v>
      </c>
      <c r="E20" s="78">
        <v>800636</v>
      </c>
      <c r="F20" s="73">
        <v>18.484999999999999</v>
      </c>
      <c r="H20" s="222">
        <f t="shared" si="0"/>
        <v>792630</v>
      </c>
    </row>
    <row r="21" spans="1:8" x14ac:dyDescent="0.2">
      <c r="A21" s="51"/>
      <c r="B21" s="76" t="s">
        <v>328</v>
      </c>
      <c r="C21" s="365" t="s">
        <v>454</v>
      </c>
      <c r="D21" s="71">
        <v>181112</v>
      </c>
      <c r="E21" s="78">
        <v>130567</v>
      </c>
      <c r="F21" s="73">
        <v>3.0150000000000001</v>
      </c>
      <c r="H21" s="222">
        <f t="shared" si="0"/>
        <v>129261</v>
      </c>
    </row>
    <row r="22" spans="1:8" x14ac:dyDescent="0.2">
      <c r="A22" s="51"/>
      <c r="B22" s="76" t="s">
        <v>329</v>
      </c>
      <c r="C22" s="365" t="s">
        <v>455</v>
      </c>
      <c r="D22" s="71">
        <v>231889</v>
      </c>
      <c r="E22" s="78">
        <v>209549</v>
      </c>
      <c r="F22" s="73">
        <v>4.8380000000000001</v>
      </c>
      <c r="H22" s="222">
        <f t="shared" si="0"/>
        <v>207454</v>
      </c>
    </row>
    <row r="23" spans="1:8" x14ac:dyDescent="0.2">
      <c r="A23" s="51"/>
      <c r="B23" s="76"/>
      <c r="C23" s="365"/>
      <c r="D23" s="71"/>
      <c r="E23" s="78"/>
      <c r="F23" s="73"/>
      <c r="H23" s="222">
        <f t="shared" si="0"/>
        <v>0</v>
      </c>
    </row>
    <row r="24" spans="1:8" x14ac:dyDescent="0.2">
      <c r="A24" s="51"/>
      <c r="B24" s="76"/>
      <c r="C24" s="365"/>
      <c r="D24" s="71"/>
      <c r="E24" s="78"/>
      <c r="F24" s="73"/>
      <c r="H24" s="222">
        <f t="shared" si="0"/>
        <v>0</v>
      </c>
    </row>
    <row r="25" spans="1:8" x14ac:dyDescent="0.2">
      <c r="A25" s="51"/>
      <c r="B25" s="76"/>
      <c r="C25" s="365"/>
      <c r="D25" s="71"/>
      <c r="E25" s="78"/>
      <c r="F25" s="73"/>
      <c r="H25" s="222">
        <f t="shared" si="0"/>
        <v>0</v>
      </c>
    </row>
    <row r="26" spans="1:8" x14ac:dyDescent="0.2">
      <c r="A26" s="51"/>
      <c r="B26" s="76"/>
      <c r="C26" s="365"/>
      <c r="D26" s="71"/>
      <c r="E26" s="78"/>
      <c r="F26" s="73"/>
      <c r="H26" s="222">
        <f t="shared" si="0"/>
        <v>0</v>
      </c>
    </row>
    <row r="27" spans="1:8" x14ac:dyDescent="0.2">
      <c r="A27" s="51"/>
      <c r="B27" s="76"/>
      <c r="C27" s="365"/>
      <c r="D27" s="71"/>
      <c r="E27" s="78"/>
      <c r="F27" s="73"/>
      <c r="H27" s="222">
        <f t="shared" si="0"/>
        <v>0</v>
      </c>
    </row>
    <row r="28" spans="1:8" x14ac:dyDescent="0.2">
      <c r="A28" s="51"/>
      <c r="B28" s="76"/>
      <c r="C28" s="365"/>
      <c r="D28" s="71"/>
      <c r="E28" s="78"/>
      <c r="F28" s="73"/>
      <c r="H28" s="222">
        <f t="shared" si="0"/>
        <v>0</v>
      </c>
    </row>
    <row r="29" spans="1:8" x14ac:dyDescent="0.2">
      <c r="A29" s="51"/>
      <c r="B29" s="76"/>
      <c r="C29" s="365"/>
      <c r="D29" s="71"/>
      <c r="E29" s="78"/>
      <c r="F29" s="73"/>
      <c r="H29" s="222">
        <f t="shared" si="0"/>
        <v>0</v>
      </c>
    </row>
    <row r="30" spans="1:8" x14ac:dyDescent="0.2">
      <c r="A30" s="51"/>
      <c r="B30" s="76"/>
      <c r="C30" s="365"/>
      <c r="D30" s="71"/>
      <c r="E30" s="78"/>
      <c r="F30" s="73"/>
      <c r="H30" s="222">
        <f t="shared" si="0"/>
        <v>0</v>
      </c>
    </row>
    <row r="31" spans="1:8" x14ac:dyDescent="0.2">
      <c r="A31" s="51"/>
      <c r="B31" s="76"/>
      <c r="C31" s="365"/>
      <c r="D31" s="71"/>
      <c r="E31" s="78"/>
      <c r="F31" s="73"/>
      <c r="H31" s="222">
        <f t="shared" si="0"/>
        <v>0</v>
      </c>
    </row>
    <row r="32" spans="1:8" x14ac:dyDescent="0.2">
      <c r="A32" s="51"/>
      <c r="B32" s="76"/>
      <c r="C32" s="365"/>
      <c r="D32" s="71"/>
      <c r="E32" s="78"/>
      <c r="F32" s="73"/>
      <c r="H32" s="222">
        <f t="shared" si="0"/>
        <v>0</v>
      </c>
    </row>
    <row r="33" spans="1:8" x14ac:dyDescent="0.2">
      <c r="A33" s="51"/>
      <c r="B33" s="76"/>
      <c r="C33" s="365"/>
      <c r="D33" s="71"/>
      <c r="E33" s="78"/>
      <c r="F33" s="73"/>
      <c r="H33" s="222">
        <f t="shared" si="0"/>
        <v>0</v>
      </c>
    </row>
    <row r="34" spans="1:8" x14ac:dyDescent="0.2">
      <c r="A34" s="51"/>
      <c r="B34" s="76"/>
      <c r="C34" s="365"/>
      <c r="D34" s="71"/>
      <c r="E34" s="78"/>
      <c r="F34" s="73"/>
      <c r="H34" s="222">
        <f t="shared" si="0"/>
        <v>0</v>
      </c>
    </row>
    <row r="35" spans="1:8" x14ac:dyDescent="0.2">
      <c r="A35" s="51"/>
      <c r="B35" s="76"/>
      <c r="C35" s="365"/>
      <c r="D35" s="71"/>
      <c r="E35" s="78"/>
      <c r="F35" s="73"/>
      <c r="H35" s="222">
        <f t="shared" si="0"/>
        <v>0</v>
      </c>
    </row>
    <row r="36" spans="1:8" x14ac:dyDescent="0.2">
      <c r="A36" s="51"/>
      <c r="B36" s="76"/>
      <c r="C36" s="365"/>
      <c r="D36" s="71"/>
      <c r="E36" s="78"/>
      <c r="F36" s="73"/>
      <c r="H36" s="222">
        <f t="shared" si="0"/>
        <v>0</v>
      </c>
    </row>
    <row r="37" spans="1:8" x14ac:dyDescent="0.2">
      <c r="A37" s="51"/>
      <c r="B37" s="76"/>
      <c r="C37" s="365"/>
      <c r="D37" s="71"/>
      <c r="E37" s="78"/>
      <c r="F37" s="73"/>
      <c r="H37" s="222">
        <f t="shared" si="0"/>
        <v>0</v>
      </c>
    </row>
    <row r="38" spans="1:8" x14ac:dyDescent="0.2">
      <c r="A38" s="51"/>
      <c r="B38" s="76"/>
      <c r="C38" s="365"/>
      <c r="D38" s="71"/>
      <c r="E38" s="78"/>
      <c r="F38" s="73"/>
      <c r="H38" s="222">
        <f t="shared" si="0"/>
        <v>0</v>
      </c>
    </row>
    <row r="39" spans="1:8" x14ac:dyDescent="0.2">
      <c r="A39" s="51"/>
      <c r="B39" s="76"/>
      <c r="C39" s="365"/>
      <c r="D39" s="71"/>
      <c r="E39" s="78"/>
      <c r="F39" s="73"/>
      <c r="H39" s="222">
        <f t="shared" si="0"/>
        <v>0</v>
      </c>
    </row>
    <row r="40" spans="1:8" x14ac:dyDescent="0.2">
      <c r="A40" s="51"/>
      <c r="B40" s="76"/>
      <c r="C40" s="365"/>
      <c r="D40" s="71"/>
      <c r="E40" s="78"/>
      <c r="F40" s="73"/>
      <c r="H40" s="222">
        <f t="shared" si="0"/>
        <v>0</v>
      </c>
    </row>
    <row r="41" spans="1:8" x14ac:dyDescent="0.2">
      <c r="A41" s="79" t="str">
        <f>CONCATENATE("Total Tax Levy Funds Levy Amounts and Levy Rates for ",C4-1," Budget")</f>
        <v>Total Tax Levy Funds Levy Amounts and Levy Rates for 2013 Budget</v>
      </c>
      <c r="B41" s="80"/>
      <c r="C41" s="80"/>
      <c r="D41" s="81"/>
      <c r="E41" s="82">
        <f>SUM(E16:E40)</f>
        <v>3360698</v>
      </c>
      <c r="F41" s="83">
        <f>SUM(F16:F40)</f>
        <v>77.590999999999994</v>
      </c>
    </row>
    <row r="42" spans="1:8" x14ac:dyDescent="0.2">
      <c r="A42" s="50" t="s">
        <v>22</v>
      </c>
      <c r="B42" s="51"/>
      <c r="C42" s="51"/>
      <c r="D42" s="51"/>
      <c r="E42" s="51"/>
      <c r="F42" s="51"/>
    </row>
    <row r="43" spans="1:8" x14ac:dyDescent="0.2">
      <c r="A43" s="51"/>
      <c r="B43" s="73" t="s">
        <v>330</v>
      </c>
      <c r="C43" s="51"/>
      <c r="D43" s="71">
        <v>13000</v>
      </c>
      <c r="E43" s="51"/>
      <c r="F43" s="51"/>
    </row>
    <row r="44" spans="1:8" x14ac:dyDescent="0.2">
      <c r="A44" s="51"/>
      <c r="B44" s="73" t="s">
        <v>331</v>
      </c>
      <c r="C44" s="51"/>
      <c r="D44" s="71">
        <v>8000</v>
      </c>
      <c r="E44" s="51"/>
      <c r="F44" s="51"/>
    </row>
    <row r="45" spans="1:8" x14ac:dyDescent="0.2">
      <c r="A45" s="51"/>
      <c r="B45" s="73" t="s">
        <v>332</v>
      </c>
      <c r="C45" s="51"/>
      <c r="D45" s="71">
        <v>31709</v>
      </c>
      <c r="E45" s="51"/>
      <c r="F45" s="51"/>
    </row>
    <row r="46" spans="1:8" x14ac:dyDescent="0.2">
      <c r="A46" s="51"/>
      <c r="B46" s="73" t="s">
        <v>333</v>
      </c>
      <c r="C46" s="51"/>
      <c r="D46" s="71">
        <v>10000</v>
      </c>
      <c r="E46" s="51"/>
      <c r="F46" s="51"/>
    </row>
    <row r="47" spans="1:8" x14ac:dyDescent="0.2">
      <c r="A47" s="51"/>
      <c r="B47" s="73" t="s">
        <v>334</v>
      </c>
      <c r="C47" s="51"/>
      <c r="D47" s="71">
        <v>9000</v>
      </c>
      <c r="E47" s="51"/>
      <c r="F47" s="51"/>
    </row>
    <row r="48" spans="1:8" x14ac:dyDescent="0.2">
      <c r="A48" s="51"/>
      <c r="B48" s="73" t="s">
        <v>452</v>
      </c>
      <c r="C48" s="51"/>
      <c r="D48" s="71">
        <v>50000</v>
      </c>
      <c r="E48" s="51"/>
      <c r="F48" s="51"/>
    </row>
    <row r="49" spans="1:6" x14ac:dyDescent="0.2">
      <c r="A49" s="51"/>
      <c r="B49" s="73"/>
      <c r="C49" s="51"/>
      <c r="D49" s="71"/>
      <c r="E49" s="51"/>
      <c r="F49" s="51"/>
    </row>
    <row r="50" spans="1:6" x14ac:dyDescent="0.2">
      <c r="A50" s="51"/>
      <c r="B50" s="73"/>
      <c r="C50" s="51"/>
      <c r="D50" s="71"/>
      <c r="E50" s="51"/>
      <c r="F50" s="51"/>
    </row>
    <row r="51" spans="1:6" x14ac:dyDescent="0.2">
      <c r="A51" s="51"/>
      <c r="B51" s="73"/>
      <c r="C51" s="51"/>
      <c r="D51" s="71"/>
      <c r="E51" s="51"/>
      <c r="F51" s="51"/>
    </row>
    <row r="52" spans="1:6" x14ac:dyDescent="0.2">
      <c r="A52" s="51"/>
      <c r="B52" s="73"/>
      <c r="C52" s="51"/>
      <c r="D52" s="71"/>
      <c r="E52" s="51"/>
      <c r="F52" s="51"/>
    </row>
    <row r="53" spans="1:6" x14ac:dyDescent="0.2">
      <c r="A53" s="51"/>
      <c r="B53" s="73"/>
      <c r="C53" s="51"/>
      <c r="D53" s="71"/>
      <c r="E53" s="51"/>
      <c r="F53" s="51"/>
    </row>
    <row r="54" spans="1:6" x14ac:dyDescent="0.2">
      <c r="A54" s="51"/>
      <c r="B54" s="73"/>
      <c r="C54" s="51"/>
      <c r="D54" s="71"/>
      <c r="E54" s="51"/>
      <c r="F54" s="51"/>
    </row>
    <row r="55" spans="1:6" x14ac:dyDescent="0.2">
      <c r="A55" s="51"/>
      <c r="B55" s="73"/>
      <c r="C55" s="51"/>
      <c r="D55" s="71"/>
      <c r="E55" s="51"/>
      <c r="F55" s="51"/>
    </row>
    <row r="56" spans="1:6" x14ac:dyDescent="0.2">
      <c r="A56" s="51"/>
      <c r="B56" s="73"/>
      <c r="C56" s="51"/>
      <c r="D56" s="71"/>
      <c r="E56" s="51"/>
      <c r="F56" s="51"/>
    </row>
    <row r="57" spans="1:6" x14ac:dyDescent="0.2">
      <c r="A57" s="51"/>
      <c r="B57" s="73"/>
      <c r="C57" s="51"/>
      <c r="D57" s="71"/>
      <c r="E57" s="51"/>
      <c r="F57" s="51"/>
    </row>
    <row r="58" spans="1:6" x14ac:dyDescent="0.2">
      <c r="A58" s="51"/>
      <c r="B58" s="73"/>
      <c r="C58" s="51"/>
      <c r="D58" s="71"/>
      <c r="E58" s="51"/>
      <c r="F58" s="51"/>
    </row>
    <row r="59" spans="1:6" x14ac:dyDescent="0.2">
      <c r="A59" s="79" t="str">
        <f>CONCATENATE("Total Expenditures for ",C4-1," Budgeted Year")</f>
        <v>Total Expenditures for 2013 Budgeted Year</v>
      </c>
      <c r="B59" s="84"/>
      <c r="C59" s="85"/>
      <c r="D59" s="86">
        <f>SUM(D16:D40,D43:D58)</f>
        <v>4663840</v>
      </c>
      <c r="E59" s="51"/>
      <c r="F59" s="51"/>
    </row>
    <row r="60" spans="1:6" x14ac:dyDescent="0.2">
      <c r="A60" s="87"/>
      <c r="B60" s="88"/>
      <c r="C60" s="51"/>
      <c r="D60" s="89"/>
      <c r="E60" s="51"/>
      <c r="F60" s="51"/>
    </row>
    <row r="61" spans="1:6" x14ac:dyDescent="0.2">
      <c r="A61" s="51" t="s">
        <v>9</v>
      </c>
      <c r="B61" s="88"/>
      <c r="C61" s="51"/>
      <c r="D61" s="51"/>
      <c r="E61" s="51"/>
      <c r="F61" s="51"/>
    </row>
    <row r="62" spans="1:6" x14ac:dyDescent="0.2">
      <c r="A62" s="51">
        <v>1</v>
      </c>
      <c r="B62" s="73" t="s">
        <v>99</v>
      </c>
      <c r="C62" s="51"/>
      <c r="D62" s="51"/>
      <c r="E62" s="51"/>
      <c r="F62" s="51"/>
    </row>
    <row r="63" spans="1:6" x14ac:dyDescent="0.2">
      <c r="A63" s="51">
        <v>2</v>
      </c>
      <c r="B63" s="73" t="s">
        <v>336</v>
      </c>
      <c r="C63" s="51"/>
      <c r="D63" s="51"/>
      <c r="E63" s="51"/>
      <c r="F63" s="51"/>
    </row>
    <row r="64" spans="1:6" x14ac:dyDescent="0.2">
      <c r="A64" s="51">
        <v>3</v>
      </c>
      <c r="B64" s="73" t="s">
        <v>337</v>
      </c>
      <c r="C64" s="51"/>
      <c r="D64" s="51"/>
      <c r="E64" s="51"/>
      <c r="F64" s="51"/>
    </row>
    <row r="65" spans="1:6" x14ac:dyDescent="0.2">
      <c r="A65" s="51">
        <v>4</v>
      </c>
      <c r="B65" s="73" t="s">
        <v>338</v>
      </c>
      <c r="C65" s="51"/>
      <c r="D65" s="51"/>
      <c r="E65" s="51"/>
      <c r="F65" s="51"/>
    </row>
    <row r="66" spans="1:6" x14ac:dyDescent="0.2">
      <c r="A66" s="51">
        <v>5</v>
      </c>
      <c r="B66" s="73" t="s">
        <v>339</v>
      </c>
      <c r="C66" s="51"/>
      <c r="D66" s="51"/>
      <c r="E66" s="51"/>
      <c r="F66" s="51"/>
    </row>
    <row r="67" spans="1:6" x14ac:dyDescent="0.2">
      <c r="A67" s="51" t="s">
        <v>18</v>
      </c>
      <c r="B67" s="88"/>
      <c r="C67" s="51"/>
      <c r="D67" s="51"/>
      <c r="E67" s="51"/>
      <c r="F67" s="51"/>
    </row>
    <row r="68" spans="1:6" x14ac:dyDescent="0.2">
      <c r="A68" s="51">
        <v>1</v>
      </c>
      <c r="B68" s="73" t="s">
        <v>340</v>
      </c>
      <c r="C68" s="51"/>
      <c r="D68" s="51"/>
      <c r="E68" s="51"/>
      <c r="F68" s="51"/>
    </row>
    <row r="69" spans="1:6" x14ac:dyDescent="0.2">
      <c r="A69" s="51">
        <v>2</v>
      </c>
      <c r="B69" s="73" t="s">
        <v>341</v>
      </c>
      <c r="C69" s="51"/>
      <c r="D69" s="51"/>
      <c r="E69" s="51"/>
      <c r="F69" s="51"/>
    </row>
    <row r="70" spans="1:6" x14ac:dyDescent="0.2">
      <c r="A70" s="51">
        <v>3</v>
      </c>
      <c r="B70" s="73" t="s">
        <v>342</v>
      </c>
      <c r="C70" s="51"/>
      <c r="D70" s="51"/>
      <c r="E70" s="51"/>
      <c r="F70" s="51"/>
    </row>
    <row r="71" spans="1:6" x14ac:dyDescent="0.2">
      <c r="A71" s="51">
        <v>4</v>
      </c>
      <c r="B71" s="73" t="s">
        <v>343</v>
      </c>
      <c r="C71" s="51"/>
      <c r="D71" s="51"/>
      <c r="E71" s="51"/>
      <c r="F71" s="51"/>
    </row>
    <row r="72" spans="1:6" x14ac:dyDescent="0.2">
      <c r="A72" s="51">
        <v>5</v>
      </c>
      <c r="B72" s="73" t="s">
        <v>344</v>
      </c>
      <c r="C72" s="51"/>
      <c r="D72" s="51"/>
      <c r="E72" s="51"/>
      <c r="F72" s="51"/>
    </row>
    <row r="73" spans="1:6" x14ac:dyDescent="0.2">
      <c r="A73" s="51" t="s">
        <v>20</v>
      </c>
      <c r="B73" s="88"/>
      <c r="C73" s="51"/>
      <c r="D73" s="51"/>
      <c r="E73" s="51"/>
      <c r="F73" s="51"/>
    </row>
    <row r="74" spans="1:6" x14ac:dyDescent="0.2">
      <c r="A74" s="51">
        <v>1</v>
      </c>
      <c r="B74" s="73" t="s">
        <v>345</v>
      </c>
      <c r="C74" s="51"/>
      <c r="D74" s="51"/>
      <c r="E74" s="51"/>
      <c r="F74" s="51"/>
    </row>
    <row r="75" spans="1:6" x14ac:dyDescent="0.2">
      <c r="A75" s="51">
        <v>2</v>
      </c>
      <c r="B75" s="73" t="s">
        <v>346</v>
      </c>
      <c r="C75" s="51"/>
      <c r="D75" s="51"/>
      <c r="E75" s="51"/>
      <c r="F75" s="51"/>
    </row>
    <row r="76" spans="1:6" x14ac:dyDescent="0.2">
      <c r="A76" s="51">
        <v>3</v>
      </c>
      <c r="B76" s="73" t="s">
        <v>335</v>
      </c>
      <c r="C76" s="51"/>
      <c r="D76" s="51"/>
      <c r="E76" s="51"/>
      <c r="F76" s="51"/>
    </row>
    <row r="77" spans="1:6" x14ac:dyDescent="0.2">
      <c r="A77" s="51">
        <v>4</v>
      </c>
      <c r="B77" s="73" t="s">
        <v>347</v>
      </c>
      <c r="C77" s="51"/>
      <c r="D77" s="51"/>
      <c r="E77" s="51"/>
      <c r="F77" s="51"/>
    </row>
    <row r="78" spans="1:6" x14ac:dyDescent="0.2">
      <c r="A78" s="51">
        <v>5</v>
      </c>
      <c r="B78" s="73" t="s">
        <v>348</v>
      </c>
      <c r="C78" s="51"/>
      <c r="D78" s="51"/>
      <c r="E78" s="51"/>
      <c r="F78" s="51"/>
    </row>
    <row r="79" spans="1:6" x14ac:dyDescent="0.2">
      <c r="A79" s="51" t="s">
        <v>21</v>
      </c>
      <c r="B79" s="88"/>
      <c r="C79" s="51"/>
      <c r="D79" s="51"/>
      <c r="E79" s="51"/>
      <c r="F79" s="51"/>
    </row>
    <row r="80" spans="1:6" x14ac:dyDescent="0.2">
      <c r="A80" s="51">
        <v>1</v>
      </c>
      <c r="B80" s="73"/>
      <c r="C80" s="51"/>
      <c r="D80" s="51"/>
      <c r="E80" s="51"/>
      <c r="F80" s="51"/>
    </row>
    <row r="81" spans="1:6" x14ac:dyDescent="0.2">
      <c r="A81" s="51">
        <v>2</v>
      </c>
      <c r="B81" s="73"/>
      <c r="C81" s="51"/>
      <c r="D81" s="51"/>
      <c r="E81" s="51"/>
      <c r="F81" s="51"/>
    </row>
    <row r="82" spans="1:6" x14ac:dyDescent="0.2">
      <c r="A82" s="51">
        <v>3</v>
      </c>
      <c r="B82" s="73"/>
      <c r="C82" s="51"/>
      <c r="D82" s="51"/>
      <c r="E82" s="51"/>
      <c r="F82" s="51"/>
    </row>
    <row r="83" spans="1:6" x14ac:dyDescent="0.2">
      <c r="A83" s="51">
        <v>4</v>
      </c>
      <c r="B83" s="73"/>
      <c r="C83" s="51"/>
      <c r="D83" s="51"/>
      <c r="E83" s="51"/>
      <c r="F83" s="51"/>
    </row>
    <row r="84" spans="1:6" x14ac:dyDescent="0.2">
      <c r="A84" s="51">
        <v>5</v>
      </c>
      <c r="B84" s="73"/>
      <c r="C84" s="51"/>
      <c r="D84" s="51"/>
      <c r="E84" s="51"/>
      <c r="F84" s="51"/>
    </row>
    <row r="85" spans="1:6" x14ac:dyDescent="0.2">
      <c r="A85" s="51" t="s">
        <v>325</v>
      </c>
      <c r="B85" s="88"/>
      <c r="C85" s="51"/>
      <c r="D85" s="51"/>
      <c r="E85" s="51"/>
      <c r="F85" s="51"/>
    </row>
    <row r="86" spans="1:6" x14ac:dyDescent="0.2">
      <c r="A86" s="51">
        <v>1</v>
      </c>
      <c r="B86" s="73"/>
      <c r="C86" s="51"/>
      <c r="D86" s="51"/>
      <c r="E86" s="51"/>
      <c r="F86" s="51"/>
    </row>
    <row r="87" spans="1:6" x14ac:dyDescent="0.2">
      <c r="A87" s="51">
        <v>2</v>
      </c>
      <c r="B87" s="73"/>
      <c r="C87" s="51"/>
      <c r="D87" s="51"/>
      <c r="E87" s="51"/>
      <c r="F87" s="51"/>
    </row>
    <row r="88" spans="1:6" x14ac:dyDescent="0.2">
      <c r="A88" s="51">
        <v>3</v>
      </c>
      <c r="B88" s="73"/>
      <c r="C88" s="51"/>
      <c r="D88" s="51"/>
      <c r="E88" s="51"/>
      <c r="F88" s="51"/>
    </row>
    <row r="89" spans="1:6" x14ac:dyDescent="0.2">
      <c r="A89" s="51">
        <v>4</v>
      </c>
      <c r="B89" s="73"/>
      <c r="C89" s="51"/>
      <c r="D89" s="51"/>
      <c r="E89" s="51"/>
      <c r="F89" s="51"/>
    </row>
    <row r="90" spans="1:6" x14ac:dyDescent="0.2">
      <c r="A90" s="51">
        <v>5</v>
      </c>
      <c r="B90" s="73"/>
      <c r="C90" s="51"/>
      <c r="D90" s="51"/>
      <c r="E90" s="51"/>
      <c r="F90" s="51"/>
    </row>
    <row r="91" spans="1:6" x14ac:dyDescent="0.2">
      <c r="A91" s="79" t="str">
        <f>CONCATENATE("County's Final Assessed Valuation for ",C4-1," (November 1,",C4-2," Abstract):")</f>
        <v>County's Final Assessed Valuation for 2013 (November 1,2012 Abstract):</v>
      </c>
      <c r="B91" s="80"/>
      <c r="C91" s="80"/>
      <c r="D91" s="80"/>
      <c r="E91" s="85"/>
      <c r="F91" s="78">
        <v>43313105</v>
      </c>
    </row>
    <row r="92" spans="1:6" x14ac:dyDescent="0.2">
      <c r="A92" s="50"/>
      <c r="B92" s="51"/>
      <c r="C92" s="51"/>
      <c r="D92" s="51"/>
      <c r="E92" s="51"/>
      <c r="F92" s="51"/>
    </row>
    <row r="93" spans="1:6" x14ac:dyDescent="0.2">
      <c r="A93" s="51"/>
      <c r="B93" s="51"/>
      <c r="C93" s="51"/>
      <c r="D93" s="51"/>
      <c r="E93" s="51"/>
      <c r="F93" s="51"/>
    </row>
    <row r="94" spans="1:6" x14ac:dyDescent="0.2">
      <c r="A94" s="90" t="str">
        <f>CONCATENATE("From the ",C4-1," Budget:")</f>
        <v>From the 2013 Budget:</v>
      </c>
      <c r="B94" s="61"/>
      <c r="C94" s="51"/>
      <c r="D94" s="526" t="str">
        <f>CONCATENATE("",C4-3," Tax Rate (",C4-2," Column)")</f>
        <v>2011 Tax Rate (2012 Column)</v>
      </c>
      <c r="E94" s="91"/>
      <c r="F94" s="51"/>
    </row>
    <row r="95" spans="1:6" x14ac:dyDescent="0.2">
      <c r="A95" s="90" t="s">
        <v>44</v>
      </c>
      <c r="B95" s="92"/>
      <c r="C95" s="51"/>
      <c r="D95" s="527"/>
      <c r="E95" s="91"/>
      <c r="F95" s="51"/>
    </row>
    <row r="96" spans="1:6" x14ac:dyDescent="0.2">
      <c r="A96" s="51"/>
      <c r="B96" s="93" t="str">
        <f>B16</f>
        <v>General</v>
      </c>
      <c r="C96" s="51"/>
      <c r="D96" s="73">
        <v>29.611000000000001</v>
      </c>
      <c r="E96" s="91"/>
      <c r="F96" s="51"/>
    </row>
    <row r="97" spans="1:6" x14ac:dyDescent="0.2">
      <c r="A97" s="51"/>
      <c r="B97" s="93" t="str">
        <f>B17</f>
        <v>Debt Service</v>
      </c>
      <c r="C97" s="51"/>
      <c r="D97" s="73"/>
      <c r="E97" s="91"/>
      <c r="F97" s="51"/>
    </row>
    <row r="98" spans="1:6" x14ac:dyDescent="0.2">
      <c r="A98" s="51"/>
      <c r="B98" s="93" t="str">
        <f>B18</f>
        <v>Road &amp; Bridge</v>
      </c>
      <c r="C98" s="51"/>
      <c r="D98" s="73">
        <v>18.279</v>
      </c>
      <c r="E98" s="91"/>
      <c r="F98" s="51"/>
    </row>
    <row r="99" spans="1:6" x14ac:dyDescent="0.2">
      <c r="A99" s="51"/>
      <c r="B99" s="93" t="str">
        <f t="shared" ref="B99:B120" si="1">B19</f>
        <v>Noxious Weed</v>
      </c>
      <c r="C99" s="51"/>
      <c r="D99" s="73">
        <v>1.512</v>
      </c>
      <c r="E99" s="91"/>
      <c r="F99" s="51"/>
    </row>
    <row r="100" spans="1:6" x14ac:dyDescent="0.2">
      <c r="A100" s="51"/>
      <c r="B100" s="93" t="str">
        <f t="shared" si="1"/>
        <v>Employee Benefits</v>
      </c>
      <c r="C100" s="51"/>
      <c r="D100" s="73">
        <v>18.286999999999999</v>
      </c>
      <c r="E100" s="91"/>
      <c r="F100" s="51"/>
    </row>
    <row r="101" spans="1:6" x14ac:dyDescent="0.2">
      <c r="A101" s="51"/>
      <c r="B101" s="93" t="str">
        <f t="shared" si="1"/>
        <v>County Health</v>
      </c>
      <c r="C101" s="51"/>
      <c r="D101" s="73">
        <v>3.0030000000000001</v>
      </c>
      <c r="E101" s="91"/>
      <c r="F101" s="51"/>
    </row>
    <row r="102" spans="1:6" x14ac:dyDescent="0.2">
      <c r="A102" s="51"/>
      <c r="B102" s="93" t="str">
        <f t="shared" si="1"/>
        <v>Hospital Maintenance</v>
      </c>
      <c r="C102" s="51"/>
      <c r="D102" s="73">
        <v>4.9000000000000004</v>
      </c>
      <c r="E102" s="91"/>
      <c r="F102" s="51"/>
    </row>
    <row r="103" spans="1:6" x14ac:dyDescent="0.2">
      <c r="A103" s="51"/>
      <c r="B103" s="93">
        <f t="shared" si="1"/>
        <v>0</v>
      </c>
      <c r="C103" s="51"/>
      <c r="D103" s="73"/>
      <c r="E103" s="91"/>
      <c r="F103" s="51"/>
    </row>
    <row r="104" spans="1:6" x14ac:dyDescent="0.2">
      <c r="A104" s="51"/>
      <c r="B104" s="93">
        <f t="shared" si="1"/>
        <v>0</v>
      </c>
      <c r="C104" s="51"/>
      <c r="D104" s="73"/>
      <c r="E104" s="91"/>
      <c r="F104" s="51"/>
    </row>
    <row r="105" spans="1:6" x14ac:dyDescent="0.2">
      <c r="A105" s="51"/>
      <c r="B105" s="93">
        <f t="shared" si="1"/>
        <v>0</v>
      </c>
      <c r="C105" s="51"/>
      <c r="D105" s="73"/>
      <c r="E105" s="91"/>
      <c r="F105" s="51"/>
    </row>
    <row r="106" spans="1:6" x14ac:dyDescent="0.2">
      <c r="A106" s="51"/>
      <c r="B106" s="93">
        <f t="shared" si="1"/>
        <v>0</v>
      </c>
      <c r="C106" s="51"/>
      <c r="D106" s="73"/>
      <c r="E106" s="91"/>
      <c r="F106" s="51"/>
    </row>
    <row r="107" spans="1:6" x14ac:dyDescent="0.2">
      <c r="A107" s="51"/>
      <c r="B107" s="93">
        <f t="shared" si="1"/>
        <v>0</v>
      </c>
      <c r="C107" s="51"/>
      <c r="D107" s="73"/>
      <c r="E107" s="91"/>
      <c r="F107" s="51"/>
    </row>
    <row r="108" spans="1:6" x14ac:dyDescent="0.2">
      <c r="A108" s="51"/>
      <c r="B108" s="93">
        <f t="shared" si="1"/>
        <v>0</v>
      </c>
      <c r="C108" s="51"/>
      <c r="D108" s="73"/>
      <c r="E108" s="91"/>
      <c r="F108" s="51"/>
    </row>
    <row r="109" spans="1:6" x14ac:dyDescent="0.2">
      <c r="A109" s="51"/>
      <c r="B109" s="93">
        <f t="shared" si="1"/>
        <v>0</v>
      </c>
      <c r="C109" s="51"/>
      <c r="D109" s="73"/>
      <c r="E109" s="91"/>
      <c r="F109" s="51"/>
    </row>
    <row r="110" spans="1:6" x14ac:dyDescent="0.2">
      <c r="A110" s="51"/>
      <c r="B110" s="93">
        <f t="shared" si="1"/>
        <v>0</v>
      </c>
      <c r="C110" s="51"/>
      <c r="D110" s="73"/>
      <c r="E110" s="91"/>
      <c r="F110" s="51"/>
    </row>
    <row r="111" spans="1:6" x14ac:dyDescent="0.2">
      <c r="A111" s="51"/>
      <c r="B111" s="93">
        <f t="shared" si="1"/>
        <v>0</v>
      </c>
      <c r="C111" s="51"/>
      <c r="D111" s="73"/>
      <c r="E111" s="91"/>
      <c r="F111" s="51"/>
    </row>
    <row r="112" spans="1:6" x14ac:dyDescent="0.2">
      <c r="A112" s="51"/>
      <c r="B112" s="93">
        <f t="shared" si="1"/>
        <v>0</v>
      </c>
      <c r="C112" s="51"/>
      <c r="D112" s="73"/>
      <c r="E112" s="91"/>
      <c r="F112" s="51"/>
    </row>
    <row r="113" spans="1:6" x14ac:dyDescent="0.2">
      <c r="A113" s="51"/>
      <c r="B113" s="93">
        <f t="shared" si="1"/>
        <v>0</v>
      </c>
      <c r="C113" s="51"/>
      <c r="D113" s="73"/>
      <c r="E113" s="91"/>
      <c r="F113" s="51"/>
    </row>
    <row r="114" spans="1:6" x14ac:dyDescent="0.2">
      <c r="A114" s="51"/>
      <c r="B114" s="93">
        <f t="shared" si="1"/>
        <v>0</v>
      </c>
      <c r="C114" s="51"/>
      <c r="D114" s="73"/>
      <c r="E114" s="91"/>
      <c r="F114" s="51"/>
    </row>
    <row r="115" spans="1:6" x14ac:dyDescent="0.2">
      <c r="A115" s="51"/>
      <c r="B115" s="93">
        <f t="shared" si="1"/>
        <v>0</v>
      </c>
      <c r="C115" s="51"/>
      <c r="D115" s="73"/>
      <c r="E115" s="91"/>
      <c r="F115" s="51"/>
    </row>
    <row r="116" spans="1:6" x14ac:dyDescent="0.2">
      <c r="A116" s="51"/>
      <c r="B116" s="93">
        <f t="shared" si="1"/>
        <v>0</v>
      </c>
      <c r="C116" s="51"/>
      <c r="D116" s="73"/>
      <c r="E116" s="91"/>
      <c r="F116" s="51"/>
    </row>
    <row r="117" spans="1:6" x14ac:dyDescent="0.2">
      <c r="A117" s="51"/>
      <c r="B117" s="93">
        <f t="shared" si="1"/>
        <v>0</v>
      </c>
      <c r="C117" s="51"/>
      <c r="D117" s="73"/>
      <c r="E117" s="91"/>
      <c r="F117" s="51"/>
    </row>
    <row r="118" spans="1:6" x14ac:dyDescent="0.2">
      <c r="A118" s="51"/>
      <c r="B118" s="93">
        <f t="shared" si="1"/>
        <v>0</v>
      </c>
      <c r="C118" s="51"/>
      <c r="D118" s="73"/>
      <c r="E118" s="91"/>
      <c r="F118" s="51"/>
    </row>
    <row r="119" spans="1:6" x14ac:dyDescent="0.2">
      <c r="A119" s="51"/>
      <c r="B119" s="93">
        <f t="shared" si="1"/>
        <v>0</v>
      </c>
      <c r="C119" s="51"/>
      <c r="D119" s="73"/>
      <c r="E119" s="91"/>
      <c r="F119" s="51"/>
    </row>
    <row r="120" spans="1:6" x14ac:dyDescent="0.2">
      <c r="A120" s="51"/>
      <c r="B120" s="93">
        <f t="shared" si="1"/>
        <v>0</v>
      </c>
      <c r="C120" s="51"/>
      <c r="D120" s="73"/>
      <c r="E120" s="91"/>
      <c r="F120" s="51"/>
    </row>
    <row r="121" spans="1:6" x14ac:dyDescent="0.2">
      <c r="A121" s="80" t="s">
        <v>47</v>
      </c>
      <c r="B121" s="80"/>
      <c r="C121" s="85"/>
      <c r="D121" s="83">
        <f>SUM(D96:D120)</f>
        <v>75.591999999999999</v>
      </c>
      <c r="E121" s="91"/>
      <c r="F121" s="51"/>
    </row>
    <row r="122" spans="1:6" x14ac:dyDescent="0.2">
      <c r="A122" s="51"/>
      <c r="B122" s="51"/>
      <c r="C122" s="51"/>
      <c r="D122" s="51"/>
      <c r="E122" s="51"/>
      <c r="F122" s="51"/>
    </row>
    <row r="123" spans="1:6" x14ac:dyDescent="0.2">
      <c r="A123" s="94" t="str">
        <f>CONCATENATE("Total Tax Levied (",C4-2," budget column)")</f>
        <v>Total Tax Levied (2012 budget column)</v>
      </c>
      <c r="B123" s="95"/>
      <c r="C123" s="80"/>
      <c r="D123" s="80"/>
      <c r="E123" s="85"/>
      <c r="F123" s="78">
        <v>3286986</v>
      </c>
    </row>
    <row r="124" spans="1:6" x14ac:dyDescent="0.2">
      <c r="A124" s="96" t="str">
        <f>CONCATENATE("Assessed Valuation  (",C4-2," budget column)")</f>
        <v>Assessed Valuation  (2012 budget column)</v>
      </c>
      <c r="B124" s="97"/>
      <c r="C124" s="98"/>
      <c r="D124" s="98"/>
      <c r="E124" s="81"/>
      <c r="F124" s="78">
        <v>43483633</v>
      </c>
    </row>
    <row r="125" spans="1:6" x14ac:dyDescent="0.2">
      <c r="A125" s="87"/>
      <c r="B125" s="54"/>
      <c r="C125" s="54"/>
      <c r="D125" s="54"/>
      <c r="E125" s="54"/>
      <c r="F125" s="99"/>
    </row>
    <row r="126" spans="1:6" x14ac:dyDescent="0.2">
      <c r="A126" s="100" t="str">
        <f>CONCATENATE("From the ",C4-1," Budget, Budget Summary Page:")</f>
        <v>From the 2013 Budget, Budget Summary Page:</v>
      </c>
      <c r="B126" s="101"/>
      <c r="C126" s="91"/>
      <c r="D126" s="91"/>
      <c r="E126" s="91"/>
      <c r="F126" s="91"/>
    </row>
    <row r="127" spans="1:6" x14ac:dyDescent="0.2">
      <c r="A127" s="102" t="s">
        <v>0</v>
      </c>
      <c r="B127" s="102"/>
      <c r="C127" s="103"/>
      <c r="D127" s="104">
        <f>C4-3</f>
        <v>2011</v>
      </c>
      <c r="E127" s="105">
        <f>C4-2</f>
        <v>2012</v>
      </c>
      <c r="F127" s="91"/>
    </row>
    <row r="128" spans="1:6" x14ac:dyDescent="0.2">
      <c r="A128" s="106" t="s">
        <v>1</v>
      </c>
      <c r="B128" s="106"/>
      <c r="C128" s="107"/>
      <c r="D128" s="71"/>
      <c r="E128" s="71"/>
      <c r="F128" s="91"/>
    </row>
    <row r="129" spans="1:6" s="109" customFormat="1" x14ac:dyDescent="0.2">
      <c r="A129" s="108" t="s">
        <v>2</v>
      </c>
      <c r="B129" s="108"/>
      <c r="C129" s="107"/>
      <c r="D129" s="71"/>
      <c r="E129" s="71"/>
      <c r="F129" s="103"/>
    </row>
    <row r="130" spans="1:6" s="109" customFormat="1" x14ac:dyDescent="0.2">
      <c r="A130" s="108" t="s">
        <v>3</v>
      </c>
      <c r="B130" s="108"/>
      <c r="C130" s="107"/>
      <c r="D130" s="71"/>
      <c r="E130" s="71"/>
      <c r="F130" s="103"/>
    </row>
    <row r="131" spans="1:6" s="109" customFormat="1" x14ac:dyDescent="0.2">
      <c r="A131" s="108" t="s">
        <v>4</v>
      </c>
      <c r="B131" s="108"/>
      <c r="C131" s="107"/>
      <c r="D131" s="71">
        <v>26072</v>
      </c>
      <c r="E131" s="71">
        <v>107584</v>
      </c>
      <c r="F131" s="103"/>
    </row>
    <row r="132" spans="1:6" s="109" customFormat="1" x14ac:dyDescent="0.2"/>
  </sheetData>
  <mergeCells count="4">
    <mergeCell ref="D94:D95"/>
    <mergeCell ref="A9:F9"/>
    <mergeCell ref="A1:F1"/>
    <mergeCell ref="H6:I11"/>
  </mergeCells>
  <phoneticPr fontId="0" type="noConversion"/>
  <pageMargins left="0.5" right="0.5" top="1" bottom="0.5" header="0.5" footer="0.25"/>
  <pageSetup scale="35" fitToHeight="3"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J134"/>
  <sheetViews>
    <sheetView zoomScaleNormal="100" workbookViewId="0">
      <selection activeCell="A85" sqref="A85"/>
    </sheetView>
  </sheetViews>
  <sheetFormatPr defaultRowHeight="15.75" x14ac:dyDescent="0.2"/>
  <cols>
    <col min="1" max="1" width="2.44140625" style="48" customWidth="1"/>
    <col min="2" max="2" width="31.109375" style="48" customWidth="1"/>
    <col min="3" max="4" width="15.77734375" style="48" customWidth="1"/>
    <col min="5" max="5" width="16.21875" style="48" customWidth="1"/>
    <col min="6" max="6" width="7.44140625" style="48" customWidth="1"/>
    <col min="7" max="7" width="10.21875" style="48" customWidth="1"/>
    <col min="8" max="8" width="8.88671875" style="48"/>
    <col min="9" max="9" width="5" style="48" customWidth="1"/>
    <col min="10" max="10" width="10" style="48" customWidth="1"/>
    <col min="11" max="16384" width="8.88671875" style="48"/>
  </cols>
  <sheetData>
    <row r="1" spans="2:5" x14ac:dyDescent="0.2">
      <c r="B1" s="184" t="str">
        <f>inputPrYr!C2</f>
        <v>Edwards County</v>
      </c>
      <c r="C1" s="51"/>
      <c r="D1" s="51"/>
      <c r="E1" s="243">
        <f>inputPrYr!C4</f>
        <v>2014</v>
      </c>
    </row>
    <row r="2" spans="2:5" x14ac:dyDescent="0.2">
      <c r="B2" s="51"/>
      <c r="C2" s="51"/>
      <c r="D2" s="51"/>
      <c r="E2" s="196"/>
    </row>
    <row r="3" spans="2:5" x14ac:dyDescent="0.2">
      <c r="B3" s="118" t="s">
        <v>155</v>
      </c>
      <c r="C3" s="51"/>
      <c r="D3" s="51"/>
      <c r="E3" s="257"/>
    </row>
    <row r="4" spans="2:5" x14ac:dyDescent="0.2">
      <c r="B4" s="258" t="s">
        <v>75</v>
      </c>
      <c r="C4" s="488" t="s">
        <v>320</v>
      </c>
      <c r="D4" s="489" t="s">
        <v>321</v>
      </c>
      <c r="E4" s="180" t="s">
        <v>322</v>
      </c>
    </row>
    <row r="5" spans="2:5" x14ac:dyDescent="0.2">
      <c r="B5" s="379" t="str">
        <f>inputPrYr!B16</f>
        <v>General</v>
      </c>
      <c r="C5" s="362" t="str">
        <f>CONCATENATE("Actual for ",E1-2,"")</f>
        <v>Actual for 2012</v>
      </c>
      <c r="D5" s="362" t="str">
        <f>CONCATENATE("Estimate for ",E1-1,"")</f>
        <v>Estimate for 2013</v>
      </c>
      <c r="E5" s="259" t="str">
        <f>CONCATENATE("Year for ",E1,"")</f>
        <v>Year for 2014</v>
      </c>
    </row>
    <row r="6" spans="2:5" x14ac:dyDescent="0.2">
      <c r="B6" s="260" t="s">
        <v>197</v>
      </c>
      <c r="C6" s="359">
        <v>124285</v>
      </c>
      <c r="D6" s="363">
        <f>C111</f>
        <v>60754</v>
      </c>
      <c r="E6" s="222">
        <f>D111</f>
        <v>98403</v>
      </c>
    </row>
    <row r="7" spans="2:5" x14ac:dyDescent="0.2">
      <c r="B7" s="247" t="s">
        <v>199</v>
      </c>
      <c r="C7" s="262"/>
      <c r="D7" s="262"/>
      <c r="E7" s="93"/>
    </row>
    <row r="8" spans="2:5" x14ac:dyDescent="0.2">
      <c r="B8" s="260" t="s">
        <v>76</v>
      </c>
      <c r="C8" s="359">
        <v>1271820</v>
      </c>
      <c r="D8" s="363">
        <f>IF(inputPrYr!H16&gt;0,inputPrYr!H16,inputPrYr!E16)</f>
        <v>1342256</v>
      </c>
      <c r="E8" s="182" t="s">
        <v>62</v>
      </c>
    </row>
    <row r="9" spans="2:5" x14ac:dyDescent="0.2">
      <c r="B9" s="260" t="s">
        <v>77</v>
      </c>
      <c r="C9" s="359">
        <v>15062</v>
      </c>
      <c r="D9" s="359">
        <v>14000</v>
      </c>
      <c r="E9" s="263">
        <v>12000</v>
      </c>
    </row>
    <row r="10" spans="2:5" x14ac:dyDescent="0.2">
      <c r="B10" s="260" t="s">
        <v>78</v>
      </c>
      <c r="C10" s="359">
        <v>106405</v>
      </c>
      <c r="D10" s="359">
        <v>107381</v>
      </c>
      <c r="E10" s="222">
        <f>mvalloc!E7</f>
        <v>119015</v>
      </c>
    </row>
    <row r="11" spans="2:5" x14ac:dyDescent="0.2">
      <c r="B11" s="260" t="s">
        <v>79</v>
      </c>
      <c r="C11" s="359">
        <v>1836</v>
      </c>
      <c r="D11" s="359">
        <v>2047</v>
      </c>
      <c r="E11" s="222">
        <f>mvalloc!F7</f>
        <v>2054</v>
      </c>
    </row>
    <row r="12" spans="2:5" x14ac:dyDescent="0.2">
      <c r="B12" s="262" t="s">
        <v>179</v>
      </c>
      <c r="C12" s="359">
        <v>13257</v>
      </c>
      <c r="D12" s="359">
        <v>13905</v>
      </c>
      <c r="E12" s="222">
        <f>mvalloc!G7</f>
        <v>16719</v>
      </c>
    </row>
    <row r="13" spans="2:5" x14ac:dyDescent="0.2">
      <c r="B13" s="260" t="s">
        <v>181</v>
      </c>
      <c r="C13" s="359"/>
      <c r="D13" s="359"/>
      <c r="E13" s="222">
        <f>inputOth!E11</f>
        <v>0</v>
      </c>
    </row>
    <row r="14" spans="2:5" x14ac:dyDescent="0.2">
      <c r="B14" s="260" t="s">
        <v>244</v>
      </c>
      <c r="C14" s="359"/>
      <c r="D14" s="359"/>
      <c r="E14" s="222">
        <f>inputOth!E18</f>
        <v>0</v>
      </c>
    </row>
    <row r="15" spans="2:5" x14ac:dyDescent="0.2">
      <c r="B15" s="260" t="s">
        <v>245</v>
      </c>
      <c r="C15" s="359"/>
      <c r="D15" s="359"/>
      <c r="E15" s="222">
        <f>inputOth!E19</f>
        <v>0</v>
      </c>
    </row>
    <row r="16" spans="2:5" x14ac:dyDescent="0.2">
      <c r="B16" s="264" t="s">
        <v>80</v>
      </c>
      <c r="C16" s="359">
        <v>851</v>
      </c>
      <c r="D16" s="359">
        <v>1032</v>
      </c>
      <c r="E16" s="263">
        <v>800</v>
      </c>
    </row>
    <row r="17" spans="2:5" x14ac:dyDescent="0.2">
      <c r="B17" s="264" t="s">
        <v>358</v>
      </c>
      <c r="C17" s="359">
        <v>20568</v>
      </c>
      <c r="D17" s="359">
        <v>20000</v>
      </c>
      <c r="E17" s="263">
        <v>20000</v>
      </c>
    </row>
    <row r="18" spans="2:5" x14ac:dyDescent="0.2">
      <c r="B18" s="264" t="s">
        <v>359</v>
      </c>
      <c r="C18" s="359">
        <v>17</v>
      </c>
      <c r="D18" s="359">
        <v>20</v>
      </c>
      <c r="E18" s="263">
        <v>20</v>
      </c>
    </row>
    <row r="19" spans="2:5" x14ac:dyDescent="0.2">
      <c r="B19" s="265"/>
      <c r="C19" s="359"/>
      <c r="D19" s="359"/>
      <c r="E19" s="263"/>
    </row>
    <row r="20" spans="2:5" x14ac:dyDescent="0.2">
      <c r="B20" s="265" t="s">
        <v>360</v>
      </c>
      <c r="C20" s="359"/>
      <c r="D20" s="359"/>
      <c r="E20" s="263"/>
    </row>
    <row r="21" spans="2:5" x14ac:dyDescent="0.2">
      <c r="B21" s="265" t="s">
        <v>361</v>
      </c>
      <c r="C21" s="359"/>
      <c r="D21" s="359"/>
      <c r="E21" s="263"/>
    </row>
    <row r="22" spans="2:5" x14ac:dyDescent="0.2">
      <c r="B22" s="264" t="s">
        <v>362</v>
      </c>
      <c r="C22" s="359">
        <v>174557</v>
      </c>
      <c r="D22" s="359">
        <v>165000</v>
      </c>
      <c r="E22" s="263">
        <v>165000</v>
      </c>
    </row>
    <row r="23" spans="2:5" x14ac:dyDescent="0.2">
      <c r="B23" s="264" t="s">
        <v>363</v>
      </c>
      <c r="C23" s="359">
        <v>6823</v>
      </c>
      <c r="D23" s="359">
        <v>7000</v>
      </c>
      <c r="E23" s="263">
        <v>7000</v>
      </c>
    </row>
    <row r="24" spans="2:5" x14ac:dyDescent="0.2">
      <c r="B24" s="264" t="s">
        <v>364</v>
      </c>
      <c r="C24" s="359">
        <v>903</v>
      </c>
      <c r="D24" s="359">
        <v>1000</v>
      </c>
      <c r="E24" s="263">
        <v>1000</v>
      </c>
    </row>
    <row r="25" spans="2:5" x14ac:dyDescent="0.2">
      <c r="B25" s="264"/>
      <c r="C25" s="359"/>
      <c r="D25" s="359"/>
      <c r="E25" s="263"/>
    </row>
    <row r="26" spans="2:5" x14ac:dyDescent="0.2">
      <c r="B26" s="264" t="s">
        <v>365</v>
      </c>
      <c r="C26" s="359"/>
      <c r="D26" s="359"/>
      <c r="E26" s="263"/>
    </row>
    <row r="27" spans="2:5" x14ac:dyDescent="0.2">
      <c r="B27" s="264" t="s">
        <v>366</v>
      </c>
      <c r="C27" s="359">
        <v>22105</v>
      </c>
      <c r="D27" s="359">
        <v>20000</v>
      </c>
      <c r="E27" s="263">
        <v>20000</v>
      </c>
    </row>
    <row r="28" spans="2:5" x14ac:dyDescent="0.2">
      <c r="B28" s="264" t="s">
        <v>367</v>
      </c>
      <c r="C28" s="359">
        <v>28278</v>
      </c>
      <c r="D28" s="359">
        <v>22000</v>
      </c>
      <c r="E28" s="263">
        <v>22000</v>
      </c>
    </row>
    <row r="29" spans="2:5" x14ac:dyDescent="0.2">
      <c r="B29" s="264" t="s">
        <v>368</v>
      </c>
      <c r="C29" s="359">
        <v>12914</v>
      </c>
      <c r="D29" s="359">
        <v>10000</v>
      </c>
      <c r="E29" s="263">
        <v>10000</v>
      </c>
    </row>
    <row r="30" spans="2:5" x14ac:dyDescent="0.2">
      <c r="B30" s="264"/>
      <c r="C30" s="359"/>
      <c r="D30" s="359"/>
      <c r="E30" s="263"/>
    </row>
    <row r="31" spans="2:5" x14ac:dyDescent="0.2">
      <c r="B31" s="264" t="s">
        <v>369</v>
      </c>
      <c r="C31" s="359"/>
      <c r="D31" s="359"/>
      <c r="E31" s="263"/>
    </row>
    <row r="32" spans="2:5" x14ac:dyDescent="0.2">
      <c r="B32" s="264" t="s">
        <v>370</v>
      </c>
      <c r="C32" s="359">
        <v>520</v>
      </c>
      <c r="D32" s="359">
        <v>3000</v>
      </c>
      <c r="E32" s="263">
        <v>1000</v>
      </c>
    </row>
    <row r="33" spans="2:5" x14ac:dyDescent="0.2">
      <c r="B33" s="264" t="s">
        <v>371</v>
      </c>
      <c r="C33" s="359">
        <v>135764</v>
      </c>
      <c r="D33" s="359">
        <v>135000</v>
      </c>
      <c r="E33" s="263">
        <v>135000</v>
      </c>
    </row>
    <row r="34" spans="2:5" x14ac:dyDescent="0.2">
      <c r="B34" s="264" t="s">
        <v>372</v>
      </c>
      <c r="C34" s="359">
        <v>7035</v>
      </c>
      <c r="D34" s="359">
        <v>8000</v>
      </c>
      <c r="E34" s="263">
        <v>8000</v>
      </c>
    </row>
    <row r="35" spans="2:5" x14ac:dyDescent="0.2">
      <c r="B35" s="264"/>
      <c r="C35" s="359"/>
      <c r="D35" s="359"/>
      <c r="E35" s="263"/>
    </row>
    <row r="36" spans="2:5" x14ac:dyDescent="0.2">
      <c r="B36" s="264" t="s">
        <v>373</v>
      </c>
      <c r="C36" s="359">
        <v>13030</v>
      </c>
      <c r="D36" s="359">
        <v>15436</v>
      </c>
      <c r="E36" s="263">
        <v>12000</v>
      </c>
    </row>
    <row r="37" spans="2:5" x14ac:dyDescent="0.2">
      <c r="B37" s="264"/>
      <c r="C37" s="359"/>
      <c r="D37" s="359"/>
      <c r="E37" s="263"/>
    </row>
    <row r="38" spans="2:5" x14ac:dyDescent="0.2">
      <c r="B38" s="264"/>
      <c r="C38" s="359"/>
      <c r="D38" s="359"/>
      <c r="E38" s="263"/>
    </row>
    <row r="39" spans="2:5" x14ac:dyDescent="0.2">
      <c r="B39" s="264"/>
      <c r="C39" s="359"/>
      <c r="D39" s="359"/>
      <c r="E39" s="263"/>
    </row>
    <row r="40" spans="2:5" x14ac:dyDescent="0.2">
      <c r="B40" s="264"/>
      <c r="C40" s="359"/>
      <c r="D40" s="359"/>
      <c r="E40" s="263"/>
    </row>
    <row r="41" spans="2:5" hidden="1" x14ac:dyDescent="0.2">
      <c r="B41" s="264"/>
      <c r="C41" s="359"/>
      <c r="D41" s="359"/>
      <c r="E41" s="263"/>
    </row>
    <row r="42" spans="2:5" hidden="1" x14ac:dyDescent="0.2">
      <c r="B42" s="264"/>
      <c r="C42" s="359"/>
      <c r="D42" s="359"/>
      <c r="E42" s="263"/>
    </row>
    <row r="43" spans="2:5" hidden="1" x14ac:dyDescent="0.2">
      <c r="B43" s="264"/>
      <c r="C43" s="359"/>
      <c r="D43" s="359"/>
      <c r="E43" s="263"/>
    </row>
    <row r="44" spans="2:5" hidden="1" x14ac:dyDescent="0.2">
      <c r="B44" s="264"/>
      <c r="C44" s="359"/>
      <c r="D44" s="359"/>
      <c r="E44" s="263"/>
    </row>
    <row r="45" spans="2:5" hidden="1" x14ac:dyDescent="0.2">
      <c r="B45" s="264"/>
      <c r="C45" s="359"/>
      <c r="D45" s="359"/>
      <c r="E45" s="263"/>
    </row>
    <row r="46" spans="2:5" hidden="1" x14ac:dyDescent="0.2">
      <c r="B46" s="264"/>
      <c r="C46" s="359"/>
      <c r="D46" s="359"/>
      <c r="E46" s="263"/>
    </row>
    <row r="47" spans="2:5" hidden="1" x14ac:dyDescent="0.2">
      <c r="B47" s="264"/>
      <c r="C47" s="359"/>
      <c r="D47" s="359"/>
      <c r="E47" s="263"/>
    </row>
    <row r="48" spans="2:5" hidden="1" x14ac:dyDescent="0.2">
      <c r="B48" s="264"/>
      <c r="C48" s="359"/>
      <c r="D48" s="359"/>
      <c r="E48" s="263"/>
    </row>
    <row r="49" spans="2:5" hidden="1" x14ac:dyDescent="0.2">
      <c r="B49" s="264"/>
      <c r="C49" s="359"/>
      <c r="D49" s="359"/>
      <c r="E49" s="263"/>
    </row>
    <row r="50" spans="2:5" x14ac:dyDescent="0.2">
      <c r="B50" s="265" t="s">
        <v>81</v>
      </c>
      <c r="C50" s="359">
        <v>3689</v>
      </c>
      <c r="D50" s="359">
        <v>3000</v>
      </c>
      <c r="E50" s="263">
        <v>2000</v>
      </c>
    </row>
    <row r="51" spans="2:5" x14ac:dyDescent="0.2">
      <c r="B51" s="266" t="s">
        <v>38</v>
      </c>
      <c r="C51" s="359">
        <v>2492</v>
      </c>
      <c r="D51" s="359">
        <v>2000</v>
      </c>
      <c r="E51" s="263">
        <v>2000</v>
      </c>
    </row>
    <row r="52" spans="2:5" x14ac:dyDescent="0.2">
      <c r="B52" s="266" t="s">
        <v>285</v>
      </c>
      <c r="C52" s="360" t="str">
        <f>IF(C53*0.1&lt;C51,"Exceed 10% Rule","")</f>
        <v/>
      </c>
      <c r="D52" s="360" t="str">
        <f>IF(D53*0.1&lt;D51,"Exceed 10% Rule","")</f>
        <v/>
      </c>
      <c r="E52" s="293" t="str">
        <f>IF(E53*0.1+E117&lt;E51,"Exceed 10% Rule","")</f>
        <v/>
      </c>
    </row>
    <row r="53" spans="2:5" x14ac:dyDescent="0.2">
      <c r="B53" s="268" t="s">
        <v>82</v>
      </c>
      <c r="C53" s="361">
        <f>SUM(C8:C51)</f>
        <v>1837926</v>
      </c>
      <c r="D53" s="361">
        <f>SUM(D8:D51)</f>
        <v>1892077</v>
      </c>
      <c r="E53" s="298">
        <f>SUM(E9:E51)</f>
        <v>555608</v>
      </c>
    </row>
    <row r="54" spans="2:5" x14ac:dyDescent="0.2">
      <c r="B54" s="268" t="s">
        <v>83</v>
      </c>
      <c r="C54" s="361">
        <f>C6+C53</f>
        <v>1962211</v>
      </c>
      <c r="D54" s="361">
        <f>D6+D53</f>
        <v>1952831</v>
      </c>
      <c r="E54" s="298">
        <f>E6+E53</f>
        <v>654011</v>
      </c>
    </row>
    <row r="55" spans="2:5" x14ac:dyDescent="0.2">
      <c r="B55" s="51"/>
      <c r="C55" s="184"/>
      <c r="D55" s="184"/>
      <c r="E55" s="184"/>
    </row>
    <row r="56" spans="2:5" x14ac:dyDescent="0.2">
      <c r="B56" s="574" t="s">
        <v>206</v>
      </c>
      <c r="C56" s="574"/>
      <c r="D56" s="574"/>
      <c r="E56" s="574"/>
    </row>
    <row r="57" spans="2:5" x14ac:dyDescent="0.2">
      <c r="B57" s="184" t="str">
        <f>inputPrYr!C2</f>
        <v>Edwards County</v>
      </c>
      <c r="C57" s="184"/>
      <c r="D57" s="184"/>
      <c r="E57" s="243">
        <f>inputPrYr!C4</f>
        <v>2014</v>
      </c>
    </row>
    <row r="58" spans="2:5" x14ac:dyDescent="0.2">
      <c r="B58" s="51"/>
      <c r="C58" s="184"/>
      <c r="D58" s="184"/>
      <c r="E58" s="196"/>
    </row>
    <row r="59" spans="2:5" x14ac:dyDescent="0.2">
      <c r="B59" s="270" t="s">
        <v>152</v>
      </c>
      <c r="C59" s="271"/>
      <c r="D59" s="271"/>
      <c r="E59" s="271"/>
    </row>
    <row r="60" spans="2:5" x14ac:dyDescent="0.2">
      <c r="B60" s="51" t="s">
        <v>75</v>
      </c>
      <c r="C60" s="488" t="s">
        <v>320</v>
      </c>
      <c r="D60" s="489" t="s">
        <v>321</v>
      </c>
      <c r="E60" s="180" t="s">
        <v>322</v>
      </c>
    </row>
    <row r="61" spans="2:5" x14ac:dyDescent="0.2">
      <c r="B61" s="80" t="s">
        <v>85</v>
      </c>
      <c r="C61" s="362" t="str">
        <f>CONCATENATE("Actual for ",E57-2,"")</f>
        <v>Actual for 2012</v>
      </c>
      <c r="D61" s="362" t="str">
        <f>CONCATENATE("Estimate for ",E57-1,"")</f>
        <v>Estimate for 2013</v>
      </c>
      <c r="E61" s="259" t="str">
        <f>CONCATENATE("Year for ",E57,"")</f>
        <v>Year for 2014</v>
      </c>
    </row>
    <row r="62" spans="2:5" x14ac:dyDescent="0.2">
      <c r="B62" s="268" t="s">
        <v>83</v>
      </c>
      <c r="C62" s="363">
        <f>C54</f>
        <v>1962211</v>
      </c>
      <c r="D62" s="363">
        <f>D54</f>
        <v>1952831</v>
      </c>
      <c r="E62" s="222">
        <f>E54</f>
        <v>654011</v>
      </c>
    </row>
    <row r="63" spans="2:5" x14ac:dyDescent="0.2">
      <c r="B63" s="260" t="s">
        <v>86</v>
      </c>
      <c r="C63" s="363"/>
      <c r="D63" s="363"/>
      <c r="E63" s="222"/>
    </row>
    <row r="64" spans="2:5" x14ac:dyDescent="0.2">
      <c r="B64" s="262" t="str">
        <f>'gen-detail'!A7</f>
        <v>County Commissioners</v>
      </c>
      <c r="C64" s="363">
        <f>'gen-detail'!B13</f>
        <v>48370</v>
      </c>
      <c r="D64" s="363">
        <f>'gen-detail'!C13</f>
        <v>49000</v>
      </c>
      <c r="E64" s="222">
        <f>'gen-detail'!D13</f>
        <v>50500</v>
      </c>
    </row>
    <row r="65" spans="2:5" x14ac:dyDescent="0.2">
      <c r="B65" s="262" t="str">
        <f>'gen-detail'!A14</f>
        <v>County Clerk</v>
      </c>
      <c r="C65" s="363">
        <f>'gen-detail'!B20</f>
        <v>88693</v>
      </c>
      <c r="D65" s="363">
        <f>'gen-detail'!C20</f>
        <v>90000</v>
      </c>
      <c r="E65" s="222">
        <f>'gen-detail'!D20</f>
        <v>97000</v>
      </c>
    </row>
    <row r="66" spans="2:5" x14ac:dyDescent="0.2">
      <c r="B66" s="262" t="str">
        <f>'gen-detail'!A21</f>
        <v>County Treasurer</v>
      </c>
      <c r="C66" s="363">
        <f>'gen-detail'!B27</f>
        <v>104839</v>
      </c>
      <c r="D66" s="363">
        <f>'gen-detail'!C27</f>
        <v>110000</v>
      </c>
      <c r="E66" s="222">
        <f>'gen-detail'!D27</f>
        <v>113000</v>
      </c>
    </row>
    <row r="67" spans="2:5" x14ac:dyDescent="0.2">
      <c r="B67" s="262" t="str">
        <f>'gen-detail'!A28</f>
        <v>County Attorney</v>
      </c>
      <c r="C67" s="363">
        <f>'gen-detail'!B35</f>
        <v>64633</v>
      </c>
      <c r="D67" s="363">
        <f>'gen-detail'!C35</f>
        <v>65000</v>
      </c>
      <c r="E67" s="222">
        <f>'gen-detail'!D35</f>
        <v>68000</v>
      </c>
    </row>
    <row r="68" spans="2:5" x14ac:dyDescent="0.2">
      <c r="B68" s="262" t="str">
        <f>'gen-detail'!A36</f>
        <v>Register of Deeds</v>
      </c>
      <c r="C68" s="363">
        <f>'gen-detail'!B42</f>
        <v>68584</v>
      </c>
      <c r="D68" s="363">
        <f>'gen-detail'!C42</f>
        <v>69000</v>
      </c>
      <c r="E68" s="222">
        <f>'gen-detail'!D42</f>
        <v>74000</v>
      </c>
    </row>
    <row r="69" spans="2:5" x14ac:dyDescent="0.2">
      <c r="B69" s="262" t="str">
        <f>'gen-detail'!A43</f>
        <v>District Court</v>
      </c>
      <c r="C69" s="363">
        <f>'gen-detail'!B50</f>
        <v>34775</v>
      </c>
      <c r="D69" s="363">
        <f>'gen-detail'!C50</f>
        <v>44200</v>
      </c>
      <c r="E69" s="222">
        <f>'gen-detail'!D50</f>
        <v>51638</v>
      </c>
    </row>
    <row r="70" spans="2:5" x14ac:dyDescent="0.2">
      <c r="B70" s="262" t="str">
        <f>'gen-detail'!A62</f>
        <v>Courthouse General</v>
      </c>
      <c r="C70" s="363">
        <f>'gen-detail'!B69</f>
        <v>182374</v>
      </c>
      <c r="D70" s="363">
        <f>'gen-detail'!C69</f>
        <v>203000</v>
      </c>
      <c r="E70" s="222">
        <f>'gen-detail'!D69</f>
        <v>252000</v>
      </c>
    </row>
    <row r="71" spans="2:5" x14ac:dyDescent="0.2">
      <c r="B71" s="262" t="str">
        <f>'gen-detail'!A70</f>
        <v>Appraisal</v>
      </c>
      <c r="C71" s="363">
        <f>'gen-detail'!B75</f>
        <v>103418</v>
      </c>
      <c r="D71" s="363">
        <f>'gen-detail'!C75</f>
        <v>100200</v>
      </c>
      <c r="E71" s="222">
        <f>'gen-detail'!D75</f>
        <v>118000</v>
      </c>
    </row>
    <row r="72" spans="2:5" x14ac:dyDescent="0.2">
      <c r="B72" s="262" t="str">
        <f>'gen-detail'!A76</f>
        <v>Extension Office</v>
      </c>
      <c r="C72" s="363">
        <f>'gen-detail'!B81</f>
        <v>9768</v>
      </c>
      <c r="D72" s="363">
        <f>'gen-detail'!C81</f>
        <v>10000</v>
      </c>
      <c r="E72" s="222">
        <f>'gen-detail'!D81</f>
        <v>11000</v>
      </c>
    </row>
    <row r="73" spans="2:5" x14ac:dyDescent="0.2">
      <c r="B73" s="262" t="str">
        <f>'gen-detail'!A82</f>
        <v>Zoning</v>
      </c>
      <c r="C73" s="363">
        <f>'gen-detail'!B87</f>
        <v>3058</v>
      </c>
      <c r="D73" s="363">
        <f>'gen-detail'!C87</f>
        <v>3000</v>
      </c>
      <c r="E73" s="222">
        <f>'gen-detail'!D87</f>
        <v>3000</v>
      </c>
    </row>
    <row r="74" spans="2:5" x14ac:dyDescent="0.2">
      <c r="B74" s="262" t="str">
        <f>'gen-detail'!A88</f>
        <v>Election</v>
      </c>
      <c r="C74" s="363">
        <f>'gen-detail'!B93</f>
        <v>29325</v>
      </c>
      <c r="D74" s="363">
        <f>'gen-detail'!C93</f>
        <v>29000</v>
      </c>
      <c r="E74" s="222">
        <f>'gen-detail'!D93</f>
        <v>34000</v>
      </c>
    </row>
    <row r="75" spans="2:5" x14ac:dyDescent="0.2">
      <c r="B75" s="262" t="str">
        <f>'gen-detail'!A94</f>
        <v>Insurance Cost</v>
      </c>
      <c r="C75" s="363">
        <f>'gen-detail'!B99</f>
        <v>70555</v>
      </c>
      <c r="D75" s="363">
        <f>'gen-detail'!C99</f>
        <v>80000</v>
      </c>
      <c r="E75" s="222">
        <f>'gen-detail'!D99</f>
        <v>85000</v>
      </c>
    </row>
    <row r="76" spans="2:5" x14ac:dyDescent="0.2">
      <c r="B76" s="262" t="str">
        <f>'gen-detail'!A100</f>
        <v>Soil Conservation</v>
      </c>
      <c r="C76" s="363">
        <f>'gen-detail'!B105</f>
        <v>22955</v>
      </c>
      <c r="D76" s="363">
        <f>'gen-detail'!C105</f>
        <v>22955</v>
      </c>
      <c r="E76" s="222">
        <f>'gen-detail'!D105</f>
        <v>22955</v>
      </c>
    </row>
    <row r="77" spans="2:5" x14ac:dyDescent="0.2">
      <c r="B77" s="262" t="str">
        <f>'gen-detail'!A116</f>
        <v>Sheriff</v>
      </c>
      <c r="C77" s="363">
        <f>'gen-detail'!B122</f>
        <v>496769</v>
      </c>
      <c r="D77" s="363">
        <f>'gen-detail'!C122</f>
        <v>498800</v>
      </c>
      <c r="E77" s="222">
        <f>'gen-detail'!D122</f>
        <v>546170</v>
      </c>
    </row>
    <row r="78" spans="2:5" x14ac:dyDescent="0.2">
      <c r="B78" s="262" t="str">
        <f>'gen-detail'!A123</f>
        <v>Emergency Preparedness</v>
      </c>
      <c r="C78" s="363">
        <f>'gen-detail'!B129</f>
        <v>8680</v>
      </c>
      <c r="D78" s="363">
        <f>'gen-detail'!C129</f>
        <v>8900</v>
      </c>
      <c r="E78" s="222">
        <f>'gen-detail'!D129</f>
        <v>9500</v>
      </c>
    </row>
    <row r="79" spans="2:5" x14ac:dyDescent="0.2">
      <c r="B79" s="262" t="str">
        <f>'gen-detail'!A130</f>
        <v>Public Works</v>
      </c>
      <c r="C79" s="363">
        <f>'gen-detail'!B136</f>
        <v>-1443</v>
      </c>
      <c r="D79" s="363">
        <f>'gen-detail'!C136</f>
        <v>0</v>
      </c>
      <c r="E79" s="222">
        <f>'gen-detail'!D136</f>
        <v>0</v>
      </c>
    </row>
    <row r="80" spans="2:5" x14ac:dyDescent="0.2">
      <c r="B80" s="262" t="str">
        <f>'gen-detail'!A141</f>
        <v>Ambulance</v>
      </c>
      <c r="C80" s="363">
        <f>'gen-detail'!B147</f>
        <v>67332</v>
      </c>
      <c r="D80" s="363">
        <f>'gen-detail'!C147</f>
        <v>73332</v>
      </c>
      <c r="E80" s="222">
        <f>'gen-detail'!D147</f>
        <v>83868</v>
      </c>
    </row>
    <row r="81" spans="2:5" x14ac:dyDescent="0.2">
      <c r="B81" s="262" t="str">
        <f>'gen-detail'!A148</f>
        <v>Mental Health</v>
      </c>
      <c r="C81" s="363">
        <f>'gen-detail'!B153</f>
        <v>26400</v>
      </c>
      <c r="D81" s="363">
        <f>'gen-detail'!C153</f>
        <v>26400</v>
      </c>
      <c r="E81" s="222">
        <f>'gen-detail'!D153</f>
        <v>26000</v>
      </c>
    </row>
    <row r="82" spans="2:5" x14ac:dyDescent="0.2">
      <c r="B82" s="262" t="str">
        <f>'gen-detail'!A154</f>
        <v>Mental Retardation</v>
      </c>
      <c r="C82" s="363">
        <f>'gen-detail'!B159</f>
        <v>31500</v>
      </c>
      <c r="D82" s="363">
        <f>'gen-detail'!C159</f>
        <v>31500</v>
      </c>
      <c r="E82" s="222">
        <f>'gen-detail'!D159</f>
        <v>31500</v>
      </c>
    </row>
    <row r="83" spans="2:5" x14ac:dyDescent="0.2">
      <c r="B83" s="262" t="str">
        <f>'gen-detail'!A160</f>
        <v>County Fair</v>
      </c>
      <c r="C83" s="363">
        <f>'gen-detail'!B169</f>
        <v>15279</v>
      </c>
      <c r="D83" s="363">
        <f>'gen-detail'!C169</f>
        <v>16000</v>
      </c>
      <c r="E83" s="222">
        <f>'gen-detail'!D169</f>
        <v>17000</v>
      </c>
    </row>
    <row r="84" spans="2:5" x14ac:dyDescent="0.2">
      <c r="B84" s="262">
        <f>'gen-detail'!A170</f>
        <v>0</v>
      </c>
      <c r="C84" s="363">
        <f>'gen-detail'!B175</f>
        <v>0</v>
      </c>
      <c r="D84" s="363">
        <f>'gen-detail'!C175</f>
        <v>0</v>
      </c>
      <c r="E84" s="222">
        <f>'gen-detail'!D175</f>
        <v>0</v>
      </c>
    </row>
    <row r="85" spans="2:5" x14ac:dyDescent="0.2">
      <c r="B85" s="262" t="str">
        <f>'gen-detail'!A186</f>
        <v>Transfer Station</v>
      </c>
      <c r="C85" s="363">
        <f>'gen-detail'!B192</f>
        <v>143633</v>
      </c>
      <c r="D85" s="363">
        <f>'gen-detail'!C192</f>
        <v>141050</v>
      </c>
      <c r="E85" s="222">
        <f>'gen-detail'!D192</f>
        <v>191500</v>
      </c>
    </row>
    <row r="86" spans="2:5" x14ac:dyDescent="0.2">
      <c r="B86" s="262" t="str">
        <f>'gen-detail'!A193</f>
        <v>Transfer to Equipment Reserve</v>
      </c>
      <c r="C86" s="363">
        <f>'gen-detail'!B198</f>
        <v>39000</v>
      </c>
      <c r="D86" s="363">
        <f>'gen-detail'!C198</f>
        <v>0</v>
      </c>
      <c r="E86" s="222">
        <f>'gen-detail'!D198</f>
        <v>46000</v>
      </c>
    </row>
    <row r="87" spans="2:5" x14ac:dyDescent="0.2">
      <c r="B87" s="262" t="str">
        <f>'gen-detail'!A199</f>
        <v>Transfer to Multi-Year Capital Improvement</v>
      </c>
      <c r="C87" s="363">
        <f>'gen-detail'!B204</f>
        <v>61000</v>
      </c>
      <c r="D87" s="363">
        <f>'gen-detail'!C204</f>
        <v>0</v>
      </c>
      <c r="E87" s="222">
        <f>'gen-detail'!D204</f>
        <v>46000</v>
      </c>
    </row>
    <row r="88" spans="2:5" x14ac:dyDescent="0.2">
      <c r="B88" s="262" t="str">
        <f>'gen-detail'!A205</f>
        <v>Transfer to Economic Development</v>
      </c>
      <c r="C88" s="363">
        <f>'gen-detail'!B210</f>
        <v>40000</v>
      </c>
      <c r="D88" s="363">
        <f>'gen-detail'!C210</f>
        <v>40000</v>
      </c>
      <c r="E88" s="222">
        <f>'gen-detail'!D210</f>
        <v>40000</v>
      </c>
    </row>
    <row r="89" spans="2:5" x14ac:dyDescent="0.2">
      <c r="B89" s="262" t="str">
        <f>'gen-detail'!A211</f>
        <v>County Fair</v>
      </c>
      <c r="C89" s="363">
        <f>'gen-detail'!B216</f>
        <v>10870</v>
      </c>
      <c r="D89" s="363">
        <f>'gen-detail'!C216</f>
        <v>10870</v>
      </c>
      <c r="E89" s="222">
        <f>'gen-detail'!D216</f>
        <v>10870</v>
      </c>
    </row>
    <row r="90" spans="2:5" x14ac:dyDescent="0.2">
      <c r="B90" s="262" t="str">
        <f>'gen-detail'!A217</f>
        <v>Extension Council</v>
      </c>
      <c r="C90" s="363">
        <f>'gen-detail'!B222</f>
        <v>113500</v>
      </c>
      <c r="D90" s="363">
        <f>'gen-detail'!C222</f>
        <v>113500</v>
      </c>
      <c r="E90" s="222">
        <f>'gen-detail'!D222</f>
        <v>113500</v>
      </c>
    </row>
    <row r="91" spans="2:5" hidden="1" x14ac:dyDescent="0.2">
      <c r="B91" s="262" t="str">
        <f>'gen-detail'!A223</f>
        <v>Historical Society</v>
      </c>
      <c r="C91" s="363">
        <f>'gen-detail'!B227</f>
        <v>8000</v>
      </c>
      <c r="D91" s="363">
        <f>'gen-detail'!C227</f>
        <v>8000</v>
      </c>
      <c r="E91" s="222">
        <f>'gen-detail'!D227</f>
        <v>8000</v>
      </c>
    </row>
    <row r="92" spans="2:5" hidden="1" x14ac:dyDescent="0.2">
      <c r="B92" s="262">
        <f>'gen-detail'!A228</f>
        <v>0</v>
      </c>
      <c r="C92" s="363">
        <f>'gen-detail'!B235</f>
        <v>0</v>
      </c>
      <c r="D92" s="363">
        <f>'gen-detail'!C235</f>
        <v>0</v>
      </c>
      <c r="E92" s="222">
        <f>'gen-detail'!D235</f>
        <v>0</v>
      </c>
    </row>
    <row r="93" spans="2:5" hidden="1" x14ac:dyDescent="0.2">
      <c r="B93" s="262">
        <f>'gen-detail'!A236</f>
        <v>0</v>
      </c>
      <c r="C93" s="363">
        <f>'gen-detail'!B241</f>
        <v>0</v>
      </c>
      <c r="D93" s="363">
        <f>'gen-detail'!C241</f>
        <v>0</v>
      </c>
      <c r="E93" s="222">
        <f>'gen-detail'!D241</f>
        <v>0</v>
      </c>
    </row>
    <row r="94" spans="2:5" hidden="1" x14ac:dyDescent="0.2">
      <c r="B94" s="262">
        <f>'gen-detail'!A242</f>
        <v>0</v>
      </c>
      <c r="C94" s="363">
        <f>'gen-detail'!B243</f>
        <v>0</v>
      </c>
      <c r="D94" s="363">
        <f>'gen-detail'!C243</f>
        <v>0</v>
      </c>
      <c r="E94" s="222">
        <f>'gen-detail'!D243</f>
        <v>0</v>
      </c>
    </row>
    <row r="95" spans="2:5" hidden="1" x14ac:dyDescent="0.2">
      <c r="B95" s="262">
        <f>'gen-detail'!A245</f>
        <v>0</v>
      </c>
      <c r="C95" s="363">
        <f>'gen-detail'!B250</f>
        <v>0</v>
      </c>
      <c r="D95" s="363">
        <f>'gen-detail'!C250</f>
        <v>0</v>
      </c>
      <c r="E95" s="222">
        <f>'gen-detail'!D250</f>
        <v>0</v>
      </c>
    </row>
    <row r="96" spans="2:5" hidden="1" x14ac:dyDescent="0.2">
      <c r="B96" s="262">
        <f>'gen-detail'!A251</f>
        <v>0</v>
      </c>
      <c r="C96" s="363">
        <f>'gen-detail'!B256</f>
        <v>0</v>
      </c>
      <c r="D96" s="363">
        <f>'gen-detail'!C256</f>
        <v>0</v>
      </c>
      <c r="E96" s="222">
        <f>'gen-detail'!D256</f>
        <v>0</v>
      </c>
    </row>
    <row r="97" spans="2:5" hidden="1" x14ac:dyDescent="0.2">
      <c r="B97" s="262">
        <f>'gen-detail'!A267</f>
        <v>0</v>
      </c>
      <c r="C97" s="363">
        <f>'gen-detail'!B272</f>
        <v>0</v>
      </c>
      <c r="D97" s="363">
        <f>'gen-detail'!C272</f>
        <v>0</v>
      </c>
      <c r="E97" s="222">
        <f>'gen-detail'!D272</f>
        <v>0</v>
      </c>
    </row>
    <row r="98" spans="2:5" hidden="1" x14ac:dyDescent="0.2">
      <c r="B98" s="262">
        <f>'gen-detail'!A273</f>
        <v>0</v>
      </c>
      <c r="C98" s="363">
        <f>'gen-detail'!B278</f>
        <v>0</v>
      </c>
      <c r="D98" s="363">
        <f>'gen-detail'!C278</f>
        <v>0</v>
      </c>
      <c r="E98" s="222">
        <f>'gen-detail'!D278</f>
        <v>0</v>
      </c>
    </row>
    <row r="99" spans="2:5" hidden="1" x14ac:dyDescent="0.2">
      <c r="B99" s="262">
        <f>'gen-detail'!A279</f>
        <v>0</v>
      </c>
      <c r="C99" s="363">
        <f>'gen-detail'!B284</f>
        <v>0</v>
      </c>
      <c r="D99" s="363">
        <f>'gen-detail'!C284</f>
        <v>0</v>
      </c>
      <c r="E99" s="222">
        <f>'gen-detail'!D284</f>
        <v>0</v>
      </c>
    </row>
    <row r="100" spans="2:5" hidden="1" x14ac:dyDescent="0.2">
      <c r="B100" s="262">
        <f>'gen-detail'!A285</f>
        <v>0</v>
      </c>
      <c r="C100" s="363">
        <f>'gen-detail'!B290</f>
        <v>0</v>
      </c>
      <c r="D100" s="363">
        <f>'gen-detail'!C290</f>
        <v>0</v>
      </c>
      <c r="E100" s="222">
        <f>'gen-detail'!D290</f>
        <v>0</v>
      </c>
    </row>
    <row r="101" spans="2:5" hidden="1" x14ac:dyDescent="0.2">
      <c r="B101" s="262">
        <f>'gen-detail'!A291</f>
        <v>0</v>
      </c>
      <c r="C101" s="363">
        <f>'gen-detail'!B294</f>
        <v>0</v>
      </c>
      <c r="D101" s="363">
        <f>'gen-detail'!C294</f>
        <v>0</v>
      </c>
      <c r="E101" s="222">
        <f>'gen-detail'!D294</f>
        <v>0</v>
      </c>
    </row>
    <row r="102" spans="2:5" hidden="1" x14ac:dyDescent="0.2">
      <c r="B102" s="262">
        <f>'gen-detail'!A295</f>
        <v>0</v>
      </c>
      <c r="C102" s="363">
        <f>'gen-detail'!B300</f>
        <v>0</v>
      </c>
      <c r="D102" s="363">
        <f>'gen-detail'!C300</f>
        <v>0</v>
      </c>
      <c r="E102" s="222">
        <f>'gen-detail'!D300</f>
        <v>0</v>
      </c>
    </row>
    <row r="103" spans="2:5" hidden="1" x14ac:dyDescent="0.2">
      <c r="B103" s="262">
        <f>'gen-detail'!A301</f>
        <v>0</v>
      </c>
      <c r="C103" s="363">
        <f>'gen-detail'!B306</f>
        <v>0</v>
      </c>
      <c r="D103" s="363">
        <f>'gen-detail'!C306</f>
        <v>0</v>
      </c>
      <c r="E103" s="222">
        <f>'gen-detail'!D306</f>
        <v>0</v>
      </c>
    </row>
    <row r="104" spans="2:5" hidden="1" x14ac:dyDescent="0.2">
      <c r="B104" s="273" t="s">
        <v>23</v>
      </c>
      <c r="C104" s="380">
        <f>SUM(C64:C103)</f>
        <v>1891867</v>
      </c>
      <c r="D104" s="380">
        <f>SUM(D64:D103)</f>
        <v>1843707</v>
      </c>
      <c r="E104" s="294">
        <f>SUM(E64:E103)</f>
        <v>2150001</v>
      </c>
    </row>
    <row r="105" spans="2:5" hidden="1" x14ac:dyDescent="0.2">
      <c r="B105" s="274"/>
      <c r="C105" s="359"/>
      <c r="D105" s="359"/>
      <c r="E105" s="78"/>
    </row>
    <row r="106" spans="2:5" x14ac:dyDescent="0.2">
      <c r="B106" s="274"/>
      <c r="C106" s="359"/>
      <c r="D106" s="359"/>
      <c r="E106" s="78"/>
    </row>
    <row r="107" spans="2:5" x14ac:dyDescent="0.2">
      <c r="B107" s="266" t="s">
        <v>39</v>
      </c>
      <c r="C107" s="359">
        <v>9590</v>
      </c>
      <c r="D107" s="359">
        <v>10721</v>
      </c>
      <c r="E107" s="86">
        <f>Nhood!$E6</f>
        <v>12797</v>
      </c>
    </row>
    <row r="108" spans="2:5" x14ac:dyDescent="0.2">
      <c r="B108" s="266" t="s">
        <v>38</v>
      </c>
      <c r="C108" s="359"/>
      <c r="D108" s="359"/>
      <c r="E108" s="78"/>
    </row>
    <row r="109" spans="2:5" x14ac:dyDescent="0.2">
      <c r="B109" s="266" t="s">
        <v>284</v>
      </c>
      <c r="C109" s="360" t="str">
        <f>IF(C110*0.1&lt;C108,"Exceed 10% Rule","")</f>
        <v/>
      </c>
      <c r="D109" s="360" t="str">
        <f>IF(D110*0.1&lt;D108,"Exceed 10% Rule","")</f>
        <v/>
      </c>
      <c r="E109" s="293" t="str">
        <f>IF(E110*0.1&lt;E108,"Exceed 10% Rule","")</f>
        <v/>
      </c>
    </row>
    <row r="110" spans="2:5" x14ac:dyDescent="0.2">
      <c r="B110" s="268" t="s">
        <v>87</v>
      </c>
      <c r="C110" s="361">
        <f>SUM(C104:C108)</f>
        <v>1901457</v>
      </c>
      <c r="D110" s="361">
        <f>SUM(D104:D108)</f>
        <v>1854428</v>
      </c>
      <c r="E110" s="298">
        <f>SUM(E104:E108)</f>
        <v>2162798</v>
      </c>
    </row>
    <row r="111" spans="2:5" x14ac:dyDescent="0.2">
      <c r="B111" s="114" t="s">
        <v>198</v>
      </c>
      <c r="C111" s="364">
        <f>C54-C110</f>
        <v>60754</v>
      </c>
      <c r="D111" s="364">
        <f>D54-D110</f>
        <v>98403</v>
      </c>
      <c r="E111" s="182" t="s">
        <v>62</v>
      </c>
    </row>
    <row r="112" spans="2:5" x14ac:dyDescent="0.2">
      <c r="B112" s="244" t="str">
        <f>CONCATENATE("",E$1-2,"/",E$1-1," Budget Authority Amount:")</f>
        <v>2012/2013 Budget Authority Amount:</v>
      </c>
      <c r="C112" s="236">
        <f>inputOth!$B30</f>
        <v>1937065</v>
      </c>
      <c r="D112" s="236">
        <f>inputPrYr!$D16</f>
        <v>1986036</v>
      </c>
      <c r="E112" s="182" t="s">
        <v>62</v>
      </c>
    </row>
    <row r="113" spans="2:6" x14ac:dyDescent="0.2">
      <c r="B113" s="244"/>
      <c r="C113" s="570" t="s">
        <v>287</v>
      </c>
      <c r="D113" s="571"/>
      <c r="E113" s="78"/>
    </row>
    <row r="114" spans="2:6" x14ac:dyDescent="0.2">
      <c r="B114" s="392" t="str">
        <f>CONCATENATE(C129,"     ",D129)</f>
        <v xml:space="preserve">     </v>
      </c>
      <c r="C114" s="572" t="s">
        <v>288</v>
      </c>
      <c r="D114" s="573"/>
      <c r="E114" s="222">
        <f>E110+E113</f>
        <v>2162798</v>
      </c>
    </row>
    <row r="115" spans="2:6" x14ac:dyDescent="0.2">
      <c r="B115" s="392" t="str">
        <f>CONCATENATE(C130,"     ",D130)</f>
        <v xml:space="preserve">     </v>
      </c>
      <c r="C115" s="277"/>
      <c r="D115" s="196" t="s">
        <v>88</v>
      </c>
      <c r="E115" s="86">
        <f>IF(E114-E54&gt;0,E114-E54,0)</f>
        <v>1508787</v>
      </c>
    </row>
    <row r="116" spans="2:6" x14ac:dyDescent="0.2">
      <c r="B116" s="244"/>
      <c r="C116" s="390" t="s">
        <v>289</v>
      </c>
      <c r="D116" s="439">
        <f>inputOth!$E$23</f>
        <v>0.01</v>
      </c>
      <c r="E116" s="222">
        <f>IF(D116&gt;0,(E115*D116),0)</f>
        <v>15087.87</v>
      </c>
      <c r="F116" s="276"/>
    </row>
    <row r="117" spans="2:6" x14ac:dyDescent="0.2">
      <c r="B117" s="51"/>
      <c r="C117" s="575" t="str">
        <f>CONCATENATE("Amount of  ",$E$1-1," Ad Valorem Tax")</f>
        <v>Amount of  2013 Ad Valorem Tax</v>
      </c>
      <c r="D117" s="576"/>
      <c r="E117" s="294">
        <f>E115+E116</f>
        <v>1523874.87</v>
      </c>
      <c r="F117" s="388" t="str">
        <f>IF(E110/0.95-E110&lt;E113,"Exceeds 5%","")</f>
        <v/>
      </c>
    </row>
    <row r="118" spans="2:6" x14ac:dyDescent="0.2">
      <c r="B118" s="51"/>
      <c r="C118" s="51"/>
      <c r="D118" s="51"/>
      <c r="E118" s="51"/>
    </row>
    <row r="119" spans="2:6" x14ac:dyDescent="0.2">
      <c r="B119" s="574" t="s">
        <v>207</v>
      </c>
      <c r="C119" s="574"/>
      <c r="D119" s="574"/>
      <c r="E119" s="574"/>
    </row>
    <row r="129" spans="3:10" x14ac:dyDescent="0.2">
      <c r="C129" s="48" t="str">
        <f>IF(C110&gt;C112,"See Tab A","")</f>
        <v/>
      </c>
      <c r="D129" s="48" t="str">
        <f>IF(D110&gt;D112,"See Tab C","")</f>
        <v/>
      </c>
      <c r="G129" s="493"/>
      <c r="H129" s="401"/>
      <c r="I129" s="491"/>
      <c r="J129" s="492"/>
    </row>
    <row r="130" spans="3:10" x14ac:dyDescent="0.2">
      <c r="C130" s="48" t="str">
        <f>IF(C111&lt;0,"See Tab B","")</f>
        <v/>
      </c>
      <c r="D130" s="48" t="str">
        <f>IF(D111&lt;0,"See Tab D","")</f>
        <v/>
      </c>
    </row>
    <row r="133" spans="3:10" hidden="1" x14ac:dyDescent="0.2"/>
    <row r="134" spans="3:10" hidden="1" x14ac:dyDescent="0.2"/>
  </sheetData>
  <mergeCells count="5">
    <mergeCell ref="C113:D113"/>
    <mergeCell ref="C114:D114"/>
    <mergeCell ref="B56:E56"/>
    <mergeCell ref="B119:E119"/>
    <mergeCell ref="C117:D117"/>
  </mergeCells>
  <phoneticPr fontId="0" type="noConversion"/>
  <conditionalFormatting sqref="E108">
    <cfRule type="cellIs" dxfId="160" priority="2" stopIfTrue="1" operator="greaterThan">
      <formula>$E$110*0.1</formula>
    </cfRule>
  </conditionalFormatting>
  <conditionalFormatting sqref="E113">
    <cfRule type="cellIs" dxfId="159" priority="3" stopIfTrue="1" operator="greaterThan">
      <formula>$E$110/0.95-$E$110</formula>
    </cfRule>
  </conditionalFormatting>
  <conditionalFormatting sqref="D108">
    <cfRule type="cellIs" dxfId="158" priority="4" stopIfTrue="1" operator="greaterThan">
      <formula>$D$110*0.1</formula>
    </cfRule>
  </conditionalFormatting>
  <conditionalFormatting sqref="C108">
    <cfRule type="cellIs" dxfId="157" priority="5" stopIfTrue="1" operator="greaterThan">
      <formula>$C$110*0.1</formula>
    </cfRule>
  </conditionalFormatting>
  <conditionalFormatting sqref="C111">
    <cfRule type="cellIs" dxfId="156" priority="6" stopIfTrue="1" operator="lessThan">
      <formula>0</formula>
    </cfRule>
  </conditionalFormatting>
  <conditionalFormatting sqref="D110">
    <cfRule type="cellIs" dxfId="155" priority="7" stopIfTrue="1" operator="greaterThan">
      <formula>$D$112</formula>
    </cfRule>
  </conditionalFormatting>
  <conditionalFormatting sqref="C110">
    <cfRule type="cellIs" dxfId="154" priority="8" stopIfTrue="1" operator="greaterThan">
      <formula>$C$112</formula>
    </cfRule>
  </conditionalFormatting>
  <conditionalFormatting sqref="D51">
    <cfRule type="cellIs" dxfId="153" priority="9" stopIfTrue="1" operator="greaterThan">
      <formula>$D$53*0.1</formula>
    </cfRule>
  </conditionalFormatting>
  <conditionalFormatting sqref="C51">
    <cfRule type="cellIs" dxfId="152" priority="10" stopIfTrue="1" operator="greaterThan">
      <formula>$C$53*0.1</formula>
    </cfRule>
  </conditionalFormatting>
  <conditionalFormatting sqref="E51">
    <cfRule type="cellIs" dxfId="151" priority="11" stopIfTrue="1" operator="greaterThan">
      <formula>$E$53*0.1+E117</formula>
    </cfRule>
  </conditionalFormatting>
  <conditionalFormatting sqref="D111">
    <cfRule type="cellIs" dxfId="150" priority="1" stopIfTrue="1" operator="lessThan">
      <formula>0</formula>
    </cfRule>
  </conditionalFormatting>
  <pageMargins left="1" right="0.5" top="0.81" bottom="0.36" header="0.5" footer="0"/>
  <pageSetup scale="88" fitToHeight="2" orientation="portrait" blackAndWhite="1" r:id="rId1"/>
  <headerFooter alignWithMargins="0">
    <oddHeader xml:space="preserve">&amp;RState of Kansas
County
</oddHeader>
  </headerFooter>
  <rowBreaks count="1" manualBreakCount="1">
    <brk id="56" min="1" max="4" man="1"/>
  </rowBreaks>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423"/>
  <sheetViews>
    <sheetView topLeftCell="A187" zoomScaleNormal="100" workbookViewId="0">
      <selection activeCell="D204" sqref="D204"/>
    </sheetView>
  </sheetViews>
  <sheetFormatPr defaultRowHeight="15.75" x14ac:dyDescent="0.2"/>
  <cols>
    <col min="1" max="1" width="30.77734375" style="48" customWidth="1"/>
    <col min="2" max="3" width="15.77734375" style="48" customWidth="1"/>
    <col min="4" max="4" width="16.109375" style="48" customWidth="1"/>
    <col min="5" max="16384" width="8.88671875" style="48"/>
  </cols>
  <sheetData>
    <row r="1" spans="1:4" x14ac:dyDescent="0.2">
      <c r="A1" s="184" t="str">
        <f>inputPrYr!C2</f>
        <v>Edwards County</v>
      </c>
      <c r="B1" s="51"/>
      <c r="C1" s="258"/>
      <c r="D1" s="51">
        <f>inputPrYr!C4</f>
        <v>2014</v>
      </c>
    </row>
    <row r="2" spans="1:4" x14ac:dyDescent="0.2">
      <c r="A2" s="51"/>
      <c r="B2" s="51"/>
      <c r="C2" s="51"/>
      <c r="D2" s="258"/>
    </row>
    <row r="3" spans="1:4" x14ac:dyDescent="0.2">
      <c r="A3" s="118" t="s">
        <v>153</v>
      </c>
      <c r="B3" s="271"/>
      <c r="C3" s="271"/>
      <c r="D3" s="271"/>
    </row>
    <row r="4" spans="1:4" x14ac:dyDescent="0.2">
      <c r="A4" s="258" t="s">
        <v>75</v>
      </c>
      <c r="B4" s="488" t="s">
        <v>320</v>
      </c>
      <c r="C4" s="489" t="s">
        <v>321</v>
      </c>
      <c r="D4" s="180" t="s">
        <v>322</v>
      </c>
    </row>
    <row r="5" spans="1:4" x14ac:dyDescent="0.2">
      <c r="A5" s="377" t="s">
        <v>286</v>
      </c>
      <c r="B5" s="362" t="str">
        <f>CONCATENATE("Actual for ",D1-2,"")</f>
        <v>Actual for 2012</v>
      </c>
      <c r="C5" s="362" t="str">
        <f>CONCATENATE("Estimate for ",D1-1,"")</f>
        <v>Estimate for 2013</v>
      </c>
      <c r="D5" s="259" t="str">
        <f>CONCATENATE("Year for ",D1,"")</f>
        <v>Year for 2014</v>
      </c>
    </row>
    <row r="6" spans="1:4" x14ac:dyDescent="0.2">
      <c r="A6" s="219" t="s">
        <v>86</v>
      </c>
      <c r="B6" s="93"/>
      <c r="C6" s="93"/>
      <c r="D6" s="93"/>
    </row>
    <row r="7" spans="1:4" x14ac:dyDescent="0.2">
      <c r="A7" s="280" t="s">
        <v>374</v>
      </c>
      <c r="B7" s="93"/>
      <c r="C7" s="93"/>
      <c r="D7" s="93"/>
    </row>
    <row r="8" spans="1:4" x14ac:dyDescent="0.2">
      <c r="A8" s="76" t="s">
        <v>91</v>
      </c>
      <c r="B8" s="263">
        <v>48133</v>
      </c>
      <c r="C8" s="263">
        <v>47000</v>
      </c>
      <c r="D8" s="263">
        <v>48500</v>
      </c>
    </row>
    <row r="9" spans="1:4" x14ac:dyDescent="0.2">
      <c r="A9" s="76" t="s">
        <v>92</v>
      </c>
      <c r="B9" s="263">
        <v>237</v>
      </c>
      <c r="C9" s="263">
        <v>1500</v>
      </c>
      <c r="D9" s="263">
        <v>1500</v>
      </c>
    </row>
    <row r="10" spans="1:4" x14ac:dyDescent="0.2">
      <c r="A10" s="76" t="s">
        <v>93</v>
      </c>
      <c r="B10" s="263"/>
      <c r="C10" s="263">
        <v>500</v>
      </c>
      <c r="D10" s="263">
        <v>500</v>
      </c>
    </row>
    <row r="11" spans="1:4" x14ac:dyDescent="0.2">
      <c r="A11" s="76" t="s">
        <v>94</v>
      </c>
      <c r="B11" s="263"/>
      <c r="C11" s="263"/>
      <c r="D11" s="263"/>
    </row>
    <row r="12" spans="1:4" hidden="1" x14ac:dyDescent="0.2">
      <c r="A12" s="250"/>
      <c r="B12" s="263"/>
      <c r="C12" s="263"/>
      <c r="D12" s="263"/>
    </row>
    <row r="13" spans="1:4" x14ac:dyDescent="0.2">
      <c r="A13" s="258" t="s">
        <v>47</v>
      </c>
      <c r="B13" s="281">
        <f>SUM(B8:B12)</f>
        <v>48370</v>
      </c>
      <c r="C13" s="281">
        <f>SUM(C8:C12)</f>
        <v>49000</v>
      </c>
      <c r="D13" s="281">
        <f>SUM(D8:D12)</f>
        <v>50500</v>
      </c>
    </row>
    <row r="14" spans="1:4" x14ac:dyDescent="0.2">
      <c r="A14" s="280" t="s">
        <v>65</v>
      </c>
      <c r="B14" s="93"/>
      <c r="C14" s="93"/>
      <c r="D14" s="93"/>
    </row>
    <row r="15" spans="1:4" x14ac:dyDescent="0.2">
      <c r="A15" s="76" t="s">
        <v>91</v>
      </c>
      <c r="B15" s="263">
        <v>87971</v>
      </c>
      <c r="C15" s="263">
        <v>85000</v>
      </c>
      <c r="D15" s="263">
        <v>89000</v>
      </c>
    </row>
    <row r="16" spans="1:4" x14ac:dyDescent="0.2">
      <c r="A16" s="76" t="s">
        <v>92</v>
      </c>
      <c r="B16" s="263">
        <v>644</v>
      </c>
      <c r="C16" s="263">
        <v>2500</v>
      </c>
      <c r="D16" s="263">
        <v>4000</v>
      </c>
    </row>
    <row r="17" spans="1:4" x14ac:dyDescent="0.2">
      <c r="A17" s="76" t="s">
        <v>93</v>
      </c>
      <c r="B17" s="263">
        <v>450</v>
      </c>
      <c r="C17" s="263">
        <v>2500</v>
      </c>
      <c r="D17" s="263">
        <v>4000</v>
      </c>
    </row>
    <row r="18" spans="1:4" x14ac:dyDescent="0.2">
      <c r="A18" s="76" t="s">
        <v>94</v>
      </c>
      <c r="B18" s="263"/>
      <c r="C18" s="263"/>
      <c r="D18" s="263"/>
    </row>
    <row r="19" spans="1:4" x14ac:dyDescent="0.2">
      <c r="A19" s="76" t="s">
        <v>385</v>
      </c>
      <c r="B19" s="263">
        <v>-372</v>
      </c>
      <c r="C19" s="263"/>
      <c r="D19" s="263"/>
    </row>
    <row r="20" spans="1:4" x14ac:dyDescent="0.2">
      <c r="A20" s="258" t="s">
        <v>47</v>
      </c>
      <c r="B20" s="281">
        <f>SUM(B15:B19)</f>
        <v>88693</v>
      </c>
      <c r="C20" s="281">
        <f>SUM(C15:C19)</f>
        <v>90000</v>
      </c>
      <c r="D20" s="281">
        <f>SUM(D15:D19)</f>
        <v>97000</v>
      </c>
    </row>
    <row r="21" spans="1:4" x14ac:dyDescent="0.2">
      <c r="A21" s="280" t="s">
        <v>97</v>
      </c>
      <c r="B21" s="93"/>
      <c r="C21" s="93"/>
      <c r="D21" s="93"/>
    </row>
    <row r="22" spans="1:4" x14ac:dyDescent="0.2">
      <c r="A22" s="76" t="s">
        <v>91</v>
      </c>
      <c r="B22" s="263">
        <v>99715</v>
      </c>
      <c r="C22" s="263">
        <v>103500</v>
      </c>
      <c r="D22" s="263">
        <v>106500</v>
      </c>
    </row>
    <row r="23" spans="1:4" x14ac:dyDescent="0.2">
      <c r="A23" s="76" t="s">
        <v>92</v>
      </c>
      <c r="B23" s="263">
        <v>3801</v>
      </c>
      <c r="C23" s="263">
        <v>5500</v>
      </c>
      <c r="D23" s="263">
        <v>5500</v>
      </c>
    </row>
    <row r="24" spans="1:4" x14ac:dyDescent="0.2">
      <c r="A24" s="76" t="s">
        <v>93</v>
      </c>
      <c r="B24" s="263">
        <v>1323</v>
      </c>
      <c r="C24" s="263">
        <v>1000</v>
      </c>
      <c r="D24" s="263">
        <v>1000</v>
      </c>
    </row>
    <row r="25" spans="1:4" x14ac:dyDescent="0.2">
      <c r="A25" s="76" t="s">
        <v>94</v>
      </c>
      <c r="B25" s="263"/>
      <c r="C25" s="263"/>
      <c r="D25" s="263"/>
    </row>
    <row r="26" spans="1:4" x14ac:dyDescent="0.2">
      <c r="A26" s="76"/>
      <c r="B26" s="263"/>
      <c r="C26" s="263"/>
      <c r="D26" s="263"/>
    </row>
    <row r="27" spans="1:4" x14ac:dyDescent="0.2">
      <c r="A27" s="258" t="s">
        <v>47</v>
      </c>
      <c r="B27" s="281">
        <f>SUM(B22:B26)</f>
        <v>104839</v>
      </c>
      <c r="C27" s="281">
        <f>SUM(C22:C26)</f>
        <v>110000</v>
      </c>
      <c r="D27" s="281">
        <f>SUM(D22:D26)</f>
        <v>113000</v>
      </c>
    </row>
    <row r="28" spans="1:4" x14ac:dyDescent="0.2">
      <c r="A28" s="280" t="s">
        <v>375</v>
      </c>
      <c r="B28" s="93"/>
      <c r="C28" s="93"/>
      <c r="D28" s="93"/>
    </row>
    <row r="29" spans="1:4" x14ac:dyDescent="0.2">
      <c r="A29" s="76" t="s">
        <v>91</v>
      </c>
      <c r="B29" s="263">
        <v>35893</v>
      </c>
      <c r="C29" s="263">
        <v>33500</v>
      </c>
      <c r="D29" s="263">
        <v>35000</v>
      </c>
    </row>
    <row r="30" spans="1:4" x14ac:dyDescent="0.2">
      <c r="A30" s="76" t="s">
        <v>92</v>
      </c>
      <c r="B30" s="263">
        <v>27477</v>
      </c>
      <c r="C30" s="263">
        <v>30700</v>
      </c>
      <c r="D30" s="263">
        <v>32000</v>
      </c>
    </row>
    <row r="31" spans="1:4" x14ac:dyDescent="0.2">
      <c r="A31" s="76" t="s">
        <v>93</v>
      </c>
      <c r="B31" s="263">
        <v>1263</v>
      </c>
      <c r="C31" s="263">
        <v>800</v>
      </c>
      <c r="D31" s="263">
        <v>1000</v>
      </c>
    </row>
    <row r="32" spans="1:4" x14ac:dyDescent="0.2">
      <c r="A32" s="76" t="s">
        <v>94</v>
      </c>
      <c r="B32" s="263"/>
      <c r="C32" s="263"/>
      <c r="D32" s="263"/>
    </row>
    <row r="33" spans="1:4" hidden="1" x14ac:dyDescent="0.2">
      <c r="A33" s="76"/>
      <c r="B33" s="263"/>
      <c r="C33" s="263"/>
      <c r="D33" s="263"/>
    </row>
    <row r="34" spans="1:4" x14ac:dyDescent="0.2">
      <c r="A34" s="76"/>
      <c r="B34" s="263"/>
      <c r="C34" s="263"/>
      <c r="D34" s="263"/>
    </row>
    <row r="35" spans="1:4" x14ac:dyDescent="0.2">
      <c r="A35" s="258" t="s">
        <v>47</v>
      </c>
      <c r="B35" s="281">
        <f>SUM(B29:B34)</f>
        <v>64633</v>
      </c>
      <c r="C35" s="281">
        <f>SUM(C29:C34)</f>
        <v>65000</v>
      </c>
      <c r="D35" s="281">
        <f>SUM(D29:D34)</f>
        <v>68000</v>
      </c>
    </row>
    <row r="36" spans="1:4" x14ac:dyDescent="0.2">
      <c r="A36" s="280" t="s">
        <v>104</v>
      </c>
      <c r="B36" s="93"/>
      <c r="C36" s="93"/>
      <c r="D36" s="93"/>
    </row>
    <row r="37" spans="1:4" x14ac:dyDescent="0.2">
      <c r="A37" s="76" t="s">
        <v>91</v>
      </c>
      <c r="B37" s="263">
        <v>63456</v>
      </c>
      <c r="C37" s="263">
        <v>63000</v>
      </c>
      <c r="D37" s="263">
        <v>66650</v>
      </c>
    </row>
    <row r="38" spans="1:4" x14ac:dyDescent="0.2">
      <c r="A38" s="76" t="s">
        <v>92</v>
      </c>
      <c r="B38" s="263">
        <v>1401</v>
      </c>
      <c r="C38" s="263">
        <v>2500</v>
      </c>
      <c r="D38" s="263">
        <v>2625</v>
      </c>
    </row>
    <row r="39" spans="1:4" x14ac:dyDescent="0.2">
      <c r="A39" s="76" t="s">
        <v>93</v>
      </c>
      <c r="B39" s="263">
        <v>3277</v>
      </c>
      <c r="C39" s="263">
        <v>2500</v>
      </c>
      <c r="D39" s="263">
        <v>2625</v>
      </c>
    </row>
    <row r="40" spans="1:4" x14ac:dyDescent="0.2">
      <c r="A40" s="76" t="s">
        <v>94</v>
      </c>
      <c r="B40" s="263">
        <v>450</v>
      </c>
      <c r="C40" s="263">
        <v>1000</v>
      </c>
      <c r="D40" s="263">
        <v>2100</v>
      </c>
    </row>
    <row r="41" spans="1:4" hidden="1" x14ac:dyDescent="0.2">
      <c r="A41" s="265"/>
      <c r="B41" s="263"/>
      <c r="C41" s="263"/>
      <c r="D41" s="263"/>
    </row>
    <row r="42" spans="1:4" x14ac:dyDescent="0.2">
      <c r="A42" s="258" t="s">
        <v>47</v>
      </c>
      <c r="B42" s="281">
        <f>SUM(B37:B41)</f>
        <v>68584</v>
      </c>
      <c r="C42" s="281">
        <f>SUM(C37:C41)</f>
        <v>69000</v>
      </c>
      <c r="D42" s="281">
        <f>SUM(D37:D41)</f>
        <v>74000</v>
      </c>
    </row>
    <row r="43" spans="1:4" x14ac:dyDescent="0.2">
      <c r="A43" s="280" t="s">
        <v>74</v>
      </c>
      <c r="B43" s="93"/>
      <c r="C43" s="93"/>
      <c r="D43" s="93"/>
    </row>
    <row r="44" spans="1:4" x14ac:dyDescent="0.2">
      <c r="A44" s="76" t="s">
        <v>91</v>
      </c>
      <c r="B44" s="263"/>
      <c r="C44" s="263"/>
      <c r="D44" s="263"/>
    </row>
    <row r="45" spans="1:4" x14ac:dyDescent="0.2">
      <c r="A45" s="76" t="s">
        <v>92</v>
      </c>
      <c r="B45" s="263">
        <v>33767</v>
      </c>
      <c r="C45" s="263">
        <v>38000</v>
      </c>
      <c r="D45" s="263">
        <v>44238</v>
      </c>
    </row>
    <row r="46" spans="1:4" x14ac:dyDescent="0.2">
      <c r="A46" s="76" t="s">
        <v>93</v>
      </c>
      <c r="B46" s="263">
        <v>1804</v>
      </c>
      <c r="C46" s="263">
        <v>2400</v>
      </c>
      <c r="D46" s="263">
        <v>2400</v>
      </c>
    </row>
    <row r="47" spans="1:4" x14ac:dyDescent="0.2">
      <c r="A47" s="76" t="s">
        <v>94</v>
      </c>
      <c r="B47" s="263">
        <v>3290</v>
      </c>
      <c r="C47" s="263">
        <v>5000</v>
      </c>
      <c r="D47" s="263">
        <v>5000</v>
      </c>
    </row>
    <row r="48" spans="1:4" x14ac:dyDescent="0.2">
      <c r="A48" s="76" t="s">
        <v>385</v>
      </c>
      <c r="B48" s="263">
        <v>-4086</v>
      </c>
      <c r="C48" s="263">
        <v>-1200</v>
      </c>
      <c r="D48" s="263"/>
    </row>
    <row r="49" spans="1:4" hidden="1" x14ac:dyDescent="0.2">
      <c r="A49" s="76"/>
      <c r="B49" s="263"/>
      <c r="C49" s="263"/>
      <c r="D49" s="263"/>
    </row>
    <row r="50" spans="1:4" x14ac:dyDescent="0.2">
      <c r="A50" s="258" t="s">
        <v>47</v>
      </c>
      <c r="B50" s="281">
        <f>SUM(B44:B49)</f>
        <v>34775</v>
      </c>
      <c r="C50" s="281">
        <f>SUM(C44:C49)</f>
        <v>44200</v>
      </c>
      <c r="D50" s="281">
        <f>SUM(D44:D49)</f>
        <v>51638</v>
      </c>
    </row>
    <row r="51" spans="1:4" x14ac:dyDescent="0.2">
      <c r="A51" s="51"/>
      <c r="B51" s="93"/>
      <c r="C51" s="93"/>
      <c r="D51" s="93"/>
    </row>
    <row r="52" spans="1:4" x14ac:dyDescent="0.2">
      <c r="A52" s="258" t="s">
        <v>226</v>
      </c>
      <c r="B52" s="269">
        <f>B13+B20+B27+B35+B42+B50</f>
        <v>409894</v>
      </c>
      <c r="C52" s="269">
        <f>C13+C20+C27+C35+C42+C50</f>
        <v>427200</v>
      </c>
      <c r="D52" s="269">
        <f>D13+D20+D27+D35+D42+D50</f>
        <v>454138</v>
      </c>
    </row>
    <row r="53" spans="1:4" x14ac:dyDescent="0.2">
      <c r="A53" s="51"/>
      <c r="B53" s="184"/>
      <c r="C53" s="184"/>
      <c r="D53" s="184"/>
    </row>
    <row r="54" spans="1:4" x14ac:dyDescent="0.2">
      <c r="A54" s="577" t="s">
        <v>208</v>
      </c>
      <c r="B54" s="577"/>
      <c r="C54" s="577"/>
      <c r="D54" s="577"/>
    </row>
    <row r="55" spans="1:4" x14ac:dyDescent="0.2">
      <c r="A55" s="51"/>
      <c r="B55" s="184"/>
      <c r="C55" s="184"/>
      <c r="D55" s="184"/>
    </row>
    <row r="56" spans="1:4" x14ac:dyDescent="0.2">
      <c r="A56" s="184" t="str">
        <f>inputPrYr!C2</f>
        <v>Edwards County</v>
      </c>
      <c r="B56" s="184"/>
      <c r="C56" s="50"/>
      <c r="D56" s="282">
        <f>D1</f>
        <v>2014</v>
      </c>
    </row>
    <row r="57" spans="1:4" x14ac:dyDescent="0.2">
      <c r="A57" s="51"/>
      <c r="B57" s="184"/>
      <c r="C57" s="184"/>
      <c r="D57" s="50"/>
    </row>
    <row r="58" spans="1:4" x14ac:dyDescent="0.2">
      <c r="A58" s="270" t="s">
        <v>152</v>
      </c>
      <c r="B58" s="283"/>
      <c r="C58" s="283"/>
      <c r="D58" s="283"/>
    </row>
    <row r="59" spans="1:4" x14ac:dyDescent="0.2">
      <c r="A59" s="51" t="s">
        <v>75</v>
      </c>
      <c r="B59" s="279" t="str">
        <f t="shared" ref="B59:D60" si="0">B4</f>
        <v xml:space="preserve">Prior Year </v>
      </c>
      <c r="C59" s="180" t="str">
        <f t="shared" si="0"/>
        <v xml:space="preserve">Current Year </v>
      </c>
      <c r="D59" s="180" t="str">
        <f t="shared" si="0"/>
        <v xml:space="preserve">Proposed Budget </v>
      </c>
    </row>
    <row r="60" spans="1:4" x14ac:dyDescent="0.2">
      <c r="A60" s="80" t="s">
        <v>90</v>
      </c>
      <c r="B60" s="272" t="str">
        <f t="shared" si="0"/>
        <v>Actual for 2012</v>
      </c>
      <c r="C60" s="272" t="str">
        <f t="shared" si="0"/>
        <v>Estimate for 2013</v>
      </c>
      <c r="D60" s="272" t="str">
        <f t="shared" si="0"/>
        <v>Year for 2014</v>
      </c>
    </row>
    <row r="61" spans="1:4" x14ac:dyDescent="0.2">
      <c r="A61" s="258" t="s">
        <v>86</v>
      </c>
      <c r="B61" s="93"/>
      <c r="C61" s="93"/>
      <c r="D61" s="93"/>
    </row>
    <row r="62" spans="1:4" x14ac:dyDescent="0.2">
      <c r="A62" s="280" t="s">
        <v>376</v>
      </c>
      <c r="B62" s="93"/>
      <c r="C62" s="93"/>
      <c r="D62" s="93"/>
    </row>
    <row r="63" spans="1:4" x14ac:dyDescent="0.2">
      <c r="A63" s="76" t="s">
        <v>91</v>
      </c>
      <c r="B63" s="263"/>
      <c r="C63" s="263"/>
      <c r="D63" s="263"/>
    </row>
    <row r="64" spans="1:4" x14ac:dyDescent="0.2">
      <c r="A64" s="76" t="s">
        <v>92</v>
      </c>
      <c r="B64" s="263">
        <v>139984</v>
      </c>
      <c r="C64" s="263">
        <v>160000</v>
      </c>
      <c r="D64" s="263">
        <v>200000</v>
      </c>
    </row>
    <row r="65" spans="1:4" x14ac:dyDescent="0.2">
      <c r="A65" s="76" t="s">
        <v>93</v>
      </c>
      <c r="B65" s="263">
        <v>30697</v>
      </c>
      <c r="C65" s="263">
        <v>31000</v>
      </c>
      <c r="D65" s="263">
        <v>35000</v>
      </c>
    </row>
    <row r="66" spans="1:4" x14ac:dyDescent="0.2">
      <c r="A66" s="76" t="s">
        <v>94</v>
      </c>
      <c r="B66" s="263">
        <v>1350</v>
      </c>
      <c r="C66" s="263">
        <v>1000</v>
      </c>
      <c r="D66" s="263">
        <v>3000</v>
      </c>
    </row>
    <row r="67" spans="1:4" x14ac:dyDescent="0.2">
      <c r="A67" s="76" t="s">
        <v>386</v>
      </c>
      <c r="B67" s="263">
        <v>13121</v>
      </c>
      <c r="C67" s="263">
        <v>12000</v>
      </c>
      <c r="D67" s="263">
        <v>14000</v>
      </c>
    </row>
    <row r="68" spans="1:4" x14ac:dyDescent="0.2">
      <c r="A68" s="76" t="s">
        <v>385</v>
      </c>
      <c r="B68" s="263">
        <v>-2778</v>
      </c>
      <c r="C68" s="263">
        <v>-1000</v>
      </c>
      <c r="D68" s="263"/>
    </row>
    <row r="69" spans="1:4" x14ac:dyDescent="0.2">
      <c r="A69" s="258" t="s">
        <v>47</v>
      </c>
      <c r="B69" s="281">
        <f>SUM(B63:B68)</f>
        <v>182374</v>
      </c>
      <c r="C69" s="281">
        <f>SUM(C63:C68)</f>
        <v>203000</v>
      </c>
      <c r="D69" s="281">
        <f>SUM(D63:D68)</f>
        <v>252000</v>
      </c>
    </row>
    <row r="70" spans="1:4" x14ac:dyDescent="0.2">
      <c r="A70" s="280" t="s">
        <v>96</v>
      </c>
      <c r="B70" s="93"/>
      <c r="C70" s="93"/>
      <c r="D70" s="93"/>
    </row>
    <row r="71" spans="1:4" x14ac:dyDescent="0.2">
      <c r="A71" s="76" t="s">
        <v>91</v>
      </c>
      <c r="B71" s="263">
        <v>84303</v>
      </c>
      <c r="C71" s="263">
        <v>82200</v>
      </c>
      <c r="D71" s="263">
        <f>111500-15000</f>
        <v>96500</v>
      </c>
    </row>
    <row r="72" spans="1:4" x14ac:dyDescent="0.2">
      <c r="A72" s="76" t="s">
        <v>92</v>
      </c>
      <c r="B72" s="263">
        <v>17586</v>
      </c>
      <c r="C72" s="263">
        <v>15000</v>
      </c>
      <c r="D72" s="263">
        <v>18000</v>
      </c>
    </row>
    <row r="73" spans="1:4" x14ac:dyDescent="0.2">
      <c r="A73" s="76" t="s">
        <v>93</v>
      </c>
      <c r="B73" s="263">
        <v>1299</v>
      </c>
      <c r="C73" s="263">
        <v>2000</v>
      </c>
      <c r="D73" s="263">
        <v>2500</v>
      </c>
    </row>
    <row r="74" spans="1:4" x14ac:dyDescent="0.2">
      <c r="A74" s="76" t="s">
        <v>94</v>
      </c>
      <c r="B74" s="263">
        <v>230</v>
      </c>
      <c r="C74" s="263">
        <v>1000</v>
      </c>
      <c r="D74" s="263">
        <v>1000</v>
      </c>
    </row>
    <row r="75" spans="1:4" x14ac:dyDescent="0.2">
      <c r="A75" s="258" t="s">
        <v>47</v>
      </c>
      <c r="B75" s="275">
        <f>SUM(B71:B74)</f>
        <v>103418</v>
      </c>
      <c r="C75" s="275">
        <f>SUM(C71:C74)</f>
        <v>100200</v>
      </c>
      <c r="D75" s="275">
        <f>SUM(D71:D74)</f>
        <v>118000</v>
      </c>
    </row>
    <row r="76" spans="1:4" x14ac:dyDescent="0.2">
      <c r="A76" s="280" t="s">
        <v>448</v>
      </c>
      <c r="B76" s="93"/>
      <c r="C76" s="93"/>
      <c r="D76" s="93"/>
    </row>
    <row r="77" spans="1:4" x14ac:dyDescent="0.2">
      <c r="A77" s="76" t="s">
        <v>91</v>
      </c>
      <c r="B77" s="263"/>
      <c r="C77" s="263"/>
      <c r="D77" s="263"/>
    </row>
    <row r="78" spans="1:4" x14ac:dyDescent="0.2">
      <c r="A78" s="76" t="s">
        <v>92</v>
      </c>
      <c r="B78" s="263">
        <v>9768</v>
      </c>
      <c r="C78" s="263">
        <v>10000</v>
      </c>
      <c r="D78" s="263">
        <v>11000</v>
      </c>
    </row>
    <row r="79" spans="1:4" x14ac:dyDescent="0.2">
      <c r="A79" s="76" t="s">
        <v>93</v>
      </c>
      <c r="B79" s="263"/>
      <c r="C79" s="263"/>
      <c r="D79" s="263"/>
    </row>
    <row r="80" spans="1:4" x14ac:dyDescent="0.2">
      <c r="A80" s="76" t="s">
        <v>94</v>
      </c>
      <c r="B80" s="263"/>
      <c r="C80" s="263"/>
      <c r="D80" s="263"/>
    </row>
    <row r="81" spans="1:4" x14ac:dyDescent="0.2">
      <c r="A81" s="284" t="s">
        <v>47</v>
      </c>
      <c r="B81" s="281">
        <f>SUM(B77:B80)</f>
        <v>9768</v>
      </c>
      <c r="C81" s="281">
        <f>SUM(C77:C80)</f>
        <v>10000</v>
      </c>
      <c r="D81" s="281">
        <f>SUM(D77:D80)</f>
        <v>11000</v>
      </c>
    </row>
    <row r="82" spans="1:4" x14ac:dyDescent="0.2">
      <c r="A82" s="280" t="s">
        <v>377</v>
      </c>
      <c r="B82" s="93"/>
      <c r="C82" s="93"/>
      <c r="D82" s="93"/>
    </row>
    <row r="83" spans="1:4" x14ac:dyDescent="0.2">
      <c r="A83" s="76" t="s">
        <v>91</v>
      </c>
      <c r="B83" s="263">
        <v>2562</v>
      </c>
      <c r="C83" s="263">
        <v>2500</v>
      </c>
      <c r="D83" s="263">
        <v>2500</v>
      </c>
    </row>
    <row r="84" spans="1:4" x14ac:dyDescent="0.2">
      <c r="A84" s="76" t="s">
        <v>92</v>
      </c>
      <c r="B84" s="263">
        <v>496</v>
      </c>
      <c r="C84" s="263">
        <v>500</v>
      </c>
      <c r="D84" s="263">
        <v>500</v>
      </c>
    </row>
    <row r="85" spans="1:4" x14ac:dyDescent="0.2">
      <c r="A85" s="76" t="s">
        <v>93</v>
      </c>
      <c r="B85" s="263"/>
      <c r="C85" s="263"/>
      <c r="D85" s="263"/>
    </row>
    <row r="86" spans="1:4" x14ac:dyDescent="0.2">
      <c r="A86" s="76" t="s">
        <v>94</v>
      </c>
      <c r="B86" s="263"/>
      <c r="C86" s="263"/>
      <c r="D86" s="263"/>
    </row>
    <row r="87" spans="1:4" x14ac:dyDescent="0.2">
      <c r="A87" s="258" t="s">
        <v>47</v>
      </c>
      <c r="B87" s="275">
        <f>SUM(B83:B86)</f>
        <v>3058</v>
      </c>
      <c r="C87" s="275">
        <f>SUM(C83:C86)</f>
        <v>3000</v>
      </c>
      <c r="D87" s="275">
        <f>SUM(D83:D86)</f>
        <v>3000</v>
      </c>
    </row>
    <row r="88" spans="1:4" x14ac:dyDescent="0.2">
      <c r="A88" s="280" t="s">
        <v>100</v>
      </c>
      <c r="B88" s="93"/>
      <c r="C88" s="93"/>
      <c r="D88" s="93"/>
    </row>
    <row r="89" spans="1:4" x14ac:dyDescent="0.2">
      <c r="A89" s="76" t="s">
        <v>91</v>
      </c>
      <c r="B89" s="263">
        <v>11939</v>
      </c>
      <c r="C89" s="263">
        <v>12000</v>
      </c>
      <c r="D89" s="263">
        <v>12500</v>
      </c>
    </row>
    <row r="90" spans="1:4" x14ac:dyDescent="0.2">
      <c r="A90" s="76" t="s">
        <v>92</v>
      </c>
      <c r="B90" s="263">
        <v>15307</v>
      </c>
      <c r="C90" s="263">
        <v>14500</v>
      </c>
      <c r="D90" s="263">
        <v>19000</v>
      </c>
    </row>
    <row r="91" spans="1:4" x14ac:dyDescent="0.2">
      <c r="A91" s="76" t="s">
        <v>93</v>
      </c>
      <c r="B91" s="263">
        <v>2079</v>
      </c>
      <c r="C91" s="263">
        <v>2500</v>
      </c>
      <c r="D91" s="263">
        <v>2500</v>
      </c>
    </row>
    <row r="92" spans="1:4" x14ac:dyDescent="0.2">
      <c r="A92" s="76" t="s">
        <v>94</v>
      </c>
      <c r="B92" s="263"/>
      <c r="C92" s="263"/>
      <c r="D92" s="263"/>
    </row>
    <row r="93" spans="1:4" x14ac:dyDescent="0.2">
      <c r="A93" s="258" t="s">
        <v>47</v>
      </c>
      <c r="B93" s="275">
        <f>SUM(B89:B92)</f>
        <v>29325</v>
      </c>
      <c r="C93" s="275">
        <f>SUM(C89:C92)</f>
        <v>29000</v>
      </c>
      <c r="D93" s="275">
        <f>SUM(D89:D92)</f>
        <v>34000</v>
      </c>
    </row>
    <row r="94" spans="1:4" x14ac:dyDescent="0.2">
      <c r="A94" s="280" t="s">
        <v>378</v>
      </c>
      <c r="B94" s="93"/>
      <c r="C94" s="93"/>
      <c r="D94" s="93"/>
    </row>
    <row r="95" spans="1:4" x14ac:dyDescent="0.2">
      <c r="A95" s="76" t="s">
        <v>387</v>
      </c>
      <c r="B95" s="263">
        <v>70555</v>
      </c>
      <c r="C95" s="263">
        <v>80000</v>
      </c>
      <c r="D95" s="263">
        <v>85000</v>
      </c>
    </row>
    <row r="96" spans="1:4" hidden="1" x14ac:dyDescent="0.2">
      <c r="A96" s="76"/>
      <c r="B96" s="263"/>
      <c r="C96" s="263"/>
      <c r="D96" s="263"/>
    </row>
    <row r="97" spans="1:4" hidden="1" x14ac:dyDescent="0.2">
      <c r="A97" s="76"/>
      <c r="B97" s="263"/>
      <c r="C97" s="263"/>
      <c r="D97" s="263"/>
    </row>
    <row r="98" spans="1:4" hidden="1" x14ac:dyDescent="0.2">
      <c r="A98" s="250"/>
      <c r="B98" s="263"/>
      <c r="C98" s="263"/>
      <c r="D98" s="263"/>
    </row>
    <row r="99" spans="1:4" x14ac:dyDescent="0.2">
      <c r="A99" s="258" t="s">
        <v>47</v>
      </c>
      <c r="B99" s="275">
        <f>SUM(B95:B98)</f>
        <v>70555</v>
      </c>
      <c r="C99" s="275">
        <f>SUM(C95:C98)</f>
        <v>80000</v>
      </c>
      <c r="D99" s="275">
        <f>SUM(D95:D98)</f>
        <v>85000</v>
      </c>
    </row>
    <row r="100" spans="1:4" x14ac:dyDescent="0.2">
      <c r="A100" s="280" t="s">
        <v>106</v>
      </c>
      <c r="B100" s="93"/>
      <c r="C100" s="93"/>
      <c r="D100" s="93"/>
    </row>
    <row r="101" spans="1:4" x14ac:dyDescent="0.2">
      <c r="A101" s="76" t="s">
        <v>388</v>
      </c>
      <c r="B101" s="263">
        <v>22955</v>
      </c>
      <c r="C101" s="263">
        <v>22955</v>
      </c>
      <c r="D101" s="263">
        <v>22955</v>
      </c>
    </row>
    <row r="102" spans="1:4" hidden="1" x14ac:dyDescent="0.2">
      <c r="A102" s="76"/>
      <c r="B102" s="263"/>
      <c r="C102" s="263"/>
      <c r="D102" s="263"/>
    </row>
    <row r="103" spans="1:4" hidden="1" x14ac:dyDescent="0.2">
      <c r="A103" s="76"/>
      <c r="B103" s="263"/>
      <c r="C103" s="263"/>
      <c r="D103" s="263"/>
    </row>
    <row r="104" spans="1:4" hidden="1" x14ac:dyDescent="0.2">
      <c r="A104" s="76"/>
      <c r="B104" s="263"/>
      <c r="C104" s="263"/>
      <c r="D104" s="263"/>
    </row>
    <row r="105" spans="1:4" x14ac:dyDescent="0.2">
      <c r="A105" s="258" t="s">
        <v>47</v>
      </c>
      <c r="B105" s="275">
        <f>SUM(B101:B104)</f>
        <v>22955</v>
      </c>
      <c r="C105" s="275">
        <f>SUM(C101:C104)</f>
        <v>22955</v>
      </c>
      <c r="D105" s="275">
        <f>SUM(D101:D104)</f>
        <v>22955</v>
      </c>
    </row>
    <row r="106" spans="1:4" x14ac:dyDescent="0.2">
      <c r="A106" s="51"/>
      <c r="B106" s="93"/>
      <c r="C106" s="93"/>
      <c r="D106" s="93"/>
    </row>
    <row r="107" spans="1:4" x14ac:dyDescent="0.2">
      <c r="A107" s="258" t="s">
        <v>227</v>
      </c>
      <c r="B107" s="269">
        <f>+B69+B75+B81+B87+B93+B99+B105</f>
        <v>421453</v>
      </c>
      <c r="C107" s="269">
        <f>+C69+C75+C81+C87+C93+C99+C105</f>
        <v>448155</v>
      </c>
      <c r="D107" s="269">
        <f>+D69+D75+D81+D87+D93+D99+D105</f>
        <v>525955</v>
      </c>
    </row>
    <row r="108" spans="1:4" x14ac:dyDescent="0.2">
      <c r="A108" s="51"/>
      <c r="B108" s="184"/>
      <c r="C108" s="184"/>
      <c r="D108" s="184"/>
    </row>
    <row r="109" spans="1:4" x14ac:dyDescent="0.2">
      <c r="A109" s="577" t="s">
        <v>209</v>
      </c>
      <c r="B109" s="577"/>
      <c r="C109" s="577"/>
      <c r="D109" s="577"/>
    </row>
    <row r="110" spans="1:4" x14ac:dyDescent="0.2">
      <c r="A110" s="184" t="str">
        <f>inputPrYr!C2</f>
        <v>Edwards County</v>
      </c>
      <c r="B110" s="184"/>
      <c r="C110" s="50"/>
      <c r="D110" s="282">
        <f>D1</f>
        <v>2014</v>
      </c>
    </row>
    <row r="111" spans="1:4" x14ac:dyDescent="0.2">
      <c r="A111" s="51"/>
      <c r="B111" s="184"/>
      <c r="C111" s="184"/>
      <c r="D111" s="50"/>
    </row>
    <row r="112" spans="1:4" x14ac:dyDescent="0.2">
      <c r="A112" s="270" t="s">
        <v>152</v>
      </c>
      <c r="B112" s="283"/>
      <c r="C112" s="283"/>
      <c r="D112" s="283"/>
    </row>
    <row r="113" spans="1:4" x14ac:dyDescent="0.2">
      <c r="A113" s="51" t="s">
        <v>75</v>
      </c>
      <c r="B113" s="279" t="str">
        <f t="shared" ref="B113:D114" si="1">B4</f>
        <v xml:space="preserve">Prior Year </v>
      </c>
      <c r="C113" s="180" t="str">
        <f t="shared" si="1"/>
        <v xml:space="preserve">Current Year </v>
      </c>
      <c r="D113" s="180" t="str">
        <f t="shared" si="1"/>
        <v xml:space="preserve">Proposed Budget </v>
      </c>
    </row>
    <row r="114" spans="1:4" x14ac:dyDescent="0.2">
      <c r="A114" s="80" t="s">
        <v>90</v>
      </c>
      <c r="B114" s="272" t="str">
        <f t="shared" si="1"/>
        <v>Actual for 2012</v>
      </c>
      <c r="C114" s="272" t="str">
        <f t="shared" si="1"/>
        <v>Estimate for 2013</v>
      </c>
      <c r="D114" s="272" t="str">
        <f t="shared" si="1"/>
        <v>Year for 2014</v>
      </c>
    </row>
    <row r="115" spans="1:4" x14ac:dyDescent="0.2">
      <c r="A115" s="258" t="s">
        <v>86</v>
      </c>
      <c r="B115" s="93"/>
      <c r="C115" s="93"/>
      <c r="D115" s="93"/>
    </row>
    <row r="116" spans="1:4" x14ac:dyDescent="0.2">
      <c r="A116" s="280" t="s">
        <v>379</v>
      </c>
      <c r="B116" s="93"/>
      <c r="C116" s="93"/>
      <c r="D116" s="93"/>
    </row>
    <row r="117" spans="1:4" x14ac:dyDescent="0.2">
      <c r="A117" s="76" t="s">
        <v>91</v>
      </c>
      <c r="B117" s="263">
        <v>392992</v>
      </c>
      <c r="C117" s="263">
        <v>390000</v>
      </c>
      <c r="D117" s="263">
        <v>413400</v>
      </c>
    </row>
    <row r="118" spans="1:4" x14ac:dyDescent="0.2">
      <c r="A118" s="76" t="s">
        <v>92</v>
      </c>
      <c r="B118" s="263">
        <v>28810</v>
      </c>
      <c r="C118" s="263">
        <v>40000</v>
      </c>
      <c r="D118" s="263">
        <v>49570</v>
      </c>
    </row>
    <row r="119" spans="1:4" x14ac:dyDescent="0.2">
      <c r="A119" s="76" t="s">
        <v>93</v>
      </c>
      <c r="B119" s="263">
        <v>75999</v>
      </c>
      <c r="C119" s="263">
        <v>65000</v>
      </c>
      <c r="D119" s="263">
        <v>79700</v>
      </c>
    </row>
    <row r="120" spans="1:4" x14ac:dyDescent="0.2">
      <c r="A120" s="76" t="s">
        <v>94</v>
      </c>
      <c r="B120" s="263">
        <v>2646</v>
      </c>
      <c r="C120" s="263">
        <v>4000</v>
      </c>
      <c r="D120" s="263">
        <v>3500</v>
      </c>
    </row>
    <row r="121" spans="1:4" x14ac:dyDescent="0.2">
      <c r="A121" s="76" t="s">
        <v>385</v>
      </c>
      <c r="B121" s="263">
        <v>-3678</v>
      </c>
      <c r="C121" s="263">
        <v>-200</v>
      </c>
      <c r="D121" s="263"/>
    </row>
    <row r="122" spans="1:4" x14ac:dyDescent="0.2">
      <c r="A122" s="258" t="s">
        <v>47</v>
      </c>
      <c r="B122" s="275">
        <f>SUM(B117:B121)</f>
        <v>496769</v>
      </c>
      <c r="C122" s="275">
        <f>SUM(C117:C121)</f>
        <v>498800</v>
      </c>
      <c r="D122" s="275">
        <f>SUM(D117:D121)</f>
        <v>546170</v>
      </c>
    </row>
    <row r="123" spans="1:4" x14ac:dyDescent="0.2">
      <c r="A123" s="280" t="s">
        <v>346</v>
      </c>
      <c r="B123" s="93"/>
      <c r="C123" s="93"/>
      <c r="D123" s="93"/>
    </row>
    <row r="124" spans="1:4" x14ac:dyDescent="0.2">
      <c r="A124" s="76" t="s">
        <v>91</v>
      </c>
      <c r="B124" s="263">
        <v>7685</v>
      </c>
      <c r="C124" s="263">
        <v>7500</v>
      </c>
      <c r="D124" s="263">
        <v>7500</v>
      </c>
    </row>
    <row r="125" spans="1:4" x14ac:dyDescent="0.2">
      <c r="A125" s="76" t="s">
        <v>92</v>
      </c>
      <c r="B125" s="263">
        <v>995</v>
      </c>
      <c r="C125" s="263">
        <v>1400</v>
      </c>
      <c r="D125" s="263">
        <v>2000</v>
      </c>
    </row>
    <row r="126" spans="1:4" x14ac:dyDescent="0.2">
      <c r="A126" s="76" t="s">
        <v>93</v>
      </c>
      <c r="B126" s="263"/>
      <c r="C126" s="263"/>
      <c r="D126" s="263"/>
    </row>
    <row r="127" spans="1:4" x14ac:dyDescent="0.2">
      <c r="A127" s="76" t="s">
        <v>94</v>
      </c>
      <c r="B127" s="263"/>
      <c r="C127" s="263"/>
      <c r="D127" s="263"/>
    </row>
    <row r="128" spans="1:4" x14ac:dyDescent="0.2">
      <c r="A128" s="76" t="s">
        <v>385</v>
      </c>
      <c r="B128" s="263"/>
      <c r="C128" s="263"/>
      <c r="D128" s="263"/>
    </row>
    <row r="129" spans="1:4" x14ac:dyDescent="0.2">
      <c r="A129" s="258" t="s">
        <v>47</v>
      </c>
      <c r="B129" s="275">
        <f>SUM(B124:B128)</f>
        <v>8680</v>
      </c>
      <c r="C129" s="275">
        <f>SUM(C124:C128)</f>
        <v>8900</v>
      </c>
      <c r="D129" s="275">
        <f>SUM(D124:D128)</f>
        <v>9500</v>
      </c>
    </row>
    <row r="130" spans="1:4" x14ac:dyDescent="0.2">
      <c r="A130" s="280" t="s">
        <v>434</v>
      </c>
      <c r="B130" s="93"/>
      <c r="C130" s="93"/>
      <c r="D130" s="93"/>
    </row>
    <row r="131" spans="1:4" x14ac:dyDescent="0.2">
      <c r="A131" s="76" t="s">
        <v>435</v>
      </c>
      <c r="B131" s="263">
        <v>-1443</v>
      </c>
      <c r="C131" s="263"/>
      <c r="D131" s="263"/>
    </row>
    <row r="132" spans="1:4" hidden="1" x14ac:dyDescent="0.2">
      <c r="A132" s="76"/>
      <c r="B132" s="263"/>
      <c r="C132" s="263"/>
      <c r="D132" s="263"/>
    </row>
    <row r="133" spans="1:4" hidden="1" x14ac:dyDescent="0.2">
      <c r="A133" s="76"/>
      <c r="B133" s="263"/>
      <c r="C133" s="263"/>
      <c r="D133" s="263"/>
    </row>
    <row r="134" spans="1:4" hidden="1" x14ac:dyDescent="0.2">
      <c r="A134" s="76"/>
      <c r="B134" s="263"/>
      <c r="C134" s="263"/>
      <c r="D134" s="263"/>
    </row>
    <row r="135" spans="1:4" hidden="1" x14ac:dyDescent="0.2">
      <c r="A135" s="76"/>
      <c r="B135" s="263"/>
      <c r="C135" s="263"/>
      <c r="D135" s="263"/>
    </row>
    <row r="136" spans="1:4" x14ac:dyDescent="0.2">
      <c r="A136" s="258" t="s">
        <v>47</v>
      </c>
      <c r="B136" s="275">
        <f>SUM(B131:B135)</f>
        <v>-1443</v>
      </c>
      <c r="C136" s="275">
        <f>SUM(C131:C135)</f>
        <v>0</v>
      </c>
      <c r="D136" s="275">
        <f>SUM(D131:D135)</f>
        <v>0</v>
      </c>
    </row>
    <row r="137" spans="1:4" hidden="1" x14ac:dyDescent="0.2">
      <c r="A137" s="76"/>
      <c r="B137" s="263"/>
      <c r="C137" s="263"/>
      <c r="D137" s="263"/>
    </row>
    <row r="138" spans="1:4" hidden="1" x14ac:dyDescent="0.2">
      <c r="A138" s="76"/>
      <c r="B138" s="263"/>
      <c r="C138" s="263"/>
      <c r="D138" s="263"/>
    </row>
    <row r="139" spans="1:4" hidden="1" x14ac:dyDescent="0.2">
      <c r="A139" s="76"/>
      <c r="B139" s="263"/>
      <c r="C139" s="263"/>
      <c r="D139" s="263"/>
    </row>
    <row r="140" spans="1:4" hidden="1" x14ac:dyDescent="0.2">
      <c r="A140" s="258" t="s">
        <v>47</v>
      </c>
      <c r="B140" s="275">
        <f>SUM(B137:B139)</f>
        <v>0</v>
      </c>
      <c r="C140" s="275">
        <f>SUM(C137:C139)</f>
        <v>0</v>
      </c>
      <c r="D140" s="275">
        <f>SUM(D137:D139)</f>
        <v>0</v>
      </c>
    </row>
    <row r="141" spans="1:4" x14ac:dyDescent="0.2">
      <c r="A141" s="280" t="s">
        <v>95</v>
      </c>
      <c r="B141" s="93"/>
      <c r="C141" s="93"/>
      <c r="D141" s="93"/>
    </row>
    <row r="142" spans="1:4" x14ac:dyDescent="0.2">
      <c r="A142" s="76" t="s">
        <v>389</v>
      </c>
      <c r="B142" s="263">
        <v>67332</v>
      </c>
      <c r="C142" s="263">
        <v>73332</v>
      </c>
      <c r="D142" s="263">
        <v>83868</v>
      </c>
    </row>
    <row r="143" spans="1:4" ht="17.25" hidden="1" customHeight="1" x14ac:dyDescent="0.2">
      <c r="A143" s="76"/>
      <c r="B143" s="263"/>
      <c r="C143" s="263"/>
      <c r="D143" s="263"/>
    </row>
    <row r="144" spans="1:4" ht="17.25" hidden="1" customHeight="1" x14ac:dyDescent="0.2">
      <c r="A144" s="76"/>
      <c r="B144" s="263"/>
      <c r="C144" s="263"/>
      <c r="D144" s="263"/>
    </row>
    <row r="145" spans="1:4" hidden="1" x14ac:dyDescent="0.2">
      <c r="A145" s="76"/>
      <c r="B145" s="263"/>
      <c r="C145" s="263"/>
      <c r="D145" s="263"/>
    </row>
    <row r="146" spans="1:4" hidden="1" x14ac:dyDescent="0.2">
      <c r="A146" s="76"/>
      <c r="B146" s="263"/>
      <c r="C146" s="263"/>
      <c r="D146" s="263"/>
    </row>
    <row r="147" spans="1:4" x14ac:dyDescent="0.2">
      <c r="A147" s="258" t="s">
        <v>47</v>
      </c>
      <c r="B147" s="275">
        <f>SUM(B142:B146)</f>
        <v>67332</v>
      </c>
      <c r="C147" s="275">
        <f>SUM(C142:C146)</f>
        <v>73332</v>
      </c>
      <c r="D147" s="275">
        <f>SUM(D142:D146)</f>
        <v>83868</v>
      </c>
    </row>
    <row r="148" spans="1:4" x14ac:dyDescent="0.2">
      <c r="A148" s="280" t="s">
        <v>67</v>
      </c>
      <c r="B148" s="93"/>
      <c r="C148" s="93"/>
      <c r="D148" s="93"/>
    </row>
    <row r="149" spans="1:4" x14ac:dyDescent="0.2">
      <c r="A149" s="76" t="s">
        <v>390</v>
      </c>
      <c r="B149" s="263">
        <v>26400</v>
      </c>
      <c r="C149" s="263">
        <v>26400</v>
      </c>
      <c r="D149" s="263">
        <v>26000</v>
      </c>
    </row>
    <row r="150" spans="1:4" hidden="1" x14ac:dyDescent="0.2">
      <c r="A150" s="76"/>
      <c r="B150" s="263"/>
      <c r="C150" s="263"/>
      <c r="D150" s="263"/>
    </row>
    <row r="151" spans="1:4" hidden="1" x14ac:dyDescent="0.2">
      <c r="A151" s="76"/>
      <c r="B151" s="263"/>
      <c r="C151" s="263"/>
      <c r="D151" s="263"/>
    </row>
    <row r="152" spans="1:4" hidden="1" x14ac:dyDescent="0.2">
      <c r="A152" s="76"/>
      <c r="B152" s="263"/>
      <c r="C152" s="263"/>
      <c r="D152" s="263"/>
    </row>
    <row r="153" spans="1:4" x14ac:dyDescent="0.2">
      <c r="A153" s="258" t="s">
        <v>47</v>
      </c>
      <c r="B153" s="275">
        <f>SUM(B149:B152)</f>
        <v>26400</v>
      </c>
      <c r="C153" s="275">
        <f>SUM(C149:C152)</f>
        <v>26400</v>
      </c>
      <c r="D153" s="275">
        <f>SUM(D149:D152)</f>
        <v>26000</v>
      </c>
    </row>
    <row r="154" spans="1:4" x14ac:dyDescent="0.2">
      <c r="A154" s="280" t="s">
        <v>103</v>
      </c>
      <c r="B154" s="93"/>
      <c r="C154" s="93"/>
      <c r="D154" s="93"/>
    </row>
    <row r="155" spans="1:4" x14ac:dyDescent="0.2">
      <c r="A155" s="76" t="s">
        <v>390</v>
      </c>
      <c r="B155" s="263">
        <v>31500</v>
      </c>
      <c r="C155" s="263">
        <v>31500</v>
      </c>
      <c r="D155" s="263">
        <v>31500</v>
      </c>
    </row>
    <row r="156" spans="1:4" x14ac:dyDescent="0.2">
      <c r="A156" s="76"/>
      <c r="B156" s="263"/>
      <c r="C156" s="263"/>
      <c r="D156" s="263"/>
    </row>
    <row r="157" spans="1:4" x14ac:dyDescent="0.2">
      <c r="A157" s="76"/>
      <c r="B157" s="263"/>
      <c r="C157" s="263"/>
      <c r="D157" s="263"/>
    </row>
    <row r="158" spans="1:4" x14ac:dyDescent="0.2">
      <c r="A158" s="76"/>
      <c r="B158" s="263"/>
      <c r="C158" s="263"/>
      <c r="D158" s="263"/>
    </row>
    <row r="159" spans="1:4" x14ac:dyDescent="0.2">
      <c r="A159" s="258" t="s">
        <v>47</v>
      </c>
      <c r="B159" s="275">
        <f>SUM(B155:B158)</f>
        <v>31500</v>
      </c>
      <c r="C159" s="275">
        <f>SUM(C155:C158)</f>
        <v>31500</v>
      </c>
      <c r="D159" s="275">
        <f>SUM(D155:D158)</f>
        <v>31500</v>
      </c>
    </row>
    <row r="160" spans="1:4" x14ac:dyDescent="0.2">
      <c r="A160" s="280" t="s">
        <v>380</v>
      </c>
      <c r="B160" s="93"/>
      <c r="C160" s="93"/>
      <c r="D160" s="93"/>
    </row>
    <row r="161" spans="1:4" x14ac:dyDescent="0.2">
      <c r="A161" s="76" t="s">
        <v>91</v>
      </c>
      <c r="B161" s="263"/>
      <c r="C161" s="263"/>
      <c r="D161" s="263"/>
    </row>
    <row r="162" spans="1:4" x14ac:dyDescent="0.2">
      <c r="A162" s="76" t="s">
        <v>92</v>
      </c>
      <c r="B162" s="263">
        <v>11634</v>
      </c>
      <c r="C162" s="263">
        <v>13000</v>
      </c>
      <c r="D162" s="263">
        <v>14000</v>
      </c>
    </row>
    <row r="163" spans="1:4" x14ac:dyDescent="0.2">
      <c r="A163" s="76" t="s">
        <v>93</v>
      </c>
      <c r="B163" s="263">
        <v>3462</v>
      </c>
      <c r="C163" s="263">
        <v>3000</v>
      </c>
      <c r="D163" s="263">
        <v>3000</v>
      </c>
    </row>
    <row r="164" spans="1:4" x14ac:dyDescent="0.2">
      <c r="A164" s="76" t="s">
        <v>94</v>
      </c>
      <c r="B164" s="263">
        <v>183</v>
      </c>
      <c r="C164" s="263"/>
      <c r="D164" s="263"/>
    </row>
    <row r="165" spans="1:4" x14ac:dyDescent="0.2">
      <c r="A165" s="76"/>
      <c r="B165" s="263"/>
      <c r="C165" s="263"/>
      <c r="D165" s="263"/>
    </row>
    <row r="166" spans="1:4" hidden="1" x14ac:dyDescent="0.2">
      <c r="A166" s="76"/>
      <c r="B166" s="263"/>
      <c r="C166" s="263"/>
      <c r="D166" s="263"/>
    </row>
    <row r="167" spans="1:4" hidden="1" x14ac:dyDescent="0.2">
      <c r="A167" s="76"/>
      <c r="B167" s="263"/>
      <c r="C167" s="263"/>
      <c r="D167" s="263"/>
    </row>
    <row r="168" spans="1:4" hidden="1" x14ac:dyDescent="0.2">
      <c r="A168" s="76"/>
      <c r="B168" s="263"/>
      <c r="C168" s="263"/>
      <c r="D168" s="263"/>
    </row>
    <row r="169" spans="1:4" x14ac:dyDescent="0.2">
      <c r="A169" s="258" t="s">
        <v>47</v>
      </c>
      <c r="B169" s="275">
        <f>SUM(B161:B168)</f>
        <v>15279</v>
      </c>
      <c r="C169" s="275">
        <f>SUM(C161:C168)</f>
        <v>16000</v>
      </c>
      <c r="D169" s="275">
        <f>SUM(D161:D168)</f>
        <v>17000</v>
      </c>
    </row>
    <row r="170" spans="1:4" x14ac:dyDescent="0.2">
      <c r="A170" s="280"/>
      <c r="B170" s="93"/>
      <c r="C170" s="93"/>
      <c r="D170" s="93"/>
    </row>
    <row r="171" spans="1:4" x14ac:dyDescent="0.2">
      <c r="A171" s="76"/>
      <c r="B171" s="263"/>
      <c r="C171" s="263"/>
      <c r="D171" s="263"/>
    </row>
    <row r="172" spans="1:4" hidden="1" x14ac:dyDescent="0.2">
      <c r="A172" s="76"/>
      <c r="B172" s="263"/>
      <c r="C172" s="263"/>
      <c r="D172" s="263"/>
    </row>
    <row r="173" spans="1:4" hidden="1" x14ac:dyDescent="0.2">
      <c r="A173" s="76"/>
      <c r="B173" s="263"/>
      <c r="C173" s="263"/>
      <c r="D173" s="263"/>
    </row>
    <row r="174" spans="1:4" hidden="1" x14ac:dyDescent="0.2">
      <c r="A174" s="76"/>
      <c r="B174" s="263"/>
      <c r="C174" s="263"/>
      <c r="D174" s="263"/>
    </row>
    <row r="175" spans="1:4" x14ac:dyDescent="0.2">
      <c r="A175" s="258" t="s">
        <v>47</v>
      </c>
      <c r="B175" s="275">
        <f>SUM(B171:B174)</f>
        <v>0</v>
      </c>
      <c r="C175" s="275">
        <f>SUM(C171:C174)</f>
        <v>0</v>
      </c>
      <c r="D175" s="275">
        <f>SUM(D171:D174)</f>
        <v>0</v>
      </c>
    </row>
    <row r="176" spans="1:4" x14ac:dyDescent="0.2">
      <c r="A176" s="258"/>
      <c r="B176" s="93"/>
      <c r="C176" s="93"/>
      <c r="D176" s="93"/>
    </row>
    <row r="177" spans="1:4" x14ac:dyDescent="0.2">
      <c r="A177" s="258" t="s">
        <v>228</v>
      </c>
      <c r="B177" s="269">
        <f>+B122+B129+B136+B147+B153+B159+B169+B175</f>
        <v>644517</v>
      </c>
      <c r="C177" s="269">
        <f>+C122+C129+C136+C147+C153+C159+C169+C175</f>
        <v>654932</v>
      </c>
      <c r="D177" s="269">
        <f>+D122+D129+D136+D147+D153+D159+D169+D175</f>
        <v>714038</v>
      </c>
    </row>
    <row r="178" spans="1:4" x14ac:dyDescent="0.2">
      <c r="A178" s="51"/>
      <c r="B178" s="184"/>
      <c r="C178" s="184"/>
      <c r="D178" s="184"/>
    </row>
    <row r="179" spans="1:4" x14ac:dyDescent="0.2">
      <c r="A179" s="577" t="s">
        <v>210</v>
      </c>
      <c r="B179" s="577"/>
      <c r="C179" s="577"/>
      <c r="D179" s="577"/>
    </row>
    <row r="180" spans="1:4" x14ac:dyDescent="0.2">
      <c r="A180" s="184" t="str">
        <f>inputPrYr!C2</f>
        <v>Edwards County</v>
      </c>
      <c r="B180" s="184"/>
      <c r="C180" s="50"/>
      <c r="D180" s="282">
        <f>D1</f>
        <v>2014</v>
      </c>
    </row>
    <row r="181" spans="1:4" x14ac:dyDescent="0.2">
      <c r="A181" s="51"/>
      <c r="B181" s="184"/>
      <c r="C181" s="184"/>
      <c r="D181" s="50"/>
    </row>
    <row r="182" spans="1:4" x14ac:dyDescent="0.2">
      <c r="A182" s="270" t="s">
        <v>152</v>
      </c>
      <c r="B182" s="283"/>
      <c r="C182" s="283"/>
      <c r="D182" s="283"/>
    </row>
    <row r="183" spans="1:4" x14ac:dyDescent="0.2">
      <c r="A183" s="51" t="s">
        <v>75</v>
      </c>
      <c r="B183" s="279" t="str">
        <f t="shared" ref="B183:D184" si="2">B4</f>
        <v xml:space="preserve">Prior Year </v>
      </c>
      <c r="C183" s="180" t="str">
        <f t="shared" si="2"/>
        <v xml:space="preserve">Current Year </v>
      </c>
      <c r="D183" s="180" t="str">
        <f t="shared" si="2"/>
        <v xml:space="preserve">Proposed Budget </v>
      </c>
    </row>
    <row r="184" spans="1:4" x14ac:dyDescent="0.2">
      <c r="A184" s="80" t="s">
        <v>90</v>
      </c>
      <c r="B184" s="272" t="str">
        <f t="shared" si="2"/>
        <v>Actual for 2012</v>
      </c>
      <c r="C184" s="272" t="str">
        <f t="shared" si="2"/>
        <v>Estimate for 2013</v>
      </c>
      <c r="D184" s="272" t="str">
        <f t="shared" si="2"/>
        <v>Year for 2014</v>
      </c>
    </row>
    <row r="185" spans="1:4" x14ac:dyDescent="0.2">
      <c r="A185" s="258" t="s">
        <v>86</v>
      </c>
      <c r="B185" s="93"/>
      <c r="C185" s="93"/>
      <c r="D185" s="93"/>
    </row>
    <row r="186" spans="1:4" x14ac:dyDescent="0.2">
      <c r="A186" s="280" t="s">
        <v>449</v>
      </c>
      <c r="B186" s="93"/>
      <c r="C186" s="93"/>
      <c r="D186" s="93"/>
    </row>
    <row r="187" spans="1:4" x14ac:dyDescent="0.2">
      <c r="A187" s="76" t="s">
        <v>91</v>
      </c>
      <c r="B187" s="263">
        <v>46615</v>
      </c>
      <c r="C187" s="263">
        <v>47000</v>
      </c>
      <c r="D187" s="263">
        <v>48000</v>
      </c>
    </row>
    <row r="188" spans="1:4" x14ac:dyDescent="0.2">
      <c r="A188" s="76" t="s">
        <v>92</v>
      </c>
      <c r="B188" s="263">
        <v>68563</v>
      </c>
      <c r="C188" s="263">
        <v>70000</v>
      </c>
      <c r="D188" s="263">
        <v>98000</v>
      </c>
    </row>
    <row r="189" spans="1:4" x14ac:dyDescent="0.2">
      <c r="A189" s="76" t="s">
        <v>93</v>
      </c>
      <c r="B189" s="263">
        <v>20233</v>
      </c>
      <c r="C189" s="263">
        <v>19050</v>
      </c>
      <c r="D189" s="263">
        <v>25500</v>
      </c>
    </row>
    <row r="190" spans="1:4" x14ac:dyDescent="0.2">
      <c r="A190" s="76" t="s">
        <v>94</v>
      </c>
      <c r="B190" s="263">
        <v>8222</v>
      </c>
      <c r="C190" s="263">
        <v>5000</v>
      </c>
      <c r="D190" s="263">
        <v>20000</v>
      </c>
    </row>
    <row r="191" spans="1:4" x14ac:dyDescent="0.2">
      <c r="A191" s="76" t="s">
        <v>385</v>
      </c>
      <c r="B191" s="358"/>
      <c r="C191" s="358"/>
      <c r="D191" s="358"/>
    </row>
    <row r="192" spans="1:4" x14ac:dyDescent="0.2">
      <c r="A192" s="258" t="s">
        <v>47</v>
      </c>
      <c r="B192" s="275">
        <f>SUM(B187:B191)</f>
        <v>143633</v>
      </c>
      <c r="C192" s="275">
        <f>SUM(C187:C191)</f>
        <v>141050</v>
      </c>
      <c r="D192" s="275">
        <f>SUM(D187:D191)</f>
        <v>191500</v>
      </c>
    </row>
    <row r="193" spans="1:4" x14ac:dyDescent="0.2">
      <c r="A193" s="280" t="s">
        <v>381</v>
      </c>
      <c r="B193" s="93"/>
      <c r="C193" s="93"/>
      <c r="D193" s="93"/>
    </row>
    <row r="194" spans="1:4" x14ac:dyDescent="0.2">
      <c r="A194" s="76" t="s">
        <v>391</v>
      </c>
      <c r="B194" s="263">
        <v>39000</v>
      </c>
      <c r="C194" s="263">
        <v>0</v>
      </c>
      <c r="D194" s="263">
        <v>46000</v>
      </c>
    </row>
    <row r="195" spans="1:4" hidden="1" x14ac:dyDescent="0.2">
      <c r="A195" s="76"/>
      <c r="B195" s="263"/>
      <c r="C195" s="263"/>
      <c r="D195" s="263"/>
    </row>
    <row r="196" spans="1:4" hidden="1" x14ac:dyDescent="0.2">
      <c r="A196" s="76"/>
      <c r="B196" s="263"/>
      <c r="C196" s="263"/>
      <c r="D196" s="263"/>
    </row>
    <row r="197" spans="1:4" hidden="1" x14ac:dyDescent="0.2">
      <c r="A197" s="76"/>
      <c r="B197" s="263"/>
      <c r="C197" s="263"/>
      <c r="D197" s="263"/>
    </row>
    <row r="198" spans="1:4" x14ac:dyDescent="0.2">
      <c r="A198" s="258" t="s">
        <v>47</v>
      </c>
      <c r="B198" s="275">
        <f>SUM(B194:B197)</f>
        <v>39000</v>
      </c>
      <c r="C198" s="275">
        <f>SUM(C194:C197)</f>
        <v>0</v>
      </c>
      <c r="D198" s="275">
        <f>SUM(D194:D197)</f>
        <v>46000</v>
      </c>
    </row>
    <row r="199" spans="1:4" x14ac:dyDescent="0.2">
      <c r="A199" s="280" t="s">
        <v>382</v>
      </c>
      <c r="B199" s="93"/>
      <c r="C199" s="93"/>
      <c r="D199" s="93"/>
    </row>
    <row r="200" spans="1:4" x14ac:dyDescent="0.2">
      <c r="A200" s="76" t="s">
        <v>392</v>
      </c>
      <c r="B200" s="263">
        <v>61000</v>
      </c>
      <c r="C200" s="263">
        <v>0</v>
      </c>
      <c r="D200" s="263">
        <v>46000</v>
      </c>
    </row>
    <row r="201" spans="1:4" hidden="1" x14ac:dyDescent="0.2">
      <c r="A201" s="76"/>
      <c r="B201" s="263"/>
      <c r="C201" s="263"/>
      <c r="D201" s="263"/>
    </row>
    <row r="202" spans="1:4" hidden="1" x14ac:dyDescent="0.2">
      <c r="A202" s="76"/>
      <c r="B202" s="263"/>
      <c r="C202" s="263"/>
      <c r="D202" s="263"/>
    </row>
    <row r="203" spans="1:4" hidden="1" x14ac:dyDescent="0.2">
      <c r="A203" s="76"/>
      <c r="B203" s="263"/>
      <c r="C203" s="263"/>
      <c r="D203" s="263"/>
    </row>
    <row r="204" spans="1:4" x14ac:dyDescent="0.2">
      <c r="A204" s="258" t="s">
        <v>47</v>
      </c>
      <c r="B204" s="275">
        <f>SUM(B200:B203)</f>
        <v>61000</v>
      </c>
      <c r="C204" s="275">
        <f>SUM(C200:C203)</f>
        <v>0</v>
      </c>
      <c r="D204" s="275">
        <f>SUM(D200:D203)</f>
        <v>46000</v>
      </c>
    </row>
    <row r="205" spans="1:4" x14ac:dyDescent="0.2">
      <c r="A205" s="280" t="s">
        <v>383</v>
      </c>
      <c r="B205" s="93"/>
      <c r="C205" s="93"/>
      <c r="D205" s="93"/>
    </row>
    <row r="206" spans="1:4" x14ac:dyDescent="0.2">
      <c r="A206" s="76" t="s">
        <v>392</v>
      </c>
      <c r="B206" s="263">
        <v>40000</v>
      </c>
      <c r="C206" s="263">
        <v>40000</v>
      </c>
      <c r="D206" s="263">
        <v>40000</v>
      </c>
    </row>
    <row r="207" spans="1:4" hidden="1" x14ac:dyDescent="0.2">
      <c r="A207" s="76"/>
      <c r="B207" s="263"/>
      <c r="C207" s="263"/>
      <c r="D207" s="263"/>
    </row>
    <row r="208" spans="1:4" hidden="1" x14ac:dyDescent="0.2">
      <c r="A208" s="76"/>
      <c r="B208" s="263"/>
      <c r="C208" s="263"/>
      <c r="D208" s="263"/>
    </row>
    <row r="209" spans="1:4" hidden="1" x14ac:dyDescent="0.2">
      <c r="A209" s="76"/>
      <c r="B209" s="263"/>
      <c r="C209" s="263"/>
      <c r="D209" s="263"/>
    </row>
    <row r="210" spans="1:4" x14ac:dyDescent="0.2">
      <c r="A210" s="258" t="s">
        <v>47</v>
      </c>
      <c r="B210" s="275">
        <f>SUM(B206:B209)</f>
        <v>40000</v>
      </c>
      <c r="C210" s="275">
        <f>SUM(C206:C209)</f>
        <v>40000</v>
      </c>
      <c r="D210" s="275">
        <f>SUM(D206:D209)</f>
        <v>40000</v>
      </c>
    </row>
    <row r="211" spans="1:4" x14ac:dyDescent="0.2">
      <c r="A211" s="280" t="s">
        <v>380</v>
      </c>
      <c r="B211" s="93"/>
      <c r="C211" s="93"/>
      <c r="D211" s="93"/>
    </row>
    <row r="212" spans="1:4" x14ac:dyDescent="0.2">
      <c r="A212" s="76" t="s">
        <v>393</v>
      </c>
      <c r="B212" s="263">
        <v>10870</v>
      </c>
      <c r="C212" s="263">
        <v>10870</v>
      </c>
      <c r="D212" s="263">
        <v>10870</v>
      </c>
    </row>
    <row r="213" spans="1:4" hidden="1" x14ac:dyDescent="0.2">
      <c r="A213" s="76"/>
      <c r="B213" s="263"/>
      <c r="C213" s="263"/>
      <c r="D213" s="263"/>
    </row>
    <row r="214" spans="1:4" hidden="1" x14ac:dyDescent="0.2">
      <c r="A214" s="76"/>
      <c r="B214" s="263"/>
      <c r="C214" s="263"/>
      <c r="D214" s="263"/>
    </row>
    <row r="215" spans="1:4" hidden="1" x14ac:dyDescent="0.2">
      <c r="A215" s="76"/>
      <c r="B215" s="263"/>
      <c r="C215" s="263"/>
      <c r="D215" s="263"/>
    </row>
    <row r="216" spans="1:4" x14ac:dyDescent="0.2">
      <c r="A216" s="258" t="s">
        <v>47</v>
      </c>
      <c r="B216" s="93">
        <f>SUM(B212:B215)</f>
        <v>10870</v>
      </c>
      <c r="C216" s="93">
        <f>SUM(C212:C215)</f>
        <v>10870</v>
      </c>
      <c r="D216" s="93">
        <f>SUM(D212:D215)</f>
        <v>10870</v>
      </c>
    </row>
    <row r="217" spans="1:4" x14ac:dyDescent="0.2">
      <c r="A217" s="280" t="s">
        <v>102</v>
      </c>
      <c r="B217" s="93"/>
      <c r="C217" s="93"/>
      <c r="D217" s="93"/>
    </row>
    <row r="218" spans="1:4" x14ac:dyDescent="0.2">
      <c r="A218" s="76" t="s">
        <v>393</v>
      </c>
      <c r="B218" s="263">
        <v>113500</v>
      </c>
      <c r="C218" s="263">
        <v>113500</v>
      </c>
      <c r="D218" s="263">
        <v>113500</v>
      </c>
    </row>
    <row r="219" spans="1:4" hidden="1" x14ac:dyDescent="0.2">
      <c r="A219" s="76"/>
      <c r="B219" s="263"/>
      <c r="C219" s="263"/>
      <c r="D219" s="263"/>
    </row>
    <row r="220" spans="1:4" hidden="1" x14ac:dyDescent="0.2">
      <c r="A220" s="76"/>
      <c r="B220" s="263"/>
      <c r="C220" s="263"/>
      <c r="D220" s="263"/>
    </row>
    <row r="221" spans="1:4" hidden="1" x14ac:dyDescent="0.2">
      <c r="A221" s="76"/>
      <c r="B221" s="263"/>
      <c r="C221" s="263"/>
      <c r="D221" s="263"/>
    </row>
    <row r="222" spans="1:4" x14ac:dyDescent="0.2">
      <c r="A222" s="258" t="s">
        <v>47</v>
      </c>
      <c r="B222" s="275">
        <f>SUM(B218:B221)</f>
        <v>113500</v>
      </c>
      <c r="C222" s="275">
        <f>SUM(C218:C221)</f>
        <v>113500</v>
      </c>
      <c r="D222" s="275">
        <f>SUM(D218:D221)</f>
        <v>113500</v>
      </c>
    </row>
    <row r="223" spans="1:4" x14ac:dyDescent="0.2">
      <c r="A223" s="280" t="s">
        <v>384</v>
      </c>
      <c r="B223" s="93"/>
      <c r="C223" s="93"/>
      <c r="D223" s="93"/>
    </row>
    <row r="224" spans="1:4" x14ac:dyDescent="0.2">
      <c r="A224" s="76" t="s">
        <v>393</v>
      </c>
      <c r="B224" s="263">
        <v>8000</v>
      </c>
      <c r="C224" s="263">
        <v>8000</v>
      </c>
      <c r="D224" s="263">
        <v>8000</v>
      </c>
    </row>
    <row r="225" spans="1:4" x14ac:dyDescent="0.2">
      <c r="A225" s="76"/>
      <c r="B225" s="263"/>
      <c r="C225" s="263"/>
      <c r="D225" s="263"/>
    </row>
    <row r="226" spans="1:4" x14ac:dyDescent="0.2">
      <c r="A226" s="76"/>
      <c r="B226" s="263"/>
      <c r="C226" s="263"/>
      <c r="D226" s="263"/>
    </row>
    <row r="227" spans="1:4" x14ac:dyDescent="0.2">
      <c r="A227" s="258" t="s">
        <v>47</v>
      </c>
      <c r="B227" s="93">
        <f>SUM(B224:B226)</f>
        <v>8000</v>
      </c>
      <c r="C227" s="93">
        <f>SUM(C224:C226)</f>
        <v>8000</v>
      </c>
      <c r="D227" s="93">
        <f>SUM(D224:D226)</f>
        <v>8000</v>
      </c>
    </row>
    <row r="228" spans="1:4" x14ac:dyDescent="0.2">
      <c r="A228" s="280"/>
      <c r="B228" s="93"/>
      <c r="C228" s="93"/>
      <c r="D228" s="93"/>
    </row>
    <row r="229" spans="1:4" x14ac:dyDescent="0.2">
      <c r="A229" s="76"/>
      <c r="B229" s="263"/>
      <c r="C229" s="263"/>
      <c r="D229" s="263"/>
    </row>
    <row r="230" spans="1:4" x14ac:dyDescent="0.2">
      <c r="A230" s="76"/>
      <c r="B230" s="263"/>
      <c r="C230" s="263"/>
      <c r="D230" s="263"/>
    </row>
    <row r="231" spans="1:4" hidden="1" x14ac:dyDescent="0.2">
      <c r="A231" s="76"/>
      <c r="B231" s="263"/>
      <c r="C231" s="263"/>
      <c r="D231" s="263"/>
    </row>
    <row r="232" spans="1:4" hidden="1" x14ac:dyDescent="0.2">
      <c r="A232" s="76"/>
      <c r="B232" s="263"/>
      <c r="C232" s="263"/>
      <c r="D232" s="263"/>
    </row>
    <row r="233" spans="1:4" hidden="1" x14ac:dyDescent="0.2">
      <c r="A233" s="76"/>
      <c r="B233" s="263"/>
      <c r="C233" s="263"/>
      <c r="D233" s="263"/>
    </row>
    <row r="234" spans="1:4" hidden="1" x14ac:dyDescent="0.2">
      <c r="A234" s="76"/>
      <c r="B234" s="263"/>
      <c r="C234" s="263"/>
      <c r="D234" s="263"/>
    </row>
    <row r="235" spans="1:4" x14ac:dyDescent="0.2">
      <c r="A235" s="258" t="s">
        <v>47</v>
      </c>
      <c r="B235" s="275">
        <f>SUM(B229:B234)</f>
        <v>0</v>
      </c>
      <c r="C235" s="275">
        <f>SUM(C229:C234)</f>
        <v>0</v>
      </c>
      <c r="D235" s="275">
        <f>SUM(D229:D234)</f>
        <v>0</v>
      </c>
    </row>
    <row r="236" spans="1:4" hidden="1" x14ac:dyDescent="0.2">
      <c r="A236" s="280"/>
      <c r="B236" s="93"/>
      <c r="C236" s="93"/>
      <c r="D236" s="93"/>
    </row>
    <row r="237" spans="1:4" hidden="1" x14ac:dyDescent="0.2">
      <c r="A237" s="76"/>
      <c r="B237" s="263"/>
      <c r="C237" s="263"/>
      <c r="D237" s="263"/>
    </row>
    <row r="238" spans="1:4" hidden="1" x14ac:dyDescent="0.2">
      <c r="A238" s="76"/>
      <c r="B238" s="263"/>
      <c r="C238" s="263"/>
      <c r="D238" s="263"/>
    </row>
    <row r="239" spans="1:4" hidden="1" x14ac:dyDescent="0.2">
      <c r="A239" s="76"/>
      <c r="B239" s="263"/>
      <c r="C239" s="263"/>
      <c r="D239" s="263"/>
    </row>
    <row r="240" spans="1:4" hidden="1" x14ac:dyDescent="0.2">
      <c r="A240" s="76"/>
      <c r="B240" s="263"/>
      <c r="C240" s="263"/>
      <c r="D240" s="263"/>
    </row>
    <row r="241" spans="1:4" hidden="1" x14ac:dyDescent="0.2">
      <c r="A241" s="258" t="s">
        <v>47</v>
      </c>
      <c r="B241" s="275">
        <f>SUM(B237:B240)</f>
        <v>0</v>
      </c>
      <c r="C241" s="275">
        <f>SUM(C237:C240)</f>
        <v>0</v>
      </c>
      <c r="D241" s="275">
        <f>SUM(D237:D240)</f>
        <v>0</v>
      </c>
    </row>
    <row r="242" spans="1:4" hidden="1" x14ac:dyDescent="0.2">
      <c r="A242" s="280"/>
      <c r="B242" s="93"/>
      <c r="C242" s="93"/>
      <c r="D242" s="93"/>
    </row>
    <row r="243" spans="1:4" hidden="1" x14ac:dyDescent="0.2">
      <c r="A243" s="76"/>
      <c r="B243" s="263"/>
      <c r="C243" s="263"/>
      <c r="D243" s="263"/>
    </row>
    <row r="244" spans="1:4" hidden="1" x14ac:dyDescent="0.2">
      <c r="A244" s="258" t="s">
        <v>47</v>
      </c>
      <c r="B244" s="275">
        <f>B243</f>
        <v>0</v>
      </c>
      <c r="C244" s="275">
        <f>C243</f>
        <v>0</v>
      </c>
      <c r="D244" s="275">
        <f>D243</f>
        <v>0</v>
      </c>
    </row>
    <row r="245" spans="1:4" hidden="1" x14ac:dyDescent="0.2">
      <c r="A245" s="280"/>
      <c r="B245" s="93"/>
      <c r="C245" s="93"/>
      <c r="D245" s="93"/>
    </row>
    <row r="246" spans="1:4" hidden="1" x14ac:dyDescent="0.2">
      <c r="A246" s="76"/>
      <c r="B246" s="263"/>
      <c r="C246" s="263"/>
      <c r="D246" s="263"/>
    </row>
    <row r="247" spans="1:4" hidden="1" x14ac:dyDescent="0.2">
      <c r="A247" s="76"/>
      <c r="B247" s="263"/>
      <c r="C247" s="263"/>
      <c r="D247" s="263"/>
    </row>
    <row r="248" spans="1:4" hidden="1" x14ac:dyDescent="0.2">
      <c r="A248" s="76"/>
      <c r="B248" s="263"/>
      <c r="C248" s="263"/>
      <c r="D248" s="263"/>
    </row>
    <row r="249" spans="1:4" hidden="1" x14ac:dyDescent="0.2">
      <c r="A249" s="76"/>
      <c r="B249" s="263"/>
      <c r="C249" s="263"/>
      <c r="D249" s="263"/>
    </row>
    <row r="250" spans="1:4" hidden="1" x14ac:dyDescent="0.2">
      <c r="A250" s="258" t="s">
        <v>47</v>
      </c>
      <c r="B250" s="275">
        <f>SUM(B246:B249)</f>
        <v>0</v>
      </c>
      <c r="C250" s="275">
        <f>SUM(C246:C249)</f>
        <v>0</v>
      </c>
      <c r="D250" s="275">
        <f>SUM(D246:D249)</f>
        <v>0</v>
      </c>
    </row>
    <row r="251" spans="1:4" hidden="1" x14ac:dyDescent="0.2">
      <c r="A251" s="280"/>
      <c r="B251" s="93"/>
      <c r="C251" s="93"/>
      <c r="D251" s="93"/>
    </row>
    <row r="252" spans="1:4" hidden="1" x14ac:dyDescent="0.2">
      <c r="A252" s="76"/>
      <c r="B252" s="263"/>
      <c r="C252" s="263"/>
      <c r="D252" s="263"/>
    </row>
    <row r="253" spans="1:4" hidden="1" x14ac:dyDescent="0.2">
      <c r="A253" s="76"/>
      <c r="B253" s="263"/>
      <c r="C253" s="263"/>
      <c r="D253" s="263"/>
    </row>
    <row r="254" spans="1:4" hidden="1" x14ac:dyDescent="0.2">
      <c r="A254" s="76"/>
      <c r="B254" s="263"/>
      <c r="C254" s="263"/>
      <c r="D254" s="263"/>
    </row>
    <row r="255" spans="1:4" hidden="1" x14ac:dyDescent="0.2">
      <c r="A255" s="76"/>
      <c r="B255" s="263"/>
      <c r="C255" s="263"/>
      <c r="D255" s="263"/>
    </row>
    <row r="256" spans="1:4" hidden="1" x14ac:dyDescent="0.2">
      <c r="A256" s="258" t="s">
        <v>47</v>
      </c>
      <c r="B256" s="275">
        <f>SUM(B252:B255)</f>
        <v>0</v>
      </c>
      <c r="C256" s="275">
        <f>SUM(C252:C255)</f>
        <v>0</v>
      </c>
      <c r="D256" s="275">
        <f>SUM(D252:D255)</f>
        <v>0</v>
      </c>
    </row>
    <row r="257" spans="1:4" x14ac:dyDescent="0.2">
      <c r="A257" s="258"/>
      <c r="B257" s="93"/>
      <c r="C257" s="93"/>
      <c r="D257" s="93"/>
    </row>
    <row r="258" spans="1:4" x14ac:dyDescent="0.2">
      <c r="A258" s="258" t="s">
        <v>229</v>
      </c>
      <c r="B258" s="275">
        <f>+B192+B198+B204+B210+B216+B222+B227+B235+B241+B244+B250+B256</f>
        <v>416003</v>
      </c>
      <c r="C258" s="275">
        <f>+C192+C198+C204+C210+C216+C222+C227+C235+C241+C244+C250+C256</f>
        <v>313420</v>
      </c>
      <c r="D258" s="275">
        <f>+D192+D198+D204+D210+D216+D222+D227+D235+D241+D244+D250+D256</f>
        <v>455870</v>
      </c>
    </row>
    <row r="259" spans="1:4" hidden="1" x14ac:dyDescent="0.2">
      <c r="A259" s="51"/>
      <c r="B259" s="184"/>
      <c r="C259" s="184"/>
      <c r="D259" s="184"/>
    </row>
    <row r="260" spans="1:4" hidden="1" x14ac:dyDescent="0.2">
      <c r="A260" s="577" t="s">
        <v>211</v>
      </c>
      <c r="B260" s="577"/>
      <c r="C260" s="577"/>
      <c r="D260" s="577"/>
    </row>
    <row r="261" spans="1:4" hidden="1" x14ac:dyDescent="0.2">
      <c r="A261" s="184" t="str">
        <f>inputPrYr!C2</f>
        <v>Edwards County</v>
      </c>
      <c r="B261" s="184"/>
      <c r="C261" s="50"/>
      <c r="D261" s="282">
        <f>D1</f>
        <v>2014</v>
      </c>
    </row>
    <row r="262" spans="1:4" hidden="1" x14ac:dyDescent="0.2">
      <c r="A262" s="51"/>
      <c r="B262" s="184"/>
      <c r="C262" s="184"/>
      <c r="D262" s="50"/>
    </row>
    <row r="263" spans="1:4" hidden="1" x14ac:dyDescent="0.2">
      <c r="A263" s="270" t="s">
        <v>152</v>
      </c>
      <c r="B263" s="283"/>
      <c r="C263" s="283"/>
      <c r="D263" s="283"/>
    </row>
    <row r="264" spans="1:4" hidden="1" x14ac:dyDescent="0.2">
      <c r="A264" s="51" t="s">
        <v>75</v>
      </c>
      <c r="B264" s="279" t="str">
        <f t="shared" ref="B264:D265" si="3">B4</f>
        <v xml:space="preserve">Prior Year </v>
      </c>
      <c r="C264" s="180" t="str">
        <f t="shared" si="3"/>
        <v xml:space="preserve">Current Year </v>
      </c>
      <c r="D264" s="180" t="str">
        <f t="shared" si="3"/>
        <v xml:space="preserve">Proposed Budget </v>
      </c>
    </row>
    <row r="265" spans="1:4" hidden="1" x14ac:dyDescent="0.2">
      <c r="A265" s="80" t="s">
        <v>90</v>
      </c>
      <c r="B265" s="272" t="str">
        <f t="shared" si="3"/>
        <v>Actual for 2012</v>
      </c>
      <c r="C265" s="272" t="str">
        <f t="shared" si="3"/>
        <v>Estimate for 2013</v>
      </c>
      <c r="D265" s="272" t="str">
        <f t="shared" si="3"/>
        <v>Year for 2014</v>
      </c>
    </row>
    <row r="266" spans="1:4" hidden="1" x14ac:dyDescent="0.2">
      <c r="A266" s="219" t="s">
        <v>86</v>
      </c>
      <c r="B266" s="93"/>
      <c r="C266" s="93"/>
      <c r="D266" s="93"/>
    </row>
    <row r="267" spans="1:4" hidden="1" x14ac:dyDescent="0.2">
      <c r="A267" s="280"/>
      <c r="B267" s="93"/>
      <c r="C267" s="93"/>
      <c r="D267" s="93"/>
    </row>
    <row r="268" spans="1:4" hidden="1" x14ac:dyDescent="0.2">
      <c r="A268" s="76"/>
      <c r="B268" s="263"/>
      <c r="C268" s="263"/>
      <c r="D268" s="263"/>
    </row>
    <row r="269" spans="1:4" hidden="1" x14ac:dyDescent="0.2">
      <c r="A269" s="76"/>
      <c r="B269" s="263"/>
      <c r="C269" s="263"/>
      <c r="D269" s="263"/>
    </row>
    <row r="270" spans="1:4" hidden="1" x14ac:dyDescent="0.2">
      <c r="A270" s="76"/>
      <c r="B270" s="263"/>
      <c r="C270" s="263"/>
      <c r="D270" s="263"/>
    </row>
    <row r="271" spans="1:4" hidden="1" x14ac:dyDescent="0.2">
      <c r="A271" s="76"/>
      <c r="B271" s="263"/>
      <c r="C271" s="263"/>
      <c r="D271" s="263"/>
    </row>
    <row r="272" spans="1:4" hidden="1" x14ac:dyDescent="0.2">
      <c r="A272" s="258" t="s">
        <v>47</v>
      </c>
      <c r="B272" s="275">
        <f>SUM(B268:B271)</f>
        <v>0</v>
      </c>
      <c r="C272" s="275">
        <f>SUM(C268:C271)</f>
        <v>0</v>
      </c>
      <c r="D272" s="275">
        <f>SUM(D268:D271)</f>
        <v>0</v>
      </c>
    </row>
    <row r="273" spans="1:4" hidden="1" x14ac:dyDescent="0.2">
      <c r="A273" s="280"/>
      <c r="B273" s="93"/>
      <c r="C273" s="93"/>
      <c r="D273" s="93"/>
    </row>
    <row r="274" spans="1:4" hidden="1" x14ac:dyDescent="0.2">
      <c r="A274" s="76"/>
      <c r="B274" s="263"/>
      <c r="C274" s="263"/>
      <c r="D274" s="263"/>
    </row>
    <row r="275" spans="1:4" hidden="1" x14ac:dyDescent="0.2">
      <c r="A275" s="76"/>
      <c r="B275" s="263"/>
      <c r="C275" s="263"/>
      <c r="D275" s="263"/>
    </row>
    <row r="276" spans="1:4" hidden="1" x14ac:dyDescent="0.2">
      <c r="A276" s="76"/>
      <c r="B276" s="263"/>
      <c r="C276" s="263"/>
      <c r="D276" s="263"/>
    </row>
    <row r="277" spans="1:4" hidden="1" x14ac:dyDescent="0.2">
      <c r="A277" s="76"/>
      <c r="B277" s="263"/>
      <c r="C277" s="263"/>
      <c r="D277" s="263"/>
    </row>
    <row r="278" spans="1:4" hidden="1" x14ac:dyDescent="0.2">
      <c r="A278" s="258" t="s">
        <v>47</v>
      </c>
      <c r="B278" s="275">
        <f>SUM(B274:B277)</f>
        <v>0</v>
      </c>
      <c r="C278" s="275">
        <f>SUM(C274:C277)</f>
        <v>0</v>
      </c>
      <c r="D278" s="275">
        <f>SUM(D274:D277)</f>
        <v>0</v>
      </c>
    </row>
    <row r="279" spans="1:4" hidden="1" x14ac:dyDescent="0.2">
      <c r="A279" s="280"/>
      <c r="B279" s="93"/>
      <c r="C279" s="93"/>
      <c r="D279" s="93"/>
    </row>
    <row r="280" spans="1:4" hidden="1" x14ac:dyDescent="0.2">
      <c r="A280" s="76"/>
      <c r="B280" s="263"/>
      <c r="C280" s="263"/>
      <c r="D280" s="263"/>
    </row>
    <row r="281" spans="1:4" hidden="1" x14ac:dyDescent="0.2">
      <c r="A281" s="76"/>
      <c r="B281" s="263"/>
      <c r="C281" s="263"/>
      <c r="D281" s="263"/>
    </row>
    <row r="282" spans="1:4" hidden="1" x14ac:dyDescent="0.2">
      <c r="A282" s="76"/>
      <c r="B282" s="263"/>
      <c r="C282" s="263"/>
      <c r="D282" s="263"/>
    </row>
    <row r="283" spans="1:4" hidden="1" x14ac:dyDescent="0.2">
      <c r="A283" s="76"/>
      <c r="B283" s="263"/>
      <c r="C283" s="263"/>
      <c r="D283" s="263"/>
    </row>
    <row r="284" spans="1:4" hidden="1" x14ac:dyDescent="0.2">
      <c r="A284" s="258" t="s">
        <v>47</v>
      </c>
      <c r="B284" s="275">
        <f>SUM(B280:B283)</f>
        <v>0</v>
      </c>
      <c r="C284" s="275">
        <f>SUM(C280:C283)</f>
        <v>0</v>
      </c>
      <c r="D284" s="275">
        <f>SUM(D280:D283)</f>
        <v>0</v>
      </c>
    </row>
    <row r="285" spans="1:4" hidden="1" x14ac:dyDescent="0.2">
      <c r="A285" s="280"/>
      <c r="B285" s="93"/>
      <c r="C285" s="93"/>
      <c r="D285" s="93"/>
    </row>
    <row r="286" spans="1:4" hidden="1" x14ac:dyDescent="0.2">
      <c r="A286" s="76"/>
      <c r="B286" s="263"/>
      <c r="C286" s="263"/>
      <c r="D286" s="263"/>
    </row>
    <row r="287" spans="1:4" hidden="1" x14ac:dyDescent="0.2">
      <c r="A287" s="76"/>
      <c r="B287" s="263"/>
      <c r="C287" s="263"/>
      <c r="D287" s="263"/>
    </row>
    <row r="288" spans="1:4" hidden="1" x14ac:dyDescent="0.2">
      <c r="A288" s="76"/>
      <c r="B288" s="263"/>
      <c r="C288" s="263"/>
      <c r="D288" s="263"/>
    </row>
    <row r="289" spans="1:4" hidden="1" x14ac:dyDescent="0.2">
      <c r="A289" s="76"/>
      <c r="B289" s="263"/>
      <c r="C289" s="263"/>
      <c r="D289" s="263"/>
    </row>
    <row r="290" spans="1:4" hidden="1" x14ac:dyDescent="0.2">
      <c r="A290" s="258" t="s">
        <v>47</v>
      </c>
      <c r="B290" s="275">
        <f>SUM(B286:B289)</f>
        <v>0</v>
      </c>
      <c r="C290" s="275">
        <f>SUM(C286:C289)</f>
        <v>0</v>
      </c>
      <c r="D290" s="275">
        <f>SUM(D286:D289)</f>
        <v>0</v>
      </c>
    </row>
    <row r="291" spans="1:4" hidden="1" x14ac:dyDescent="0.2">
      <c r="A291" s="280"/>
      <c r="B291" s="93"/>
      <c r="C291" s="93"/>
      <c r="D291" s="93"/>
    </row>
    <row r="292" spans="1:4" hidden="1" x14ac:dyDescent="0.2">
      <c r="A292" s="76"/>
      <c r="B292" s="263"/>
      <c r="C292" s="263"/>
      <c r="D292" s="263"/>
    </row>
    <row r="293" spans="1:4" hidden="1" x14ac:dyDescent="0.2">
      <c r="A293" s="76"/>
      <c r="B293" s="263"/>
      <c r="C293" s="263"/>
      <c r="D293" s="263"/>
    </row>
    <row r="294" spans="1:4" hidden="1" x14ac:dyDescent="0.2">
      <c r="A294" s="258" t="s">
        <v>47</v>
      </c>
      <c r="B294" s="275">
        <f>SUM(B292:B293)</f>
        <v>0</v>
      </c>
      <c r="C294" s="275">
        <f>SUM(C292:C293)</f>
        <v>0</v>
      </c>
      <c r="D294" s="275">
        <f>SUM(D292:D293)</f>
        <v>0</v>
      </c>
    </row>
    <row r="295" spans="1:4" hidden="1" x14ac:dyDescent="0.2">
      <c r="A295" s="280"/>
      <c r="B295" s="93"/>
      <c r="C295" s="93"/>
      <c r="D295" s="93"/>
    </row>
    <row r="296" spans="1:4" hidden="1" x14ac:dyDescent="0.2">
      <c r="A296" s="76"/>
      <c r="B296" s="263"/>
      <c r="C296" s="263"/>
      <c r="D296" s="263"/>
    </row>
    <row r="297" spans="1:4" hidden="1" x14ac:dyDescent="0.2">
      <c r="A297" s="76"/>
      <c r="B297" s="263"/>
      <c r="C297" s="263"/>
      <c r="D297" s="263"/>
    </row>
    <row r="298" spans="1:4" hidden="1" x14ac:dyDescent="0.2">
      <c r="A298" s="76"/>
      <c r="B298" s="263"/>
      <c r="C298" s="263"/>
      <c r="D298" s="263"/>
    </row>
    <row r="299" spans="1:4" hidden="1" x14ac:dyDescent="0.2">
      <c r="A299" s="76"/>
      <c r="B299" s="263"/>
      <c r="C299" s="263"/>
      <c r="D299" s="263"/>
    </row>
    <row r="300" spans="1:4" hidden="1" x14ac:dyDescent="0.2">
      <c r="A300" s="258" t="s">
        <v>47</v>
      </c>
      <c r="B300" s="275">
        <f>SUM(B296:B299)</f>
        <v>0</v>
      </c>
      <c r="C300" s="275">
        <f>SUM(C296:C299)</f>
        <v>0</v>
      </c>
      <c r="D300" s="275">
        <f>SUM(D296:D299)</f>
        <v>0</v>
      </c>
    </row>
    <row r="301" spans="1:4" hidden="1" x14ac:dyDescent="0.2">
      <c r="A301" s="280"/>
      <c r="B301" s="93"/>
      <c r="C301" s="93"/>
      <c r="D301" s="93"/>
    </row>
    <row r="302" spans="1:4" hidden="1" x14ac:dyDescent="0.2">
      <c r="A302" s="76"/>
      <c r="B302" s="263"/>
      <c r="C302" s="263"/>
      <c r="D302" s="263"/>
    </row>
    <row r="303" spans="1:4" hidden="1" x14ac:dyDescent="0.2">
      <c r="A303" s="76"/>
      <c r="B303" s="263"/>
      <c r="C303" s="263"/>
      <c r="D303" s="263"/>
    </row>
    <row r="304" spans="1:4" hidden="1" x14ac:dyDescent="0.2">
      <c r="A304" s="76"/>
      <c r="B304" s="263"/>
      <c r="C304" s="263"/>
      <c r="D304" s="263"/>
    </row>
    <row r="305" spans="1:4" hidden="1" x14ac:dyDescent="0.2">
      <c r="A305" s="76"/>
      <c r="B305" s="263"/>
      <c r="C305" s="263"/>
      <c r="D305" s="263"/>
    </row>
    <row r="306" spans="1:4" hidden="1" x14ac:dyDescent="0.2">
      <c r="A306" s="258" t="s">
        <v>47</v>
      </c>
      <c r="B306" s="275">
        <f>SUM(B302:B305)</f>
        <v>0</v>
      </c>
      <c r="C306" s="275">
        <f>SUM(C302:C305)</f>
        <v>0</v>
      </c>
      <c r="D306" s="275">
        <f>SUM(D302:D305)</f>
        <v>0</v>
      </c>
    </row>
    <row r="307" spans="1:4" hidden="1" x14ac:dyDescent="0.2">
      <c r="A307" s="258"/>
      <c r="B307" s="93"/>
      <c r="C307" s="93"/>
      <c r="D307" s="93"/>
    </row>
    <row r="308" spans="1:4" hidden="1" x14ac:dyDescent="0.2">
      <c r="A308" s="258" t="s">
        <v>394</v>
      </c>
      <c r="B308" s="275">
        <f>B272+B278+B284+B290+B294+B300+B306</f>
        <v>0</v>
      </c>
      <c r="C308" s="275">
        <f>C272+C278+C284+C290+C294+C300+C306</f>
        <v>0</v>
      </c>
      <c r="D308" s="275">
        <f>D272+D278+D284+D290+D294+D300+D306</f>
        <v>0</v>
      </c>
    </row>
    <row r="309" spans="1:4" x14ac:dyDescent="0.2">
      <c r="A309" s="258"/>
      <c r="B309" s="93"/>
      <c r="C309" s="93"/>
      <c r="D309" s="93"/>
    </row>
    <row r="310" spans="1:4" x14ac:dyDescent="0.2">
      <c r="A310" s="258" t="s">
        <v>230</v>
      </c>
      <c r="B310" s="275">
        <f>B52</f>
        <v>409894</v>
      </c>
      <c r="C310" s="275">
        <f>C52</f>
        <v>427200</v>
      </c>
      <c r="D310" s="275">
        <f>D52</f>
        <v>454138</v>
      </c>
    </row>
    <row r="311" spans="1:4" x14ac:dyDescent="0.2">
      <c r="A311" s="51"/>
      <c r="B311" s="93"/>
      <c r="C311" s="93"/>
      <c r="D311" s="93"/>
    </row>
    <row r="312" spans="1:4" x14ac:dyDescent="0.2">
      <c r="A312" s="258" t="s">
        <v>231</v>
      </c>
      <c r="B312" s="275">
        <f>B107</f>
        <v>421453</v>
      </c>
      <c r="C312" s="275">
        <f>C107</f>
        <v>448155</v>
      </c>
      <c r="D312" s="275">
        <f>D107</f>
        <v>525955</v>
      </c>
    </row>
    <row r="313" spans="1:4" x14ac:dyDescent="0.2">
      <c r="A313" s="51"/>
      <c r="B313" s="93"/>
      <c r="C313" s="93"/>
      <c r="D313" s="93"/>
    </row>
    <row r="314" spans="1:4" x14ac:dyDescent="0.2">
      <c r="A314" s="258" t="s">
        <v>228</v>
      </c>
      <c r="B314" s="275">
        <f>B177</f>
        <v>644517</v>
      </c>
      <c r="C314" s="275">
        <f>C177</f>
        <v>654932</v>
      </c>
      <c r="D314" s="275">
        <f>D177</f>
        <v>714038</v>
      </c>
    </row>
    <row r="315" spans="1:4" x14ac:dyDescent="0.2">
      <c r="A315" s="51"/>
      <c r="B315" s="93"/>
      <c r="C315" s="93"/>
      <c r="D315" s="93"/>
    </row>
    <row r="316" spans="1:4" hidden="1" x14ac:dyDescent="0.2">
      <c r="A316" s="258" t="s">
        <v>229</v>
      </c>
      <c r="B316" s="275">
        <f>B258</f>
        <v>416003</v>
      </c>
      <c r="C316" s="275">
        <f>C258</f>
        <v>313420</v>
      </c>
      <c r="D316" s="275">
        <f>D258</f>
        <v>455870</v>
      </c>
    </row>
    <row r="317" spans="1:4" hidden="1" x14ac:dyDescent="0.2">
      <c r="A317" s="51"/>
      <c r="B317" s="93"/>
      <c r="C317" s="93"/>
      <c r="D317" s="93"/>
    </row>
    <row r="318" spans="1:4" ht="16.5" thickBot="1" x14ac:dyDescent="0.25">
      <c r="A318" s="219" t="s">
        <v>24</v>
      </c>
      <c r="B318" s="285">
        <f>+B258+B310+B312+B314</f>
        <v>1891867</v>
      </c>
      <c r="C318" s="285">
        <f>+C258+C310+C312+C314</f>
        <v>1843707</v>
      </c>
      <c r="D318" s="285">
        <f>+D258+D310+D312+D314</f>
        <v>2150001</v>
      </c>
    </row>
    <row r="319" spans="1:4" ht="16.5" thickTop="1" x14ac:dyDescent="0.2">
      <c r="A319" s="286" t="s">
        <v>25</v>
      </c>
      <c r="B319" s="287"/>
      <c r="C319" s="287"/>
      <c r="D319" s="287"/>
    </row>
    <row r="320" spans="1:4" x14ac:dyDescent="0.2">
      <c r="A320" s="577" t="s">
        <v>211</v>
      </c>
      <c r="B320" s="577"/>
      <c r="C320" s="577"/>
      <c r="D320" s="577"/>
    </row>
    <row r="321" spans="2:4" x14ac:dyDescent="0.2">
      <c r="B321" s="288"/>
      <c r="C321" s="288"/>
      <c r="D321" s="288"/>
    </row>
    <row r="322" spans="2:4" x14ac:dyDescent="0.2">
      <c r="B322" s="288"/>
      <c r="C322" s="288"/>
      <c r="D322" s="288"/>
    </row>
    <row r="323" spans="2:4" x14ac:dyDescent="0.2">
      <c r="B323" s="288"/>
      <c r="C323" s="288"/>
      <c r="D323" s="288"/>
    </row>
    <row r="324" spans="2:4" x14ac:dyDescent="0.2">
      <c r="B324" s="288"/>
      <c r="C324" s="288"/>
      <c r="D324" s="288"/>
    </row>
    <row r="325" spans="2:4" x14ac:dyDescent="0.2">
      <c r="B325" s="288"/>
      <c r="C325" s="288"/>
      <c r="D325" s="288"/>
    </row>
    <row r="326" spans="2:4" x14ac:dyDescent="0.2">
      <c r="B326" s="288"/>
      <c r="C326" s="288"/>
      <c r="D326" s="288"/>
    </row>
    <row r="327" spans="2:4" x14ac:dyDescent="0.2">
      <c r="B327" s="288"/>
      <c r="C327" s="288"/>
      <c r="D327" s="288"/>
    </row>
    <row r="328" spans="2:4" x14ac:dyDescent="0.2">
      <c r="B328" s="288"/>
      <c r="C328" s="288"/>
      <c r="D328" s="288"/>
    </row>
    <row r="329" spans="2:4" x14ac:dyDescent="0.2">
      <c r="B329" s="288"/>
      <c r="C329" s="288"/>
      <c r="D329" s="288"/>
    </row>
    <row r="330" spans="2:4" x14ac:dyDescent="0.2">
      <c r="B330" s="288"/>
      <c r="C330" s="288"/>
      <c r="D330" s="288"/>
    </row>
    <row r="331" spans="2:4" x14ac:dyDescent="0.2">
      <c r="B331" s="288"/>
      <c r="C331" s="288"/>
      <c r="D331" s="288"/>
    </row>
    <row r="332" spans="2:4" x14ac:dyDescent="0.2">
      <c r="B332" s="288"/>
      <c r="C332" s="288"/>
      <c r="D332" s="288"/>
    </row>
    <row r="333" spans="2:4" x14ac:dyDescent="0.2">
      <c r="B333" s="288"/>
      <c r="C333" s="288"/>
      <c r="D333" s="288"/>
    </row>
    <row r="334" spans="2:4" x14ac:dyDescent="0.2">
      <c r="B334" s="288"/>
      <c r="C334" s="288"/>
      <c r="D334" s="288"/>
    </row>
    <row r="335" spans="2:4" x14ac:dyDescent="0.2">
      <c r="B335" s="288"/>
      <c r="C335" s="288"/>
      <c r="D335" s="288"/>
    </row>
    <row r="336" spans="2:4" x14ac:dyDescent="0.2">
      <c r="B336" s="288"/>
      <c r="C336" s="288"/>
      <c r="D336" s="288"/>
    </row>
    <row r="337" spans="2:4" x14ac:dyDescent="0.2">
      <c r="B337" s="288"/>
      <c r="C337" s="288"/>
      <c r="D337" s="288"/>
    </row>
    <row r="338" spans="2:4" x14ac:dyDescent="0.2">
      <c r="B338" s="288"/>
      <c r="C338" s="288"/>
      <c r="D338" s="288"/>
    </row>
    <row r="339" spans="2:4" x14ac:dyDescent="0.2">
      <c r="B339" s="288"/>
      <c r="C339" s="288"/>
      <c r="D339" s="288"/>
    </row>
    <row r="340" spans="2:4" x14ac:dyDescent="0.2">
      <c r="B340" s="288"/>
      <c r="C340" s="288"/>
      <c r="D340" s="288"/>
    </row>
    <row r="341" spans="2:4" x14ac:dyDescent="0.2">
      <c r="B341" s="288"/>
      <c r="C341" s="288"/>
      <c r="D341" s="288"/>
    </row>
    <row r="342" spans="2:4" x14ac:dyDescent="0.2">
      <c r="B342" s="288"/>
      <c r="C342" s="288"/>
      <c r="D342" s="288"/>
    </row>
    <row r="343" spans="2:4" x14ac:dyDescent="0.2">
      <c r="B343" s="288"/>
      <c r="C343" s="288"/>
      <c r="D343" s="288"/>
    </row>
    <row r="344" spans="2:4" x14ac:dyDescent="0.2">
      <c r="B344" s="288"/>
      <c r="C344" s="288"/>
      <c r="D344" s="288"/>
    </row>
    <row r="345" spans="2:4" x14ac:dyDescent="0.2">
      <c r="B345" s="288"/>
      <c r="C345" s="288"/>
      <c r="D345" s="288"/>
    </row>
    <row r="346" spans="2:4" x14ac:dyDescent="0.2">
      <c r="B346" s="288"/>
      <c r="C346" s="288"/>
      <c r="D346" s="288"/>
    </row>
    <row r="347" spans="2:4" x14ac:dyDescent="0.2">
      <c r="B347" s="288"/>
      <c r="C347" s="288"/>
      <c r="D347" s="288"/>
    </row>
    <row r="348" spans="2:4" x14ac:dyDescent="0.2">
      <c r="B348" s="288"/>
      <c r="C348" s="288"/>
      <c r="D348" s="288"/>
    </row>
    <row r="349" spans="2:4" x14ac:dyDescent="0.2">
      <c r="B349" s="288"/>
      <c r="C349" s="288"/>
      <c r="D349" s="288"/>
    </row>
    <row r="350" spans="2:4" x14ac:dyDescent="0.2">
      <c r="B350" s="288"/>
      <c r="C350" s="288"/>
      <c r="D350" s="288"/>
    </row>
    <row r="351" spans="2:4" x14ac:dyDescent="0.2">
      <c r="B351" s="288"/>
      <c r="C351" s="288"/>
      <c r="D351" s="288"/>
    </row>
    <row r="352" spans="2:4" x14ac:dyDescent="0.2">
      <c r="B352" s="288"/>
      <c r="C352" s="288"/>
      <c r="D352" s="288"/>
    </row>
    <row r="353" spans="2:4" x14ac:dyDescent="0.2">
      <c r="B353" s="288"/>
      <c r="C353" s="288"/>
      <c r="D353" s="288"/>
    </row>
    <row r="354" spans="2:4" x14ac:dyDescent="0.2">
      <c r="B354" s="288"/>
      <c r="C354" s="288"/>
      <c r="D354" s="288"/>
    </row>
    <row r="355" spans="2:4" x14ac:dyDescent="0.2">
      <c r="B355" s="288"/>
      <c r="C355" s="288"/>
      <c r="D355" s="288"/>
    </row>
    <row r="356" spans="2:4" x14ac:dyDescent="0.2">
      <c r="B356" s="288"/>
      <c r="C356" s="288"/>
      <c r="D356" s="288"/>
    </row>
    <row r="357" spans="2:4" x14ac:dyDescent="0.2">
      <c r="B357" s="288"/>
      <c r="C357" s="288"/>
      <c r="D357" s="288"/>
    </row>
    <row r="358" spans="2:4" x14ac:dyDescent="0.2">
      <c r="B358" s="288"/>
      <c r="C358" s="288"/>
      <c r="D358" s="288"/>
    </row>
    <row r="359" spans="2:4" x14ac:dyDescent="0.2">
      <c r="B359" s="288"/>
      <c r="C359" s="288"/>
      <c r="D359" s="288"/>
    </row>
    <row r="360" spans="2:4" x14ac:dyDescent="0.2">
      <c r="B360" s="288"/>
      <c r="C360" s="288"/>
      <c r="D360" s="288"/>
    </row>
    <row r="361" spans="2:4" x14ac:dyDescent="0.2">
      <c r="B361" s="288"/>
      <c r="C361" s="288"/>
      <c r="D361" s="288"/>
    </row>
    <row r="362" spans="2:4" x14ac:dyDescent="0.2">
      <c r="B362" s="288"/>
      <c r="C362" s="288"/>
      <c r="D362" s="288"/>
    </row>
    <row r="363" spans="2:4" x14ac:dyDescent="0.2">
      <c r="B363" s="288"/>
      <c r="C363" s="288"/>
      <c r="D363" s="288"/>
    </row>
    <row r="364" spans="2:4" x14ac:dyDescent="0.2">
      <c r="B364" s="288"/>
      <c r="C364" s="288"/>
      <c r="D364" s="288"/>
    </row>
    <row r="365" spans="2:4" x14ac:dyDescent="0.2">
      <c r="B365" s="288"/>
      <c r="C365" s="288"/>
      <c r="D365" s="288"/>
    </row>
    <row r="366" spans="2:4" x14ac:dyDescent="0.2">
      <c r="B366" s="288"/>
      <c r="C366" s="288"/>
      <c r="D366" s="288"/>
    </row>
    <row r="367" spans="2:4" x14ac:dyDescent="0.2">
      <c r="B367" s="288"/>
      <c r="C367" s="288"/>
      <c r="D367" s="288"/>
    </row>
    <row r="368" spans="2:4" x14ac:dyDescent="0.2">
      <c r="B368" s="288"/>
      <c r="C368" s="288"/>
      <c r="D368" s="288"/>
    </row>
    <row r="369" spans="2:4" x14ac:dyDescent="0.2">
      <c r="B369" s="288"/>
      <c r="C369" s="288"/>
      <c r="D369" s="288"/>
    </row>
    <row r="370" spans="2:4" x14ac:dyDescent="0.2">
      <c r="B370" s="288"/>
      <c r="C370" s="288"/>
      <c r="D370" s="288"/>
    </row>
    <row r="371" spans="2:4" x14ac:dyDescent="0.2">
      <c r="B371" s="288"/>
      <c r="C371" s="288"/>
      <c r="D371" s="288"/>
    </row>
    <row r="372" spans="2:4" x14ac:dyDescent="0.2">
      <c r="B372" s="288"/>
      <c r="C372" s="288"/>
      <c r="D372" s="288"/>
    </row>
    <row r="373" spans="2:4" x14ac:dyDescent="0.2">
      <c r="B373" s="288"/>
      <c r="C373" s="288"/>
      <c r="D373" s="288"/>
    </row>
    <row r="374" spans="2:4" x14ac:dyDescent="0.2">
      <c r="B374" s="288"/>
      <c r="C374" s="288"/>
      <c r="D374" s="288"/>
    </row>
    <row r="375" spans="2:4" x14ac:dyDescent="0.2">
      <c r="B375" s="288"/>
      <c r="C375" s="288"/>
      <c r="D375" s="288"/>
    </row>
    <row r="376" spans="2:4" x14ac:dyDescent="0.2">
      <c r="B376" s="288"/>
      <c r="C376" s="288"/>
      <c r="D376" s="288"/>
    </row>
    <row r="377" spans="2:4" x14ac:dyDescent="0.2">
      <c r="B377" s="288"/>
      <c r="C377" s="288"/>
      <c r="D377" s="288"/>
    </row>
    <row r="378" spans="2:4" x14ac:dyDescent="0.2">
      <c r="B378" s="288"/>
      <c r="C378" s="288"/>
      <c r="D378" s="288"/>
    </row>
    <row r="379" spans="2:4" x14ac:dyDescent="0.2">
      <c r="B379" s="288"/>
      <c r="C379" s="288"/>
      <c r="D379" s="288"/>
    </row>
    <row r="380" spans="2:4" x14ac:dyDescent="0.2">
      <c r="B380" s="288"/>
      <c r="C380" s="288"/>
      <c r="D380" s="288"/>
    </row>
    <row r="381" spans="2:4" x14ac:dyDescent="0.2">
      <c r="B381" s="288"/>
      <c r="C381" s="288"/>
      <c r="D381" s="288"/>
    </row>
    <row r="382" spans="2:4" x14ac:dyDescent="0.2">
      <c r="B382" s="288"/>
      <c r="C382" s="288"/>
      <c r="D382" s="288"/>
    </row>
    <row r="383" spans="2:4" x14ac:dyDescent="0.2">
      <c r="B383" s="288"/>
      <c r="C383" s="288"/>
      <c r="D383" s="288"/>
    </row>
    <row r="384" spans="2:4" x14ac:dyDescent="0.2">
      <c r="B384" s="288"/>
      <c r="C384" s="288"/>
      <c r="D384" s="288"/>
    </row>
    <row r="385" spans="2:4" x14ac:dyDescent="0.2">
      <c r="B385" s="288"/>
      <c r="C385" s="288"/>
      <c r="D385" s="288"/>
    </row>
    <row r="386" spans="2:4" x14ac:dyDescent="0.2">
      <c r="B386" s="288"/>
      <c r="C386" s="288"/>
      <c r="D386" s="288"/>
    </row>
    <row r="387" spans="2:4" x14ac:dyDescent="0.2">
      <c r="B387" s="288"/>
      <c r="C387" s="288"/>
      <c r="D387" s="288"/>
    </row>
    <row r="388" spans="2:4" x14ac:dyDescent="0.2">
      <c r="B388" s="288"/>
      <c r="C388" s="288"/>
      <c r="D388" s="288"/>
    </row>
    <row r="389" spans="2:4" x14ac:dyDescent="0.2">
      <c r="B389" s="288"/>
      <c r="C389" s="288"/>
      <c r="D389" s="288"/>
    </row>
    <row r="390" spans="2:4" x14ac:dyDescent="0.2">
      <c r="B390" s="288"/>
      <c r="C390" s="288"/>
      <c r="D390" s="288"/>
    </row>
    <row r="391" spans="2:4" x14ac:dyDescent="0.2">
      <c r="B391" s="288"/>
      <c r="C391" s="288"/>
      <c r="D391" s="288"/>
    </row>
    <row r="392" spans="2:4" x14ac:dyDescent="0.2">
      <c r="B392" s="288"/>
      <c r="C392" s="288"/>
      <c r="D392" s="288"/>
    </row>
    <row r="393" spans="2:4" x14ac:dyDescent="0.2">
      <c r="B393" s="288"/>
      <c r="C393" s="288"/>
      <c r="D393" s="288"/>
    </row>
    <row r="394" spans="2:4" x14ac:dyDescent="0.2">
      <c r="B394" s="288"/>
      <c r="C394" s="288"/>
      <c r="D394" s="288"/>
    </row>
    <row r="395" spans="2:4" x14ac:dyDescent="0.2">
      <c r="B395" s="288"/>
      <c r="C395" s="288"/>
      <c r="D395" s="288"/>
    </row>
    <row r="396" spans="2:4" x14ac:dyDescent="0.2">
      <c r="B396" s="288"/>
      <c r="C396" s="288"/>
      <c r="D396" s="288"/>
    </row>
    <row r="397" spans="2:4" x14ac:dyDescent="0.2">
      <c r="B397" s="288"/>
      <c r="C397" s="288"/>
      <c r="D397" s="288"/>
    </row>
    <row r="398" spans="2:4" x14ac:dyDescent="0.2">
      <c r="B398" s="288"/>
      <c r="C398" s="288"/>
      <c r="D398" s="288"/>
    </row>
    <row r="399" spans="2:4" x14ac:dyDescent="0.2">
      <c r="B399" s="288"/>
      <c r="C399" s="288"/>
      <c r="D399" s="288"/>
    </row>
    <row r="400" spans="2:4" x14ac:dyDescent="0.2">
      <c r="B400" s="288"/>
      <c r="C400" s="288"/>
      <c r="D400" s="288"/>
    </row>
    <row r="401" spans="2:4" x14ac:dyDescent="0.2">
      <c r="B401" s="288"/>
      <c r="C401" s="288"/>
      <c r="D401" s="288"/>
    </row>
    <row r="402" spans="2:4" x14ac:dyDescent="0.2">
      <c r="B402" s="288"/>
      <c r="C402" s="288"/>
      <c r="D402" s="288"/>
    </row>
    <row r="403" spans="2:4" x14ac:dyDescent="0.2">
      <c r="B403" s="288"/>
      <c r="C403" s="288"/>
      <c r="D403" s="288"/>
    </row>
    <row r="404" spans="2:4" x14ac:dyDescent="0.2">
      <c r="B404" s="288"/>
      <c r="C404" s="288"/>
      <c r="D404" s="288"/>
    </row>
    <row r="405" spans="2:4" x14ac:dyDescent="0.2">
      <c r="B405" s="288"/>
      <c r="C405" s="288"/>
      <c r="D405" s="288"/>
    </row>
    <row r="406" spans="2:4" x14ac:dyDescent="0.2">
      <c r="B406" s="288"/>
      <c r="C406" s="288"/>
      <c r="D406" s="288"/>
    </row>
    <row r="407" spans="2:4" x14ac:dyDescent="0.2">
      <c r="B407" s="288"/>
      <c r="C407" s="288"/>
      <c r="D407" s="288"/>
    </row>
    <row r="408" spans="2:4" x14ac:dyDescent="0.2">
      <c r="B408" s="288"/>
      <c r="C408" s="288"/>
      <c r="D408" s="288"/>
    </row>
    <row r="409" spans="2:4" x14ac:dyDescent="0.2">
      <c r="B409" s="288"/>
      <c r="C409" s="288"/>
      <c r="D409" s="288"/>
    </row>
    <row r="410" spans="2:4" x14ac:dyDescent="0.2">
      <c r="B410" s="288"/>
      <c r="C410" s="288"/>
      <c r="D410" s="288"/>
    </row>
    <row r="411" spans="2:4" x14ac:dyDescent="0.2">
      <c r="B411" s="288"/>
      <c r="C411" s="288"/>
      <c r="D411" s="288"/>
    </row>
    <row r="412" spans="2:4" x14ac:dyDescent="0.2">
      <c r="B412" s="288"/>
      <c r="C412" s="288"/>
      <c r="D412" s="288"/>
    </row>
    <row r="413" spans="2:4" x14ac:dyDescent="0.2">
      <c r="B413" s="288"/>
      <c r="C413" s="288"/>
      <c r="D413" s="288"/>
    </row>
    <row r="414" spans="2:4" x14ac:dyDescent="0.2">
      <c r="B414" s="288"/>
      <c r="C414" s="288"/>
      <c r="D414" s="288"/>
    </row>
    <row r="415" spans="2:4" x14ac:dyDescent="0.2">
      <c r="B415" s="288"/>
      <c r="C415" s="288"/>
      <c r="D415" s="288"/>
    </row>
    <row r="416" spans="2:4" x14ac:dyDescent="0.2">
      <c r="B416" s="288"/>
      <c r="C416" s="288"/>
      <c r="D416" s="288"/>
    </row>
    <row r="417" spans="2:4" x14ac:dyDescent="0.2">
      <c r="B417" s="288"/>
      <c r="C417" s="288"/>
      <c r="D417" s="288"/>
    </row>
    <row r="418" spans="2:4" x14ac:dyDescent="0.2">
      <c r="B418" s="288"/>
      <c r="C418" s="288"/>
      <c r="D418" s="288"/>
    </row>
    <row r="419" spans="2:4" x14ac:dyDescent="0.2">
      <c r="B419" s="288"/>
      <c r="C419" s="288"/>
      <c r="D419" s="288"/>
    </row>
    <row r="420" spans="2:4" x14ac:dyDescent="0.2">
      <c r="B420" s="288"/>
      <c r="C420" s="288"/>
      <c r="D420" s="288"/>
    </row>
    <row r="421" spans="2:4" x14ac:dyDescent="0.2">
      <c r="B421" s="288"/>
      <c r="C421" s="288"/>
      <c r="D421" s="288"/>
    </row>
    <row r="422" spans="2:4" x14ac:dyDescent="0.2">
      <c r="B422" s="288"/>
      <c r="C422" s="288"/>
      <c r="D422" s="288"/>
    </row>
    <row r="423" spans="2:4" x14ac:dyDescent="0.2">
      <c r="B423" s="288"/>
      <c r="C423" s="288"/>
      <c r="D423" s="288"/>
    </row>
  </sheetData>
  <mergeCells count="5">
    <mergeCell ref="A320:D320"/>
    <mergeCell ref="A54:D54"/>
    <mergeCell ref="A109:D109"/>
    <mergeCell ref="A179:D179"/>
    <mergeCell ref="A260:D260"/>
  </mergeCells>
  <phoneticPr fontId="0" type="noConversion"/>
  <pageMargins left="1.1200000000000001" right="0.5" top="0.74" bottom="0.34" header="0.5" footer="0"/>
  <pageSetup scale="87" orientation="portrait" blackAndWhite="1" r:id="rId1"/>
  <headerFooter alignWithMargins="0">
    <oddHeader xml:space="preserve">&amp;RState of Kansas
County
</oddHeader>
  </headerFooter>
  <rowBreaks count="3" manualBreakCount="3">
    <brk id="54" max="3" man="1"/>
    <brk id="109" max="3" man="1"/>
    <brk id="179"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1"/>
  <sheetViews>
    <sheetView zoomScaleNormal="100" workbookViewId="0"/>
  </sheetViews>
  <sheetFormatPr defaultRowHeight="15.75" x14ac:dyDescent="0.2"/>
  <cols>
    <col min="1" max="1" width="2.44140625" style="48" customWidth="1"/>
    <col min="2" max="2" width="31.109375" style="48" customWidth="1"/>
    <col min="3" max="4" width="15.77734375" style="48" customWidth="1"/>
    <col min="5" max="5" width="16.21875" style="48" customWidth="1"/>
    <col min="6" max="6" width="7.44140625" style="48" customWidth="1"/>
    <col min="7" max="7" width="10.21875" style="48" customWidth="1"/>
    <col min="8" max="8" width="8.88671875" style="48"/>
    <col min="9" max="9" width="5" style="48" customWidth="1"/>
    <col min="10" max="10" width="10" style="48" customWidth="1"/>
    <col min="11" max="16384" width="8.88671875" style="48"/>
  </cols>
  <sheetData>
    <row r="1" spans="2:5" x14ac:dyDescent="0.2">
      <c r="B1" s="184" t="str">
        <f>inputPrYr!C2</f>
        <v>Edwards County</v>
      </c>
      <c r="C1" s="51"/>
      <c r="D1" s="51"/>
      <c r="E1" s="243">
        <f>inputPrYr!C4</f>
        <v>2014</v>
      </c>
    </row>
    <row r="2" spans="2:5" x14ac:dyDescent="0.2">
      <c r="B2" s="51"/>
      <c r="C2" s="51"/>
      <c r="D2" s="51"/>
      <c r="E2" s="196"/>
    </row>
    <row r="3" spans="2:5" x14ac:dyDescent="0.2">
      <c r="B3" s="118" t="s">
        <v>155</v>
      </c>
      <c r="C3" s="51"/>
      <c r="D3" s="51"/>
      <c r="E3" s="257"/>
    </row>
    <row r="4" spans="2:5" x14ac:dyDescent="0.2">
      <c r="B4" s="258" t="s">
        <v>75</v>
      </c>
      <c r="C4" s="488" t="s">
        <v>320</v>
      </c>
      <c r="D4" s="489" t="s">
        <v>321</v>
      </c>
      <c r="E4" s="180" t="s">
        <v>322</v>
      </c>
    </row>
    <row r="5" spans="2:5" x14ac:dyDescent="0.2">
      <c r="B5" s="379" t="str">
        <f>inputPrYr!B18</f>
        <v>Road &amp; Bridge</v>
      </c>
      <c r="C5" s="362" t="str">
        <f>CONCATENATE("Actual for ",E1-2,"")</f>
        <v>Actual for 2012</v>
      </c>
      <c r="D5" s="362" t="str">
        <f>CONCATENATE("Estimate for ",E1-1,"")</f>
        <v>Estimate for 2013</v>
      </c>
      <c r="E5" s="259" t="str">
        <f>CONCATENATE("Year for ",E1,"")</f>
        <v>Year for 2014</v>
      </c>
    </row>
    <row r="6" spans="2:5" x14ac:dyDescent="0.2">
      <c r="B6" s="260" t="s">
        <v>197</v>
      </c>
      <c r="C6" s="359">
        <v>19065</v>
      </c>
      <c r="D6" s="363">
        <f>C98</f>
        <v>9850</v>
      </c>
      <c r="E6" s="222">
        <f>D98</f>
        <v>15932</v>
      </c>
    </row>
    <row r="7" spans="2:5" x14ac:dyDescent="0.2">
      <c r="B7" s="247" t="s">
        <v>199</v>
      </c>
      <c r="C7" s="262"/>
      <c r="D7" s="262"/>
      <c r="E7" s="93"/>
    </row>
    <row r="8" spans="2:5" x14ac:dyDescent="0.2">
      <c r="B8" s="260" t="s">
        <v>76</v>
      </c>
      <c r="C8" s="359">
        <v>785100</v>
      </c>
      <c r="D8" s="363">
        <f>IF(inputPrYr!H18&gt;0,inputPrYr!H18,inputPrYr!E18)</f>
        <v>790851</v>
      </c>
      <c r="E8" s="182" t="s">
        <v>62</v>
      </c>
    </row>
    <row r="9" spans="2:5" x14ac:dyDescent="0.2">
      <c r="B9" s="260" t="s">
        <v>77</v>
      </c>
      <c r="C9" s="359">
        <v>8921</v>
      </c>
      <c r="D9" s="359">
        <v>5000</v>
      </c>
      <c r="E9" s="263">
        <v>5000</v>
      </c>
    </row>
    <row r="10" spans="2:5" x14ac:dyDescent="0.2">
      <c r="B10" s="260" t="s">
        <v>78</v>
      </c>
      <c r="C10" s="359">
        <v>65444</v>
      </c>
      <c r="D10" s="359">
        <v>66287</v>
      </c>
      <c r="E10" s="93">
        <f>mvalloc!E9</f>
        <v>70123</v>
      </c>
    </row>
    <row r="11" spans="2:5" x14ac:dyDescent="0.2">
      <c r="B11" s="260" t="s">
        <v>79</v>
      </c>
      <c r="C11" s="359">
        <v>1141</v>
      </c>
      <c r="D11" s="359">
        <v>1262</v>
      </c>
      <c r="E11" s="93">
        <f>mvalloc!F9</f>
        <v>1210</v>
      </c>
    </row>
    <row r="12" spans="2:5" x14ac:dyDescent="0.2">
      <c r="B12" s="262" t="s">
        <v>179</v>
      </c>
      <c r="C12" s="359">
        <v>7131</v>
      </c>
      <c r="D12" s="359">
        <v>8583</v>
      </c>
      <c r="E12" s="93">
        <f>mvalloc!G9</f>
        <v>9851</v>
      </c>
    </row>
    <row r="13" spans="2:5" x14ac:dyDescent="0.2">
      <c r="B13" s="296"/>
      <c r="C13" s="359"/>
      <c r="D13" s="359"/>
      <c r="E13" s="113"/>
    </row>
    <row r="14" spans="2:5" x14ac:dyDescent="0.2">
      <c r="B14" s="296" t="s">
        <v>396</v>
      </c>
      <c r="C14" s="359">
        <v>527</v>
      </c>
      <c r="D14" s="359">
        <v>608</v>
      </c>
      <c r="E14" s="113">
        <v>600</v>
      </c>
    </row>
    <row r="15" spans="2:5" x14ac:dyDescent="0.2">
      <c r="B15" s="296" t="s">
        <v>397</v>
      </c>
      <c r="C15" s="359"/>
      <c r="D15" s="359"/>
      <c r="E15" s="113"/>
    </row>
    <row r="16" spans="2:5" x14ac:dyDescent="0.2">
      <c r="B16" s="297" t="s">
        <v>398</v>
      </c>
      <c r="C16" s="359">
        <v>237154</v>
      </c>
      <c r="D16" s="359">
        <v>249608</v>
      </c>
      <c r="E16" s="113">
        <v>257683</v>
      </c>
    </row>
    <row r="17" spans="2:5" x14ac:dyDescent="0.2">
      <c r="B17" s="264" t="s">
        <v>7</v>
      </c>
      <c r="C17" s="359"/>
      <c r="D17" s="359"/>
      <c r="E17" s="263"/>
    </row>
    <row r="18" spans="2:5" x14ac:dyDescent="0.2">
      <c r="B18" s="264" t="s">
        <v>399</v>
      </c>
      <c r="C18" s="359"/>
      <c r="D18" s="359"/>
      <c r="E18" s="263"/>
    </row>
    <row r="19" spans="2:5" x14ac:dyDescent="0.2">
      <c r="B19" s="264" t="s">
        <v>400</v>
      </c>
      <c r="C19" s="359">
        <v>7695</v>
      </c>
      <c r="D19" s="359"/>
      <c r="E19" s="263"/>
    </row>
    <row r="20" spans="2:5" hidden="1" x14ac:dyDescent="0.2">
      <c r="B20" s="265"/>
      <c r="C20" s="359"/>
      <c r="D20" s="359"/>
      <c r="E20" s="263"/>
    </row>
    <row r="21" spans="2:5" hidden="1" x14ac:dyDescent="0.2">
      <c r="B21" s="265"/>
      <c r="C21" s="359"/>
      <c r="D21" s="359"/>
      <c r="E21" s="263"/>
    </row>
    <row r="22" spans="2:5" hidden="1" x14ac:dyDescent="0.2">
      <c r="B22" s="264"/>
      <c r="C22" s="359"/>
      <c r="D22" s="359"/>
      <c r="E22" s="263"/>
    </row>
    <row r="23" spans="2:5" hidden="1" x14ac:dyDescent="0.2">
      <c r="B23" s="264"/>
      <c r="C23" s="359"/>
      <c r="D23" s="359"/>
      <c r="E23" s="263"/>
    </row>
    <row r="24" spans="2:5" hidden="1" x14ac:dyDescent="0.2">
      <c r="B24" s="264"/>
      <c r="C24" s="359"/>
      <c r="D24" s="359"/>
      <c r="E24" s="263"/>
    </row>
    <row r="25" spans="2:5" hidden="1" x14ac:dyDescent="0.2">
      <c r="B25" s="264"/>
      <c r="C25" s="359"/>
      <c r="D25" s="359"/>
      <c r="E25" s="263"/>
    </row>
    <row r="26" spans="2:5" hidden="1" x14ac:dyDescent="0.2">
      <c r="B26" s="264"/>
      <c r="C26" s="359"/>
      <c r="D26" s="359"/>
      <c r="E26" s="263"/>
    </row>
    <row r="27" spans="2:5" hidden="1" x14ac:dyDescent="0.2">
      <c r="B27" s="264"/>
      <c r="C27" s="359"/>
      <c r="D27" s="359"/>
      <c r="E27" s="263"/>
    </row>
    <row r="28" spans="2:5" hidden="1" x14ac:dyDescent="0.2">
      <c r="B28" s="264"/>
      <c r="C28" s="359"/>
      <c r="D28" s="359"/>
      <c r="E28" s="263"/>
    </row>
    <row r="29" spans="2:5" hidden="1" x14ac:dyDescent="0.2">
      <c r="B29" s="264"/>
      <c r="C29" s="359"/>
      <c r="D29" s="359"/>
      <c r="E29" s="263"/>
    </row>
    <row r="30" spans="2:5" hidden="1" x14ac:dyDescent="0.2">
      <c r="B30" s="264"/>
      <c r="C30" s="359"/>
      <c r="D30" s="359"/>
      <c r="E30" s="263"/>
    </row>
    <row r="31" spans="2:5" hidden="1" x14ac:dyDescent="0.2">
      <c r="B31" s="264"/>
      <c r="C31" s="359"/>
      <c r="D31" s="359"/>
      <c r="E31" s="263"/>
    </row>
    <row r="32" spans="2:5" hidden="1" x14ac:dyDescent="0.2">
      <c r="B32" s="264"/>
      <c r="C32" s="359"/>
      <c r="D32" s="359"/>
      <c r="E32" s="263"/>
    </row>
    <row r="33" spans="2:5" hidden="1" x14ac:dyDescent="0.2">
      <c r="B33" s="264"/>
      <c r="C33" s="359"/>
      <c r="D33" s="359"/>
      <c r="E33" s="263"/>
    </row>
    <row r="34" spans="2:5" hidden="1" x14ac:dyDescent="0.2">
      <c r="B34" s="264"/>
      <c r="C34" s="359"/>
      <c r="D34" s="359"/>
      <c r="E34" s="263"/>
    </row>
    <row r="35" spans="2:5" hidden="1" x14ac:dyDescent="0.2">
      <c r="B35" s="264"/>
      <c r="C35" s="359"/>
      <c r="D35" s="359"/>
      <c r="E35" s="263"/>
    </row>
    <row r="36" spans="2:5" hidden="1" x14ac:dyDescent="0.2">
      <c r="B36" s="264"/>
      <c r="C36" s="359"/>
      <c r="D36" s="359"/>
      <c r="E36" s="263"/>
    </row>
    <row r="37" spans="2:5" hidden="1" x14ac:dyDescent="0.2">
      <c r="B37" s="264"/>
      <c r="C37" s="359"/>
      <c r="D37" s="359"/>
      <c r="E37" s="263"/>
    </row>
    <row r="38" spans="2:5" hidden="1" x14ac:dyDescent="0.2">
      <c r="B38" s="264"/>
      <c r="C38" s="359"/>
      <c r="D38" s="359"/>
      <c r="E38" s="263"/>
    </row>
    <row r="39" spans="2:5" hidden="1" x14ac:dyDescent="0.2">
      <c r="B39" s="264"/>
      <c r="C39" s="359"/>
      <c r="D39" s="359"/>
      <c r="E39" s="263"/>
    </row>
    <row r="40" spans="2:5" hidden="1" x14ac:dyDescent="0.2">
      <c r="B40" s="264"/>
      <c r="C40" s="359"/>
      <c r="D40" s="359"/>
      <c r="E40" s="263"/>
    </row>
    <row r="41" spans="2:5" hidden="1" x14ac:dyDescent="0.2">
      <c r="B41" s="264"/>
      <c r="C41" s="359"/>
      <c r="D41" s="359"/>
      <c r="E41" s="263"/>
    </row>
    <row r="42" spans="2:5" hidden="1" x14ac:dyDescent="0.2">
      <c r="B42" s="264"/>
      <c r="C42" s="359"/>
      <c r="D42" s="359"/>
      <c r="E42" s="263"/>
    </row>
    <row r="43" spans="2:5" hidden="1" x14ac:dyDescent="0.2">
      <c r="B43" s="264"/>
      <c r="C43" s="359"/>
      <c r="D43" s="359"/>
      <c r="E43" s="263"/>
    </row>
    <row r="44" spans="2:5" hidden="1" x14ac:dyDescent="0.2">
      <c r="B44" s="264"/>
      <c r="C44" s="359"/>
      <c r="D44" s="359"/>
      <c r="E44" s="263"/>
    </row>
    <row r="45" spans="2:5" hidden="1" x14ac:dyDescent="0.2">
      <c r="B45" s="264"/>
      <c r="C45" s="359"/>
      <c r="D45" s="359"/>
      <c r="E45" s="263"/>
    </row>
    <row r="46" spans="2:5" hidden="1" x14ac:dyDescent="0.2">
      <c r="B46" s="264"/>
      <c r="C46" s="359"/>
      <c r="D46" s="359"/>
      <c r="E46" s="263"/>
    </row>
    <row r="47" spans="2:5" hidden="1" x14ac:dyDescent="0.2">
      <c r="B47" s="264"/>
      <c r="C47" s="359"/>
      <c r="D47" s="359"/>
      <c r="E47" s="263"/>
    </row>
    <row r="48" spans="2:5" x14ac:dyDescent="0.2">
      <c r="B48" s="264"/>
      <c r="C48" s="359"/>
      <c r="D48" s="359"/>
      <c r="E48" s="263"/>
    </row>
    <row r="49" spans="2:5" x14ac:dyDescent="0.2">
      <c r="B49" s="265" t="s">
        <v>81</v>
      </c>
      <c r="C49" s="359"/>
      <c r="D49" s="359"/>
      <c r="E49" s="263"/>
    </row>
    <row r="50" spans="2:5" x14ac:dyDescent="0.2">
      <c r="B50" s="266" t="s">
        <v>38</v>
      </c>
      <c r="C50" s="359"/>
      <c r="D50" s="359"/>
      <c r="E50" s="263"/>
    </row>
    <row r="51" spans="2:5" x14ac:dyDescent="0.2">
      <c r="B51" s="266" t="s">
        <v>285</v>
      </c>
      <c r="C51" s="360" t="str">
        <f>IF(C52*0.1&lt;C50,"Exceed 10% Rule","")</f>
        <v/>
      </c>
      <c r="D51" s="360" t="str">
        <f>IF(D52*0.1&lt;D50,"Exceed 10% Rule","")</f>
        <v/>
      </c>
      <c r="E51" s="293" t="str">
        <f>IF(E52*0.1+E104&lt;E50,"Exceed 10% Rule","")</f>
        <v/>
      </c>
    </row>
    <row r="52" spans="2:5" x14ac:dyDescent="0.2">
      <c r="B52" s="268" t="s">
        <v>82</v>
      </c>
      <c r="C52" s="361">
        <f>SUM(C8:C50)</f>
        <v>1113113</v>
      </c>
      <c r="D52" s="361">
        <f>SUM(D8:D50)</f>
        <v>1122199</v>
      </c>
      <c r="E52" s="298">
        <f>SUM(E9:E50)</f>
        <v>344467</v>
      </c>
    </row>
    <row r="53" spans="2:5" x14ac:dyDescent="0.2">
      <c r="B53" s="268" t="s">
        <v>83</v>
      </c>
      <c r="C53" s="361">
        <f>C6+C52</f>
        <v>1132178</v>
      </c>
      <c r="D53" s="361">
        <f>D6+D52</f>
        <v>1132049</v>
      </c>
      <c r="E53" s="298">
        <f>E6+E52</f>
        <v>360399</v>
      </c>
    </row>
    <row r="54" spans="2:5" hidden="1" x14ac:dyDescent="0.2">
      <c r="B54" s="51"/>
      <c r="C54" s="184"/>
      <c r="D54" s="184"/>
      <c r="E54" s="184"/>
    </row>
    <row r="55" spans="2:5" hidden="1" x14ac:dyDescent="0.2">
      <c r="B55" s="244" t="s">
        <v>108</v>
      </c>
      <c r="C55" s="295">
        <v>8</v>
      </c>
      <c r="D55" s="63"/>
      <c r="E55" s="63"/>
    </row>
    <row r="56" spans="2:5" hidden="1" x14ac:dyDescent="0.2">
      <c r="B56" s="63"/>
      <c r="C56" s="63"/>
      <c r="D56" s="63"/>
      <c r="E56" s="63"/>
    </row>
    <row r="57" spans="2:5" hidden="1" x14ac:dyDescent="0.2">
      <c r="B57" s="184" t="str">
        <f>inputPrYr!C2</f>
        <v>Edwards County</v>
      </c>
      <c r="C57" s="184"/>
      <c r="D57" s="184"/>
      <c r="E57" s="243">
        <f>inputPrYr!C4</f>
        <v>2014</v>
      </c>
    </row>
    <row r="58" spans="2:5" hidden="1" x14ac:dyDescent="0.2">
      <c r="B58" s="51"/>
      <c r="C58" s="184"/>
      <c r="D58" s="184"/>
      <c r="E58" s="196"/>
    </row>
    <row r="59" spans="2:5" hidden="1" x14ac:dyDescent="0.2">
      <c r="B59" s="270" t="s">
        <v>154</v>
      </c>
      <c r="C59" s="271"/>
      <c r="D59" s="271"/>
      <c r="E59" s="271"/>
    </row>
    <row r="60" spans="2:5" hidden="1" x14ac:dyDescent="0.2">
      <c r="B60" s="51" t="s">
        <v>75</v>
      </c>
      <c r="C60" s="488" t="s">
        <v>320</v>
      </c>
      <c r="D60" s="489" t="s">
        <v>321</v>
      </c>
      <c r="E60" s="180" t="s">
        <v>322</v>
      </c>
    </row>
    <row r="61" spans="2:5" hidden="1" x14ac:dyDescent="0.2">
      <c r="B61" s="119" t="str">
        <f>B5</f>
        <v>Road &amp; Bridge</v>
      </c>
      <c r="C61" s="362" t="str">
        <f>CONCATENATE("Actual for ",E57-2,"")</f>
        <v>Actual for 2012</v>
      </c>
      <c r="D61" s="362" t="str">
        <f>CONCATENATE("Estimate for ",E57-1,"")</f>
        <v>Estimate for 2013</v>
      </c>
      <c r="E61" s="259" t="str">
        <f>CONCATENATE("Year for ",E57,"")</f>
        <v>Year for 2014</v>
      </c>
    </row>
    <row r="62" spans="2:5" hidden="1" x14ac:dyDescent="0.2">
      <c r="B62" s="268" t="s">
        <v>83</v>
      </c>
      <c r="C62" s="363">
        <f>C53</f>
        <v>1132178</v>
      </c>
      <c r="D62" s="363">
        <f>D53</f>
        <v>1132049</v>
      </c>
      <c r="E62" s="222">
        <f>E53</f>
        <v>360399</v>
      </c>
    </row>
    <row r="63" spans="2:5" x14ac:dyDescent="0.2">
      <c r="B63" s="260" t="s">
        <v>86</v>
      </c>
      <c r="C63" s="262"/>
      <c r="D63" s="262"/>
      <c r="E63" s="93"/>
    </row>
    <row r="64" spans="2:5" x14ac:dyDescent="0.2">
      <c r="B64" s="300" t="s">
        <v>401</v>
      </c>
      <c r="C64" s="359"/>
      <c r="D64" s="359"/>
      <c r="E64" s="113"/>
    </row>
    <row r="65" spans="2:5" x14ac:dyDescent="0.2">
      <c r="B65" s="300" t="s">
        <v>91</v>
      </c>
      <c r="C65" s="359">
        <v>393109</v>
      </c>
      <c r="D65" s="359">
        <v>408100</v>
      </c>
      <c r="E65" s="113">
        <v>410000</v>
      </c>
    </row>
    <row r="66" spans="2:5" x14ac:dyDescent="0.2">
      <c r="B66" s="300" t="s">
        <v>92</v>
      </c>
      <c r="C66" s="359">
        <v>96528</v>
      </c>
      <c r="D66" s="359">
        <v>150000</v>
      </c>
      <c r="E66" s="113">
        <f>179750-15000</f>
        <v>164750</v>
      </c>
    </row>
    <row r="67" spans="2:5" x14ac:dyDescent="0.2">
      <c r="B67" s="300" t="s">
        <v>93</v>
      </c>
      <c r="C67" s="359">
        <v>521882</v>
      </c>
      <c r="D67" s="359">
        <v>536700</v>
      </c>
      <c r="E67" s="113">
        <f>562850-15500</f>
        <v>547350</v>
      </c>
    </row>
    <row r="68" spans="2:5" x14ac:dyDescent="0.2">
      <c r="B68" s="300" t="s">
        <v>94</v>
      </c>
      <c r="C68" s="359">
        <v>4889</v>
      </c>
      <c r="D68" s="359">
        <v>15000</v>
      </c>
      <c r="E68" s="113">
        <v>25000</v>
      </c>
    </row>
    <row r="69" spans="2:5" x14ac:dyDescent="0.2">
      <c r="B69" s="300" t="s">
        <v>402</v>
      </c>
      <c r="C69" s="359">
        <v>20000</v>
      </c>
      <c r="D69" s="359"/>
      <c r="E69" s="113"/>
    </row>
    <row r="70" spans="2:5" x14ac:dyDescent="0.2">
      <c r="B70" s="300" t="s">
        <v>403</v>
      </c>
      <c r="C70" s="359">
        <v>80000</v>
      </c>
      <c r="D70" s="359"/>
      <c r="E70" s="113"/>
    </row>
    <row r="71" spans="2:5" hidden="1" x14ac:dyDescent="0.2">
      <c r="B71" s="300"/>
      <c r="C71" s="359"/>
      <c r="D71" s="359"/>
      <c r="E71" s="113"/>
    </row>
    <row r="72" spans="2:5" hidden="1" x14ac:dyDescent="0.2">
      <c r="B72" s="300"/>
      <c r="C72" s="359"/>
      <c r="D72" s="359"/>
      <c r="E72" s="113"/>
    </row>
    <row r="73" spans="2:5" hidden="1" x14ac:dyDescent="0.2">
      <c r="B73" s="300"/>
      <c r="C73" s="359"/>
      <c r="D73" s="359"/>
      <c r="E73" s="113"/>
    </row>
    <row r="74" spans="2:5" hidden="1" x14ac:dyDescent="0.2">
      <c r="B74" s="300"/>
      <c r="C74" s="359"/>
      <c r="D74" s="359"/>
      <c r="E74" s="113"/>
    </row>
    <row r="75" spans="2:5" hidden="1" x14ac:dyDescent="0.2">
      <c r="B75" s="300"/>
      <c r="C75" s="359"/>
      <c r="D75" s="359"/>
      <c r="E75" s="113"/>
    </row>
    <row r="76" spans="2:5" hidden="1" x14ac:dyDescent="0.2">
      <c r="B76" s="300"/>
      <c r="C76" s="359"/>
      <c r="D76" s="359"/>
      <c r="E76" s="113"/>
    </row>
    <row r="77" spans="2:5" hidden="1" x14ac:dyDescent="0.2">
      <c r="B77" s="300"/>
      <c r="C77" s="359"/>
      <c r="D77" s="359"/>
      <c r="E77" s="113"/>
    </row>
    <row r="78" spans="2:5" hidden="1" x14ac:dyDescent="0.2">
      <c r="B78" s="300"/>
      <c r="C78" s="359"/>
      <c r="D78" s="359"/>
      <c r="E78" s="113"/>
    </row>
    <row r="79" spans="2:5" hidden="1" x14ac:dyDescent="0.2">
      <c r="B79" s="300"/>
      <c r="C79" s="359"/>
      <c r="D79" s="359"/>
      <c r="E79" s="113"/>
    </row>
    <row r="80" spans="2:5" hidden="1" x14ac:dyDescent="0.2">
      <c r="B80" s="300"/>
      <c r="C80" s="359"/>
      <c r="D80" s="359"/>
      <c r="E80" s="113"/>
    </row>
    <row r="81" spans="2:10" hidden="1" x14ac:dyDescent="0.2">
      <c r="B81" s="300"/>
      <c r="C81" s="359"/>
      <c r="D81" s="359"/>
      <c r="E81" s="113"/>
    </row>
    <row r="82" spans="2:10" hidden="1" x14ac:dyDescent="0.2">
      <c r="B82" s="300"/>
      <c r="C82" s="359"/>
      <c r="D82" s="359"/>
      <c r="E82" s="113"/>
    </row>
    <row r="83" spans="2:10" hidden="1" x14ac:dyDescent="0.2">
      <c r="B83" s="300"/>
      <c r="C83" s="359"/>
      <c r="D83" s="359"/>
      <c r="E83" s="113"/>
    </row>
    <row r="84" spans="2:10" hidden="1" x14ac:dyDescent="0.2">
      <c r="B84" s="300"/>
      <c r="C84" s="359"/>
      <c r="D84" s="359"/>
      <c r="E84" s="113"/>
    </row>
    <row r="85" spans="2:10" hidden="1" x14ac:dyDescent="0.2">
      <c r="B85" s="300"/>
      <c r="C85" s="359"/>
      <c r="D85" s="359"/>
      <c r="E85" s="113"/>
    </row>
    <row r="86" spans="2:10" hidden="1" x14ac:dyDescent="0.2">
      <c r="B86" s="300"/>
      <c r="C86" s="359"/>
      <c r="D86" s="359"/>
      <c r="E86" s="113"/>
    </row>
    <row r="87" spans="2:10" hidden="1" x14ac:dyDescent="0.2">
      <c r="B87" s="300"/>
      <c r="C87" s="359"/>
      <c r="D87" s="359"/>
      <c r="E87" s="113"/>
    </row>
    <row r="88" spans="2:10" hidden="1" x14ac:dyDescent="0.2">
      <c r="B88" s="300"/>
      <c r="C88" s="359"/>
      <c r="D88" s="359"/>
      <c r="E88" s="113"/>
    </row>
    <row r="89" spans="2:10" hidden="1" x14ac:dyDescent="0.2">
      <c r="B89" s="300"/>
      <c r="C89" s="359"/>
      <c r="D89" s="359"/>
      <c r="E89" s="113"/>
    </row>
    <row r="90" spans="2:10" hidden="1" x14ac:dyDescent="0.2">
      <c r="B90" s="300"/>
      <c r="C90" s="359"/>
      <c r="D90" s="359"/>
      <c r="E90" s="113"/>
    </row>
    <row r="91" spans="2:10" hidden="1" x14ac:dyDescent="0.2">
      <c r="B91" s="300"/>
      <c r="C91" s="359"/>
      <c r="D91" s="359"/>
      <c r="E91" s="113"/>
    </row>
    <row r="92" spans="2:10" hidden="1" x14ac:dyDescent="0.2">
      <c r="B92" s="300"/>
      <c r="C92" s="359"/>
      <c r="D92" s="359"/>
      <c r="E92" s="113"/>
    </row>
    <row r="93" spans="2:10" x14ac:dyDescent="0.2">
      <c r="B93" s="274"/>
      <c r="C93" s="359"/>
      <c r="D93" s="359"/>
      <c r="E93" s="263"/>
    </row>
    <row r="94" spans="2:10" x14ac:dyDescent="0.2">
      <c r="B94" s="266" t="s">
        <v>39</v>
      </c>
      <c r="C94" s="359">
        <v>5920</v>
      </c>
      <c r="D94" s="359">
        <v>6317</v>
      </c>
      <c r="E94" s="275">
        <f>Nhood!E7</f>
        <v>7540</v>
      </c>
      <c r="G94" s="581" t="str">
        <f>CONCATENATE("Desired Carryover Into ",E1+1,"")</f>
        <v>Desired Carryover Into 2015</v>
      </c>
      <c r="H94" s="582"/>
      <c r="I94" s="582"/>
      <c r="J94" s="583"/>
    </row>
    <row r="95" spans="2:10" x14ac:dyDescent="0.2">
      <c r="B95" s="266" t="s">
        <v>38</v>
      </c>
      <c r="C95" s="359"/>
      <c r="D95" s="359"/>
      <c r="E95" s="263"/>
      <c r="G95" s="440"/>
      <c r="H95" s="441"/>
      <c r="I95" s="442"/>
      <c r="J95" s="443"/>
    </row>
    <row r="96" spans="2:10" x14ac:dyDescent="0.2">
      <c r="B96" s="266" t="s">
        <v>284</v>
      </c>
      <c r="C96" s="360" t="str">
        <f>IF(C97*0.1&lt;C95,"Exceed 10% Rule","")</f>
        <v/>
      </c>
      <c r="D96" s="360" t="str">
        <f>IF(D97*0.1&lt;D95,"Exceed 10% Rule","")</f>
        <v/>
      </c>
      <c r="E96" s="293" t="str">
        <f>IF(E97*0.1&lt;E95,"Exceed 10% Rule","")</f>
        <v/>
      </c>
      <c r="G96" s="444" t="s">
        <v>290</v>
      </c>
      <c r="H96" s="442"/>
      <c r="I96" s="442"/>
      <c r="J96" s="445">
        <v>0</v>
      </c>
    </row>
    <row r="97" spans="2:11" x14ac:dyDescent="0.2">
      <c r="B97" s="268" t="s">
        <v>87</v>
      </c>
      <c r="C97" s="361">
        <f>SUM(C64:C95)</f>
        <v>1122328</v>
      </c>
      <c r="D97" s="361">
        <f>SUM(D64:D95)</f>
        <v>1116117</v>
      </c>
      <c r="E97" s="298">
        <f>SUM(E64:E95)</f>
        <v>1154640</v>
      </c>
      <c r="G97" s="440" t="s">
        <v>291</v>
      </c>
      <c r="H97" s="441"/>
      <c r="I97" s="441"/>
      <c r="J97" s="446" t="str">
        <f>IF(J96=0,"",ROUND((J96+E104-G109)/inputOth!E6*1000,3)-G114)</f>
        <v/>
      </c>
    </row>
    <row r="98" spans="2:11" x14ac:dyDescent="0.2">
      <c r="B98" s="114" t="s">
        <v>198</v>
      </c>
      <c r="C98" s="364">
        <f>C53-C97</f>
        <v>9850</v>
      </c>
      <c r="D98" s="364">
        <f>D53-D97</f>
        <v>15932</v>
      </c>
      <c r="E98" s="182" t="s">
        <v>62</v>
      </c>
      <c r="G98" s="447" t="str">
        <f>CONCATENATE("",E1," Tot Exp/Non-Appr Must Be:")</f>
        <v>2014 Tot Exp/Non-Appr Must Be:</v>
      </c>
      <c r="H98" s="448"/>
      <c r="I98" s="449"/>
      <c r="J98" s="450">
        <f>IF(J96&gt;0,IF(E101&lt;E53,IF(J96=G109,E101,((J96-G109)*(1-D103))+E53),E101+(J96-G109)),0)</f>
        <v>0</v>
      </c>
    </row>
    <row r="99" spans="2:11" x14ac:dyDescent="0.2">
      <c r="B99" s="244" t="str">
        <f>CONCATENATE("",E$1-2,"/",E$1-1," Budget Authority Amount:")</f>
        <v>2012/2013 Budget Authority Amount:</v>
      </c>
      <c r="C99" s="236">
        <f>inputOth!$B32</f>
        <v>1141676</v>
      </c>
      <c r="D99" s="236">
        <f>inputPrYr!D18</f>
        <v>1142117</v>
      </c>
      <c r="E99" s="182" t="s">
        <v>62</v>
      </c>
      <c r="G99" s="451" t="s">
        <v>318</v>
      </c>
      <c r="H99" s="452"/>
      <c r="I99" s="452"/>
      <c r="J99" s="453">
        <f>IF(J96&gt;0,J98-E101,0)</f>
        <v>0</v>
      </c>
    </row>
    <row r="100" spans="2:11" x14ac:dyDescent="0.2">
      <c r="B100" s="244"/>
      <c r="C100" s="570" t="s">
        <v>287</v>
      </c>
      <c r="D100" s="571"/>
      <c r="E100" s="78"/>
    </row>
    <row r="101" spans="2:11" x14ac:dyDescent="0.2">
      <c r="B101" s="392" t="str">
        <f>CONCATENATE(C115,"     ",D115)</f>
        <v xml:space="preserve">     </v>
      </c>
      <c r="C101" s="572" t="s">
        <v>288</v>
      </c>
      <c r="D101" s="573"/>
      <c r="E101" s="222">
        <f>E97+E100</f>
        <v>1154640</v>
      </c>
      <c r="G101" s="584" t="str">
        <f>CONCATENATE("Projected Carryover Into ",E1+1,"")</f>
        <v>Projected Carryover Into 2015</v>
      </c>
      <c r="H101" s="585"/>
      <c r="I101" s="585"/>
      <c r="J101" s="586"/>
    </row>
    <row r="102" spans="2:11" x14ac:dyDescent="0.2">
      <c r="B102" s="392" t="str">
        <f>CONCATENATE(C116,"     ",D116)</f>
        <v xml:space="preserve">     </v>
      </c>
      <c r="C102" s="277"/>
      <c r="D102" s="196" t="s">
        <v>88</v>
      </c>
      <c r="E102" s="86">
        <f>IF(E101-E53&gt;0,E101-E53,0)</f>
        <v>794241</v>
      </c>
      <c r="G102" s="399"/>
      <c r="H102" s="398"/>
      <c r="I102" s="398"/>
      <c r="J102" s="400"/>
    </row>
    <row r="103" spans="2:11" x14ac:dyDescent="0.2">
      <c r="B103" s="244"/>
      <c r="C103" s="390" t="s">
        <v>289</v>
      </c>
      <c r="D103" s="439">
        <f>inputOth!$E$23</f>
        <v>0.01</v>
      </c>
      <c r="E103" s="222">
        <f>IF(D103&gt;0,(E102*D103),0)</f>
        <v>7942.41</v>
      </c>
      <c r="G103" s="389">
        <f>D98</f>
        <v>15932</v>
      </c>
      <c r="H103" s="387" t="str">
        <f>CONCATENATE("",E1-1," Ending Cash Balance (est.)")</f>
        <v>2013 Ending Cash Balance (est.)</v>
      </c>
      <c r="I103" s="386"/>
      <c r="J103" s="400"/>
    </row>
    <row r="104" spans="2:11" x14ac:dyDescent="0.2">
      <c r="B104" s="51"/>
      <c r="C104" s="575" t="str">
        <f>CONCATENATE("Amount of  ",$E$1-1," Ad Valorem Tax")</f>
        <v>Amount of  2013 Ad Valorem Tax</v>
      </c>
      <c r="D104" s="576"/>
      <c r="E104" s="294">
        <f>E102+E103</f>
        <v>802183.41</v>
      </c>
      <c r="F104" s="276"/>
      <c r="G104" s="389">
        <f>E52</f>
        <v>344467</v>
      </c>
      <c r="H104" s="385" t="str">
        <f>CONCATENATE("",E1," Non-AV Receipts (est.)")</f>
        <v>2014 Non-AV Receipts (est.)</v>
      </c>
      <c r="I104" s="386"/>
      <c r="J104" s="400"/>
    </row>
    <row r="105" spans="2:11" x14ac:dyDescent="0.2">
      <c r="B105" s="51"/>
      <c r="C105" s="51"/>
      <c r="D105" s="51"/>
      <c r="E105" s="51"/>
      <c r="F105" s="388" t="str">
        <f>IF(E97/0.95-E97&lt;E100,"Exceeds 5%","")</f>
        <v/>
      </c>
      <c r="G105" s="384">
        <f>IF(E103&gt;0,E102,E104)</f>
        <v>794241</v>
      </c>
      <c r="H105" s="385" t="str">
        <f>CONCATENATE("",E1," Ad Valorem Tax (est.)")</f>
        <v>2014 Ad Valorem Tax (est.)</v>
      </c>
      <c r="I105" s="386"/>
      <c r="J105" s="400"/>
      <c r="K105" s="454" t="str">
        <f>IF(G105=E104,"","Note: Does not include Delinquent Taxes")</f>
        <v>Note: Does not include Delinquent Taxes</v>
      </c>
    </row>
    <row r="106" spans="2:11" x14ac:dyDescent="0.2">
      <c r="B106" s="63"/>
      <c r="C106" s="63" t="str">
        <f>CONCATENATE("Page No. ",C55," ")</f>
        <v xml:space="preserve">Page No. 8 </v>
      </c>
      <c r="D106" s="299"/>
      <c r="E106" s="299"/>
      <c r="G106" s="389">
        <f>SUM(G103:G105)</f>
        <v>1154640</v>
      </c>
      <c r="H106" s="385" t="str">
        <f>CONCATENATE("Total ",E1," Resources Available")</f>
        <v>Total 2014 Resources Available</v>
      </c>
      <c r="I106" s="386"/>
      <c r="J106" s="400"/>
    </row>
    <row r="107" spans="2:11" x14ac:dyDescent="0.2">
      <c r="G107" s="383"/>
      <c r="H107" s="385"/>
      <c r="I107" s="385"/>
      <c r="J107" s="400"/>
    </row>
    <row r="108" spans="2:11" x14ac:dyDescent="0.2">
      <c r="G108" s="384">
        <f>C97*0.05+C97</f>
        <v>1178444.3999999999</v>
      </c>
      <c r="H108" s="385" t="str">
        <f>CONCATENATE("Less ",E1-2," Expenditures + 5%")</f>
        <v>Less 2012 Expenditures + 5%</v>
      </c>
      <c r="I108" s="386"/>
      <c r="J108" s="400"/>
    </row>
    <row r="109" spans="2:11" x14ac:dyDescent="0.2">
      <c r="G109" s="382">
        <f>G106-G108</f>
        <v>-23804.399999999907</v>
      </c>
      <c r="H109" s="381" t="str">
        <f>CONCATENATE("Projected ",E1," Carryover (est.)")</f>
        <v>Projected 2014 Carryover (est.)</v>
      </c>
      <c r="I109" s="371"/>
      <c r="J109" s="370"/>
    </row>
    <row r="111" spans="2:11" x14ac:dyDescent="0.2">
      <c r="G111" s="578" t="s">
        <v>319</v>
      </c>
      <c r="H111" s="579"/>
      <c r="I111" s="579"/>
      <c r="J111" s="580"/>
    </row>
    <row r="112" spans="2:11" x14ac:dyDescent="0.2">
      <c r="G112" s="455"/>
      <c r="H112" s="456"/>
      <c r="I112" s="457"/>
      <c r="J112" s="458"/>
    </row>
    <row r="113" spans="3:10" x14ac:dyDescent="0.2">
      <c r="G113" s="459">
        <f>summ!H17</f>
        <v>17.699000000000002</v>
      </c>
      <c r="H113" s="456" t="str">
        <f>CONCATENATE("",E1," Fund Mill Rate")</f>
        <v>2014 Fund Mill Rate</v>
      </c>
      <c r="I113" s="457"/>
      <c r="J113" s="458"/>
    </row>
    <row r="114" spans="3:10" x14ac:dyDescent="0.2">
      <c r="G114" s="460">
        <f>summ!E17</f>
        <v>18.443000000000001</v>
      </c>
      <c r="H114" s="456" t="str">
        <f>CONCATENATE("",E1-1," Fund Mill Rate")</f>
        <v>2013 Fund Mill Rate</v>
      </c>
      <c r="I114" s="457"/>
      <c r="J114" s="458"/>
    </row>
    <row r="115" spans="3:10" x14ac:dyDescent="0.2">
      <c r="C115" s="48" t="str">
        <f>IF(C97&gt;C99,"See Tab A","")</f>
        <v/>
      </c>
      <c r="D115" s="48" t="str">
        <f>IF(D97&gt;D99,"See Tab C","")</f>
        <v/>
      </c>
      <c r="G115" s="461">
        <f>summ!H34</f>
        <v>78.608000000000004</v>
      </c>
      <c r="H115" s="456" t="str">
        <f>CONCATENATE("Total ",E1," Mill Rate")</f>
        <v>Total 2014 Mill Rate</v>
      </c>
      <c r="I115" s="457"/>
      <c r="J115" s="458"/>
    </row>
    <row r="116" spans="3:10" x14ac:dyDescent="0.2">
      <c r="C116" s="48" t="str">
        <f>IF(C98&lt;0,"See Tab B","")</f>
        <v/>
      </c>
      <c r="D116" s="48" t="str">
        <f>IF(D98&lt;0,"See Tab D","")</f>
        <v/>
      </c>
      <c r="G116" s="460">
        <f>summ!E34</f>
        <v>77.590999999999994</v>
      </c>
      <c r="H116" s="462" t="str">
        <f>CONCATENATE("Total ",E1-1," Mill Rate")</f>
        <v>Total 2013 Mill Rate</v>
      </c>
      <c r="I116" s="463"/>
      <c r="J116" s="464"/>
    </row>
    <row r="120" spans="3:10" hidden="1" x14ac:dyDescent="0.2"/>
    <row r="121" spans="3:10" hidden="1" x14ac:dyDescent="0.2"/>
  </sheetData>
  <mergeCells count="6">
    <mergeCell ref="G111:J111"/>
    <mergeCell ref="C100:D100"/>
    <mergeCell ref="C101:D101"/>
    <mergeCell ref="C104:D104"/>
    <mergeCell ref="G94:J94"/>
    <mergeCell ref="G101:J101"/>
  </mergeCells>
  <phoneticPr fontId="8" type="noConversion"/>
  <conditionalFormatting sqref="E95">
    <cfRule type="cellIs" dxfId="149" priority="2" stopIfTrue="1" operator="greaterThan">
      <formula>$E$97*0.1</formula>
    </cfRule>
  </conditionalFormatting>
  <conditionalFormatting sqref="E100">
    <cfRule type="cellIs" dxfId="148" priority="3" stopIfTrue="1" operator="greaterThan">
      <formula>$E$97/0.95-$E$97</formula>
    </cfRule>
  </conditionalFormatting>
  <conditionalFormatting sqref="C50">
    <cfRule type="cellIs" dxfId="147" priority="4" stopIfTrue="1" operator="greaterThan">
      <formula>$C$52*0.1</formula>
    </cfRule>
  </conditionalFormatting>
  <conditionalFormatting sqref="D50">
    <cfRule type="cellIs" dxfId="146" priority="5" stopIfTrue="1" operator="greaterThan">
      <formula>$D$52*0.1</formula>
    </cfRule>
  </conditionalFormatting>
  <conditionalFormatting sqref="E50">
    <cfRule type="cellIs" dxfId="145" priority="6" stopIfTrue="1" operator="greaterThan">
      <formula>$E$52*0.1+E104</formula>
    </cfRule>
  </conditionalFormatting>
  <conditionalFormatting sqref="C95">
    <cfRule type="cellIs" dxfId="144" priority="7" stopIfTrue="1" operator="greaterThan">
      <formula>$C$97*0.1</formula>
    </cfRule>
  </conditionalFormatting>
  <conditionalFormatting sqref="D95">
    <cfRule type="cellIs" dxfId="143" priority="8" stopIfTrue="1" operator="greaterThan">
      <formula>$D$97*0.1</formula>
    </cfRule>
  </conditionalFormatting>
  <conditionalFormatting sqref="C97">
    <cfRule type="cellIs" dxfId="142" priority="9" stopIfTrue="1" operator="greaterThan">
      <formula>$C$99</formula>
    </cfRule>
  </conditionalFormatting>
  <conditionalFormatting sqref="C98">
    <cfRule type="cellIs" dxfId="141" priority="10" stopIfTrue="1" operator="lessThan">
      <formula>0</formula>
    </cfRule>
  </conditionalFormatting>
  <conditionalFormatting sqref="D97">
    <cfRule type="cellIs" dxfId="140" priority="11" stopIfTrue="1" operator="greaterThan">
      <formula>$D$99</formula>
    </cfRule>
  </conditionalFormatting>
  <conditionalFormatting sqref="D98">
    <cfRule type="cellIs" dxfId="139" priority="1" stopIfTrue="1" operator="lessThan">
      <formula>0</formula>
    </cfRule>
  </conditionalFormatting>
  <pageMargins left="0.75" right="0.75" top="1" bottom="0.5" header="0.5" footer="0.5"/>
  <pageSetup scale="88" fitToHeight="2" orientation="portrait" blackAndWhite="1" r:id="rId1"/>
  <headerFooter alignWithMargins="0">
    <oddHeader>&amp;RState of Kansas
County</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K90"/>
  <sheetViews>
    <sheetView zoomScaleNormal="100" workbookViewId="0">
      <selection activeCell="F57" sqref="F57"/>
    </sheetView>
  </sheetViews>
  <sheetFormatPr defaultRowHeight="15.75" x14ac:dyDescent="0.2"/>
  <cols>
    <col min="1" max="1" width="2.44140625" style="48" customWidth="1"/>
    <col min="2" max="2" width="31.109375" style="48" customWidth="1"/>
    <col min="3" max="4" width="15.77734375" style="48" customWidth="1"/>
    <col min="5" max="5" width="16.109375" style="48" customWidth="1"/>
    <col min="6" max="6" width="7.44140625" style="48" customWidth="1"/>
    <col min="7" max="7" width="10.21875" style="48" customWidth="1"/>
    <col min="8" max="8" width="8.88671875" style="48"/>
    <col min="9" max="9" width="5" style="48" customWidth="1"/>
    <col min="10" max="10" width="10" style="48" customWidth="1"/>
    <col min="11" max="16384" width="8.88671875" style="48"/>
  </cols>
  <sheetData>
    <row r="1" spans="2:5" x14ac:dyDescent="0.2">
      <c r="B1" s="184" t="str">
        <f>(inputPrYr!C2)</f>
        <v>Edwards County</v>
      </c>
      <c r="C1" s="51"/>
      <c r="D1" s="51"/>
      <c r="E1" s="243">
        <f>inputPrYr!C4</f>
        <v>2014</v>
      </c>
    </row>
    <row r="2" spans="2:5" x14ac:dyDescent="0.2">
      <c r="B2" s="51"/>
      <c r="C2" s="51"/>
      <c r="D2" s="51"/>
      <c r="E2" s="196"/>
    </row>
    <row r="3" spans="2:5" x14ac:dyDescent="0.2">
      <c r="B3" s="118" t="s">
        <v>155</v>
      </c>
      <c r="C3" s="289"/>
      <c r="D3" s="289"/>
      <c r="E3" s="290"/>
    </row>
    <row r="4" spans="2:5" x14ac:dyDescent="0.2">
      <c r="B4" s="50" t="s">
        <v>75</v>
      </c>
      <c r="C4" s="488" t="s">
        <v>320</v>
      </c>
      <c r="D4" s="489" t="s">
        <v>321</v>
      </c>
      <c r="E4" s="180" t="s">
        <v>322</v>
      </c>
    </row>
    <row r="5" spans="2:5" x14ac:dyDescent="0.2">
      <c r="B5" s="379" t="str">
        <f>inputPrYr!B19</f>
        <v>Noxious Weed</v>
      </c>
      <c r="C5" s="362" t="str">
        <f>CONCATENATE("Actual for ",E1-2,"")</f>
        <v>Actual for 2012</v>
      </c>
      <c r="D5" s="362" t="str">
        <f>CONCATENATE("Estimate for ",E1-1,"")</f>
        <v>Estimate for 2013</v>
      </c>
      <c r="E5" s="259" t="str">
        <f>CONCATENATE("Year for ",E1,"")</f>
        <v>Year for 2014</v>
      </c>
    </row>
    <row r="6" spans="2:5" x14ac:dyDescent="0.2">
      <c r="B6" s="114" t="s">
        <v>197</v>
      </c>
      <c r="C6" s="359">
        <v>19083</v>
      </c>
      <c r="D6" s="363">
        <f>C31</f>
        <v>16071</v>
      </c>
      <c r="E6" s="222">
        <f>D31</f>
        <v>14061</v>
      </c>
    </row>
    <row r="7" spans="2:5" x14ac:dyDescent="0.2">
      <c r="B7" s="247" t="s">
        <v>199</v>
      </c>
      <c r="C7" s="262"/>
      <c r="D7" s="262"/>
      <c r="E7" s="93"/>
    </row>
    <row r="8" spans="2:5" x14ac:dyDescent="0.2">
      <c r="B8" s="114" t="s">
        <v>76</v>
      </c>
      <c r="C8" s="359">
        <v>64942</v>
      </c>
      <c r="D8" s="363">
        <f>IF(inputPrYr!H19&gt;0,inputPrYr!H19,inputPrYr!E19)</f>
        <v>64640</v>
      </c>
      <c r="E8" s="292" t="s">
        <v>62</v>
      </c>
    </row>
    <row r="9" spans="2:5" x14ac:dyDescent="0.2">
      <c r="B9" s="114" t="s">
        <v>77</v>
      </c>
      <c r="C9" s="359">
        <v>777</v>
      </c>
      <c r="D9" s="359">
        <v>650</v>
      </c>
      <c r="E9" s="78">
        <v>500</v>
      </c>
    </row>
    <row r="10" spans="2:5" x14ac:dyDescent="0.2">
      <c r="B10" s="114" t="s">
        <v>78</v>
      </c>
      <c r="C10" s="359">
        <v>5634</v>
      </c>
      <c r="D10" s="359">
        <v>5482</v>
      </c>
      <c r="E10" s="222">
        <f>mvalloc!E10</f>
        <v>5732</v>
      </c>
    </row>
    <row r="11" spans="2:5" x14ac:dyDescent="0.2">
      <c r="B11" s="114" t="s">
        <v>79</v>
      </c>
      <c r="C11" s="359">
        <v>98</v>
      </c>
      <c r="D11" s="359">
        <v>104</v>
      </c>
      <c r="E11" s="222">
        <f>mvalloc!F10</f>
        <v>99</v>
      </c>
    </row>
    <row r="12" spans="2:5" x14ac:dyDescent="0.2">
      <c r="B12" s="262" t="s">
        <v>147</v>
      </c>
      <c r="C12" s="359">
        <v>703</v>
      </c>
      <c r="D12" s="359">
        <v>710</v>
      </c>
      <c r="E12" s="222">
        <f>mvalloc!G10</f>
        <v>805</v>
      </c>
    </row>
    <row r="13" spans="2:5" x14ac:dyDescent="0.2">
      <c r="B13" s="274" t="s">
        <v>396</v>
      </c>
      <c r="C13" s="359">
        <v>44</v>
      </c>
      <c r="D13" s="359">
        <v>50</v>
      </c>
      <c r="E13" s="78">
        <v>50</v>
      </c>
    </row>
    <row r="14" spans="2:5" x14ac:dyDescent="0.2">
      <c r="B14" s="265" t="s">
        <v>81</v>
      </c>
      <c r="C14" s="359"/>
      <c r="D14" s="359"/>
      <c r="E14" s="78"/>
    </row>
    <row r="15" spans="2:5" x14ac:dyDescent="0.2">
      <c r="B15" s="266" t="s">
        <v>38</v>
      </c>
      <c r="C15" s="359"/>
      <c r="D15" s="359"/>
      <c r="E15" s="78"/>
    </row>
    <row r="16" spans="2:5" x14ac:dyDescent="0.2">
      <c r="B16" s="266" t="s">
        <v>285</v>
      </c>
      <c r="C16" s="360" t="str">
        <f>IF(C17*0.1&lt;C15,"Exceed 10% Rule","")</f>
        <v/>
      </c>
      <c r="D16" s="360" t="str">
        <f>IF(D17*0.1&lt;D15,"Exceed 10% Rule","")</f>
        <v/>
      </c>
      <c r="E16" s="293" t="str">
        <f>IF(E17*0.1+E37&lt;E15,"Exceed 10% Rule","")</f>
        <v/>
      </c>
    </row>
    <row r="17" spans="2:10" x14ac:dyDescent="0.2">
      <c r="B17" s="268" t="s">
        <v>82</v>
      </c>
      <c r="C17" s="361">
        <f>SUM(C8:C15)</f>
        <v>72198</v>
      </c>
      <c r="D17" s="361">
        <f>SUM(D8:D15)</f>
        <v>71636</v>
      </c>
      <c r="E17" s="298">
        <f>SUM(E8:E15)</f>
        <v>7186</v>
      </c>
    </row>
    <row r="18" spans="2:10" x14ac:dyDescent="0.2">
      <c r="B18" s="268" t="s">
        <v>83</v>
      </c>
      <c r="C18" s="361">
        <f>C6+C17</f>
        <v>91281</v>
      </c>
      <c r="D18" s="361">
        <f>D6+D17</f>
        <v>87707</v>
      </c>
      <c r="E18" s="298">
        <f>E6+E17</f>
        <v>21247</v>
      </c>
    </row>
    <row r="19" spans="2:10" x14ac:dyDescent="0.2">
      <c r="B19" s="114" t="s">
        <v>86</v>
      </c>
      <c r="C19" s="266"/>
      <c r="D19" s="266"/>
      <c r="E19" s="74"/>
    </row>
    <row r="20" spans="2:10" x14ac:dyDescent="0.2">
      <c r="B20" s="274" t="s">
        <v>404</v>
      </c>
      <c r="C20" s="359"/>
      <c r="D20" s="359"/>
      <c r="E20" s="78"/>
    </row>
    <row r="21" spans="2:10" x14ac:dyDescent="0.2">
      <c r="B21" s="274" t="s">
        <v>91</v>
      </c>
      <c r="C21" s="359">
        <v>33734</v>
      </c>
      <c r="D21" s="359">
        <v>34080</v>
      </c>
      <c r="E21" s="78">
        <v>35100</v>
      </c>
    </row>
    <row r="22" spans="2:10" x14ac:dyDescent="0.2">
      <c r="B22" s="274" t="s">
        <v>92</v>
      </c>
      <c r="C22" s="359">
        <v>6298</v>
      </c>
      <c r="D22" s="359">
        <v>7950</v>
      </c>
      <c r="E22" s="78">
        <v>8350</v>
      </c>
    </row>
    <row r="23" spans="2:10" x14ac:dyDescent="0.2">
      <c r="B23" s="274" t="s">
        <v>93</v>
      </c>
      <c r="C23" s="359">
        <v>97053</v>
      </c>
      <c r="D23" s="359">
        <v>84100</v>
      </c>
      <c r="E23" s="78">
        <v>90100</v>
      </c>
      <c r="G23" s="581" t="str">
        <f>CONCATENATE("Desired Carryover Into ",E1+1,"")</f>
        <v>Desired Carryover Into 2015</v>
      </c>
      <c r="H23" s="582"/>
      <c r="I23" s="582"/>
      <c r="J23" s="583"/>
    </row>
    <row r="24" spans="2:10" x14ac:dyDescent="0.2">
      <c r="B24" s="274" t="s">
        <v>94</v>
      </c>
      <c r="C24" s="359">
        <v>1536</v>
      </c>
      <c r="D24" s="359">
        <v>2000</v>
      </c>
      <c r="E24" s="78">
        <v>1500</v>
      </c>
      <c r="G24" s="440"/>
      <c r="H24" s="441"/>
      <c r="I24" s="442"/>
      <c r="J24" s="443"/>
    </row>
    <row r="25" spans="2:10" x14ac:dyDescent="0.2">
      <c r="B25" s="274" t="s">
        <v>414</v>
      </c>
      <c r="C25" s="359">
        <v>-71901</v>
      </c>
      <c r="D25" s="359">
        <v>-65000</v>
      </c>
      <c r="E25" s="78">
        <v>-47100</v>
      </c>
      <c r="G25" s="444" t="s">
        <v>290</v>
      </c>
      <c r="H25" s="442"/>
      <c r="I25" s="442"/>
      <c r="J25" s="445">
        <v>0</v>
      </c>
    </row>
    <row r="26" spans="2:10" x14ac:dyDescent="0.2">
      <c r="B26" s="274" t="s">
        <v>405</v>
      </c>
      <c r="C26" s="359">
        <v>8000</v>
      </c>
      <c r="D26" s="359">
        <v>10000</v>
      </c>
      <c r="E26" s="78"/>
      <c r="G26" s="440" t="s">
        <v>291</v>
      </c>
      <c r="H26" s="441"/>
      <c r="I26" s="441"/>
      <c r="J26" s="446" t="str">
        <f>IF(J25=0,"",ROUND((J25+E37-G38)/inputOth!E6*1000,3)-G43)</f>
        <v/>
      </c>
    </row>
    <row r="27" spans="2:10" x14ac:dyDescent="0.2">
      <c r="B27" s="266" t="s">
        <v>39</v>
      </c>
      <c r="C27" s="359">
        <v>490</v>
      </c>
      <c r="D27" s="359">
        <v>516</v>
      </c>
      <c r="E27" s="86">
        <f>Nhood!E8</f>
        <v>616</v>
      </c>
      <c r="G27" s="447" t="str">
        <f>CONCATENATE("",E1," Tot Exp/Non-Appr Must Be:")</f>
        <v>2014 Tot Exp/Non-Appr Must Be:</v>
      </c>
      <c r="H27" s="448"/>
      <c r="I27" s="449"/>
      <c r="J27" s="450">
        <f>IF(J25&gt;0,IF(E34&lt;E18,IF(J25=G38,E34,((J25-G38)*(1-D36))+E18),E34+(J25-G38)),0)</f>
        <v>0</v>
      </c>
    </row>
    <row r="28" spans="2:10" x14ac:dyDescent="0.2">
      <c r="B28" s="266" t="s">
        <v>38</v>
      </c>
      <c r="C28" s="359"/>
      <c r="D28" s="359"/>
      <c r="E28" s="78"/>
      <c r="G28" s="451" t="s">
        <v>318</v>
      </c>
      <c r="H28" s="452"/>
      <c r="I28" s="452"/>
      <c r="J28" s="453">
        <f>IF(J25&gt;0,J27-E34,0)</f>
        <v>0</v>
      </c>
    </row>
    <row r="29" spans="2:10" x14ac:dyDescent="0.25">
      <c r="B29" s="266" t="s">
        <v>284</v>
      </c>
      <c r="C29" s="360" t="str">
        <f>IF(C30*0.1&lt;C28,"Exceed 10% Rule","")</f>
        <v/>
      </c>
      <c r="D29" s="360" t="str">
        <f>IF(D30*0.1&lt;D28,"Exceed 10% Rule","")</f>
        <v/>
      </c>
      <c r="E29" s="293" t="str">
        <f>IF(E30*0.1&lt;E28,"Exceed 10% Rule","")</f>
        <v/>
      </c>
      <c r="G29" s="1"/>
      <c r="H29" s="1"/>
      <c r="I29" s="1"/>
      <c r="J29" s="1"/>
    </row>
    <row r="30" spans="2:10" x14ac:dyDescent="0.2">
      <c r="B30" s="268" t="s">
        <v>87</v>
      </c>
      <c r="C30" s="361">
        <f>SUM(C20:C28)</f>
        <v>75210</v>
      </c>
      <c r="D30" s="361">
        <f>SUM(D20:D28)</f>
        <v>73646</v>
      </c>
      <c r="E30" s="298">
        <f>SUM(E20:E28)</f>
        <v>88566</v>
      </c>
      <c r="G30" s="581" t="str">
        <f>CONCATENATE("Projected Carryover Into ",E1+1,"")</f>
        <v>Projected Carryover Into 2015</v>
      </c>
      <c r="H30" s="587"/>
      <c r="I30" s="587"/>
      <c r="J30" s="588"/>
    </row>
    <row r="31" spans="2:10" x14ac:dyDescent="0.2">
      <c r="B31" s="114" t="s">
        <v>198</v>
      </c>
      <c r="C31" s="364">
        <f>C18-C30</f>
        <v>16071</v>
      </c>
      <c r="D31" s="364">
        <f>D18-D30</f>
        <v>14061</v>
      </c>
      <c r="E31" s="292" t="s">
        <v>62</v>
      </c>
      <c r="G31" s="440"/>
      <c r="H31" s="442"/>
      <c r="I31" s="442"/>
      <c r="J31" s="465"/>
    </row>
    <row r="32" spans="2:10" x14ac:dyDescent="0.2">
      <c r="B32" s="244" t="str">
        <f>CONCATENATE("",E$1-2,"/",E$1-1," Budget Authority Amount:")</f>
        <v>2012/2013 Budget Authority Amount:</v>
      </c>
      <c r="C32" s="236">
        <f>inputOth!B33</f>
        <v>82536</v>
      </c>
      <c r="D32" s="236">
        <f>inputPrYr!D19</f>
        <v>86146</v>
      </c>
      <c r="E32" s="292" t="s">
        <v>62</v>
      </c>
      <c r="G32" s="466">
        <f>D31</f>
        <v>14061</v>
      </c>
      <c r="H32" s="456" t="str">
        <f>CONCATENATE("",E1-1," Ending Cash Balance (est.)")</f>
        <v>2013 Ending Cash Balance (est.)</v>
      </c>
      <c r="I32" s="467"/>
      <c r="J32" s="465"/>
    </row>
    <row r="33" spans="2:11" x14ac:dyDescent="0.2">
      <c r="B33" s="244"/>
      <c r="C33" s="570" t="s">
        <v>287</v>
      </c>
      <c r="D33" s="571"/>
      <c r="E33" s="78"/>
      <c r="G33" s="466">
        <f>E17</f>
        <v>7186</v>
      </c>
      <c r="H33" s="442" t="str">
        <f>CONCATENATE("",E1," Non-AV Receipts (est.)")</f>
        <v>2014 Non-AV Receipts (est.)</v>
      </c>
      <c r="I33" s="467"/>
      <c r="J33" s="465"/>
    </row>
    <row r="34" spans="2:11" x14ac:dyDescent="0.2">
      <c r="B34" s="392" t="str">
        <f>CONCATENATE(C86,"     ",D86)</f>
        <v xml:space="preserve">     </v>
      </c>
      <c r="C34" s="572" t="s">
        <v>288</v>
      </c>
      <c r="D34" s="573"/>
      <c r="E34" s="222">
        <f>E30+E33</f>
        <v>88566</v>
      </c>
      <c r="F34" s="276"/>
      <c r="G34" s="468">
        <f>IF(E36&gt;0,E35,E37)</f>
        <v>67319</v>
      </c>
      <c r="H34" s="442" t="str">
        <f>CONCATENATE("",E1," Ad Valorem Tax (est.)")</f>
        <v>2014 Ad Valorem Tax (est.)</v>
      </c>
      <c r="I34" s="467"/>
      <c r="J34" s="465"/>
      <c r="K34" s="454" t="str">
        <f>IF(G34=E37,"","Note: Does not include Delinquent Taxes")</f>
        <v>Note: Does not include Delinquent Taxes</v>
      </c>
    </row>
    <row r="35" spans="2:11" x14ac:dyDescent="0.2">
      <c r="B35" s="392" t="str">
        <f>CONCATENATE(C87,"     ",D87)</f>
        <v xml:space="preserve">     </v>
      </c>
      <c r="C35" s="277"/>
      <c r="D35" s="196" t="s">
        <v>88</v>
      </c>
      <c r="E35" s="86">
        <f>IF(E34-E18&gt;0,E34-E18,0)</f>
        <v>67319</v>
      </c>
      <c r="F35" s="388" t="str">
        <f>IF(E30/0.95-E30&lt;E33,"Exceeds 5%","")</f>
        <v/>
      </c>
      <c r="G35" s="466">
        <f>SUM(G32:G34)</f>
        <v>88566</v>
      </c>
      <c r="H35" s="442" t="str">
        <f>CONCATENATE("Total ",E1," Resources Available")</f>
        <v>Total 2014 Resources Available</v>
      </c>
      <c r="I35" s="467"/>
      <c r="J35" s="465"/>
    </row>
    <row r="36" spans="2:11" x14ac:dyDescent="0.2">
      <c r="B36" s="196"/>
      <c r="C36" s="390" t="s">
        <v>289</v>
      </c>
      <c r="D36" s="439">
        <f>inputOth!$E$23</f>
        <v>0.01</v>
      </c>
      <c r="E36" s="222">
        <f>ROUND(IF(D36&gt;0,($E$35*D36),0),0)</f>
        <v>673</v>
      </c>
      <c r="G36" s="469"/>
      <c r="H36" s="442"/>
      <c r="I36" s="442"/>
      <c r="J36" s="465"/>
    </row>
    <row r="37" spans="2:11" x14ac:dyDescent="0.25">
      <c r="B37" s="51"/>
      <c r="C37" s="575" t="str">
        <f>CONCATENATE("Amount of  ",$E$1-1," Ad Valorem Tax")</f>
        <v>Amount of  2013 Ad Valorem Tax</v>
      </c>
      <c r="D37" s="576"/>
      <c r="E37" s="294">
        <f>E35+E36</f>
        <v>67992</v>
      </c>
      <c r="G37" s="468">
        <f>ROUND(C30*0.05+C30,0)</f>
        <v>78971</v>
      </c>
      <c r="H37" s="442" t="str">
        <f>CONCATENATE("Less ",E1-2," Expenditures + 5%")</f>
        <v>Less 2012 Expenditures + 5%</v>
      </c>
      <c r="I37" s="467"/>
      <c r="J37" s="470"/>
    </row>
    <row r="38" spans="2:11" x14ac:dyDescent="0.2">
      <c r="B38" s="51"/>
      <c r="C38" s="283"/>
      <c r="D38" s="283"/>
      <c r="E38" s="283"/>
      <c r="G38" s="471">
        <f>G35-G37</f>
        <v>9595</v>
      </c>
      <c r="H38" s="472" t="str">
        <f>CONCATENATE("Projected ",E1+1," carryover (est.)")</f>
        <v>Projected 2015 carryover (est.)</v>
      </c>
      <c r="I38" s="473"/>
      <c r="J38" s="474"/>
    </row>
    <row r="39" spans="2:11" x14ac:dyDescent="0.25">
      <c r="B39" s="50" t="s">
        <v>75</v>
      </c>
      <c r="C39" s="488" t="str">
        <f t="shared" ref="C39:E40" si="0">C4</f>
        <v xml:space="preserve">Prior Year </v>
      </c>
      <c r="D39" s="489" t="str">
        <f t="shared" si="0"/>
        <v xml:space="preserve">Current Year </v>
      </c>
      <c r="E39" s="180" t="str">
        <f t="shared" si="0"/>
        <v xml:space="preserve">Proposed Budget </v>
      </c>
      <c r="G39" s="1"/>
      <c r="H39" s="1"/>
      <c r="I39" s="1"/>
      <c r="J39" s="1"/>
    </row>
    <row r="40" spans="2:11" x14ac:dyDescent="0.2">
      <c r="B40" s="378" t="str">
        <f>(inputPrYr!B20)</f>
        <v>Employee Benefits</v>
      </c>
      <c r="C40" s="362" t="str">
        <f t="shared" si="0"/>
        <v>Actual for 2012</v>
      </c>
      <c r="D40" s="362" t="str">
        <f t="shared" si="0"/>
        <v>Estimate for 2013</v>
      </c>
      <c r="E40" s="259" t="str">
        <f t="shared" si="0"/>
        <v>Year for 2014</v>
      </c>
      <c r="G40" s="578" t="s">
        <v>319</v>
      </c>
      <c r="H40" s="579"/>
      <c r="I40" s="579"/>
      <c r="J40" s="580"/>
    </row>
    <row r="41" spans="2:11" x14ac:dyDescent="0.2">
      <c r="B41" s="114" t="s">
        <v>197</v>
      </c>
      <c r="C41" s="359">
        <v>86130</v>
      </c>
      <c r="D41" s="363">
        <f>C69</f>
        <v>76244</v>
      </c>
      <c r="E41" s="222">
        <f>D69</f>
        <v>36183</v>
      </c>
      <c r="G41" s="455"/>
      <c r="H41" s="456"/>
      <c r="I41" s="457"/>
      <c r="J41" s="458"/>
    </row>
    <row r="42" spans="2:11" x14ac:dyDescent="0.2">
      <c r="B42" s="260" t="s">
        <v>199</v>
      </c>
      <c r="C42" s="262"/>
      <c r="D42" s="262"/>
      <c r="E42" s="93"/>
      <c r="G42" s="459">
        <f>summ!H18</f>
        <v>1.5</v>
      </c>
      <c r="H42" s="456" t="str">
        <f>CONCATENATE("",E1," Fund Mill Rate")</f>
        <v>2014 Fund Mill Rate</v>
      </c>
      <c r="I42" s="457"/>
      <c r="J42" s="458"/>
    </row>
    <row r="43" spans="2:11" x14ac:dyDescent="0.2">
      <c r="B43" s="114" t="s">
        <v>76</v>
      </c>
      <c r="C43" s="359">
        <v>785443</v>
      </c>
      <c r="D43" s="363">
        <f>IF(inputPrYr!H20&gt;0,inputPrYr!H20,inputPrYr!E20)</f>
        <v>792630</v>
      </c>
      <c r="E43" s="292" t="s">
        <v>62</v>
      </c>
      <c r="G43" s="460">
        <f>summ!E18</f>
        <v>1.5069999999999999</v>
      </c>
      <c r="H43" s="456" t="str">
        <f>CONCATENATE("",E1-1," Fund Mill Rate")</f>
        <v>2013 Fund Mill Rate</v>
      </c>
      <c r="I43" s="457"/>
      <c r="J43" s="458"/>
    </row>
    <row r="44" spans="2:11" x14ac:dyDescent="0.2">
      <c r="B44" s="114" t="s">
        <v>77</v>
      </c>
      <c r="C44" s="359">
        <v>8292</v>
      </c>
      <c r="D44" s="359">
        <v>5000</v>
      </c>
      <c r="E44" s="78">
        <v>5000</v>
      </c>
      <c r="G44" s="461">
        <f>summ!H34</f>
        <v>78.608000000000004</v>
      </c>
      <c r="H44" s="456" t="str">
        <f>CONCATENATE("Total ",E1," Mill Rate")</f>
        <v>Total 2014 Mill Rate</v>
      </c>
      <c r="I44" s="457"/>
      <c r="J44" s="458"/>
    </row>
    <row r="45" spans="2:11" x14ac:dyDescent="0.2">
      <c r="B45" s="114" t="s">
        <v>78</v>
      </c>
      <c r="C45" s="359">
        <v>59542</v>
      </c>
      <c r="D45" s="359">
        <v>66318</v>
      </c>
      <c r="E45" s="222">
        <f>mvalloc!E11</f>
        <v>70281</v>
      </c>
      <c r="G45" s="460">
        <f>summ!E34</f>
        <v>77.590999999999994</v>
      </c>
      <c r="H45" s="462" t="str">
        <f>CONCATENATE("Total ",E1-1," Mill Rate")</f>
        <v>Total 2013 Mill Rate</v>
      </c>
      <c r="I45" s="463"/>
      <c r="J45" s="464"/>
    </row>
    <row r="46" spans="2:11" x14ac:dyDescent="0.25">
      <c r="B46" s="114" t="s">
        <v>79</v>
      </c>
      <c r="C46" s="359">
        <v>1039</v>
      </c>
      <c r="D46" s="359">
        <v>1263</v>
      </c>
      <c r="E46" s="222">
        <f>mvalloc!F11</f>
        <v>1213</v>
      </c>
      <c r="G46" s="1"/>
      <c r="H46" s="1"/>
      <c r="I46" s="1"/>
      <c r="J46" s="1"/>
    </row>
    <row r="47" spans="2:11" x14ac:dyDescent="0.25">
      <c r="B47" s="262" t="s">
        <v>147</v>
      </c>
      <c r="C47" s="359">
        <v>6933</v>
      </c>
      <c r="D47" s="359">
        <v>8587</v>
      </c>
      <c r="E47" s="222">
        <f>mvalloc!G11</f>
        <v>9873</v>
      </c>
      <c r="G47" s="1"/>
      <c r="H47" s="1"/>
      <c r="I47" s="1"/>
      <c r="J47" s="1"/>
    </row>
    <row r="48" spans="2:11" x14ac:dyDescent="0.25">
      <c r="B48" s="265" t="s">
        <v>396</v>
      </c>
      <c r="C48" s="359">
        <v>526</v>
      </c>
      <c r="D48" s="359">
        <v>525</v>
      </c>
      <c r="E48" s="78">
        <v>525</v>
      </c>
      <c r="G48" s="1"/>
      <c r="H48" s="1"/>
      <c r="I48" s="1"/>
      <c r="J48" s="1"/>
    </row>
    <row r="49" spans="2:10" x14ac:dyDescent="0.25">
      <c r="B49" s="274" t="s">
        <v>436</v>
      </c>
      <c r="C49" s="359"/>
      <c r="D49" s="359"/>
      <c r="E49" s="78"/>
      <c r="G49" s="1"/>
      <c r="H49" s="1"/>
      <c r="I49" s="1"/>
      <c r="J49" s="1"/>
    </row>
    <row r="50" spans="2:10" x14ac:dyDescent="0.25">
      <c r="B50" s="266" t="s">
        <v>38</v>
      </c>
      <c r="C50" s="359"/>
      <c r="D50" s="359"/>
      <c r="E50" s="78"/>
      <c r="G50" s="1"/>
      <c r="H50" s="1"/>
      <c r="I50" s="1"/>
      <c r="J50" s="1"/>
    </row>
    <row r="51" spans="2:10" x14ac:dyDescent="0.25">
      <c r="B51" s="266" t="s">
        <v>285</v>
      </c>
      <c r="C51" s="360" t="str">
        <f>IF(C52*0.1&lt;C50,"Exceed 10% Rule","")</f>
        <v/>
      </c>
      <c r="D51" s="360" t="str">
        <f>IF(D52*0.1&lt;D50,"Exceed 10% Rule","")</f>
        <v/>
      </c>
      <c r="E51" s="293" t="str">
        <f>IF(E52*0.1+E75&lt;E50,"Exceed 10% Rule","")</f>
        <v/>
      </c>
      <c r="G51" s="1"/>
      <c r="H51" s="1"/>
      <c r="I51" s="1"/>
      <c r="J51" s="1"/>
    </row>
    <row r="52" spans="2:10" x14ac:dyDescent="0.25">
      <c r="B52" s="268" t="s">
        <v>82</v>
      </c>
      <c r="C52" s="361">
        <f>SUM(C43:C50)</f>
        <v>861775</v>
      </c>
      <c r="D52" s="361">
        <f>SUM(D43:D50)</f>
        <v>874323</v>
      </c>
      <c r="E52" s="298">
        <f>SUM(E43:E50)</f>
        <v>86892</v>
      </c>
      <c r="G52" s="1"/>
      <c r="H52" s="1"/>
      <c r="I52" s="1"/>
      <c r="J52" s="1"/>
    </row>
    <row r="53" spans="2:10" x14ac:dyDescent="0.25">
      <c r="B53" s="268" t="s">
        <v>83</v>
      </c>
      <c r="C53" s="361">
        <f>C41+C52</f>
        <v>947905</v>
      </c>
      <c r="D53" s="361">
        <f>D41+D52</f>
        <v>950567</v>
      </c>
      <c r="E53" s="298">
        <f>E41+E52</f>
        <v>123075</v>
      </c>
      <c r="G53" s="1"/>
      <c r="H53" s="1"/>
      <c r="I53" s="1"/>
      <c r="J53" s="1"/>
    </row>
    <row r="54" spans="2:10" x14ac:dyDescent="0.25">
      <c r="B54" s="114" t="s">
        <v>86</v>
      </c>
      <c r="C54" s="266"/>
      <c r="D54" s="266"/>
      <c r="E54" s="74"/>
      <c r="G54" s="1"/>
      <c r="H54" s="1"/>
      <c r="I54" s="1"/>
      <c r="J54" s="1"/>
    </row>
    <row r="55" spans="2:10" x14ac:dyDescent="0.25">
      <c r="B55" s="274" t="s">
        <v>406</v>
      </c>
      <c r="C55" s="359"/>
      <c r="D55" s="359"/>
      <c r="E55" s="78"/>
      <c r="G55" s="1"/>
      <c r="H55" s="1"/>
      <c r="I55" s="1"/>
      <c r="J55" s="1"/>
    </row>
    <row r="56" spans="2:10" x14ac:dyDescent="0.25">
      <c r="B56" s="274" t="s">
        <v>407</v>
      </c>
      <c r="C56" s="359">
        <v>110676</v>
      </c>
      <c r="D56" s="359">
        <v>112000</v>
      </c>
      <c r="E56" s="78">
        <v>117000</v>
      </c>
      <c r="G56" s="1"/>
      <c r="H56" s="1"/>
      <c r="I56" s="1"/>
      <c r="J56" s="1"/>
    </row>
    <row r="57" spans="2:10" x14ac:dyDescent="0.25">
      <c r="B57" s="274" t="s">
        <v>408</v>
      </c>
      <c r="C57" s="359">
        <v>115255</v>
      </c>
      <c r="D57" s="359">
        <v>117000</v>
      </c>
      <c r="E57" s="78">
        <v>125000</v>
      </c>
      <c r="G57" s="1"/>
      <c r="H57" s="1"/>
      <c r="I57" s="1"/>
      <c r="J57" s="1"/>
    </row>
    <row r="58" spans="2:10" x14ac:dyDescent="0.25">
      <c r="B58" s="274" t="s">
        <v>409</v>
      </c>
      <c r="C58" s="359">
        <v>10344</v>
      </c>
      <c r="D58" s="359">
        <v>11000</v>
      </c>
      <c r="E58" s="78">
        <v>12000</v>
      </c>
      <c r="G58" s="1"/>
      <c r="H58" s="1"/>
      <c r="I58" s="1"/>
      <c r="J58" s="1"/>
    </row>
    <row r="59" spans="2:10" x14ac:dyDescent="0.25">
      <c r="B59" s="274" t="s">
        <v>410</v>
      </c>
      <c r="C59" s="359">
        <v>611975</v>
      </c>
      <c r="D59" s="359">
        <v>620000</v>
      </c>
      <c r="E59" s="78">
        <v>630000</v>
      </c>
      <c r="G59" s="1"/>
      <c r="H59" s="1"/>
      <c r="I59" s="1"/>
      <c r="J59" s="1"/>
    </row>
    <row r="60" spans="2:10" x14ac:dyDescent="0.2">
      <c r="B60" s="274" t="s">
        <v>411</v>
      </c>
      <c r="C60" s="359">
        <v>2106</v>
      </c>
      <c r="D60" s="359">
        <v>2000</v>
      </c>
      <c r="E60" s="78">
        <v>3000</v>
      </c>
      <c r="G60" s="440"/>
      <c r="H60" s="441"/>
      <c r="I60" s="442"/>
      <c r="J60" s="443"/>
    </row>
    <row r="61" spans="2:10" x14ac:dyDescent="0.2">
      <c r="B61" s="274" t="s">
        <v>412</v>
      </c>
      <c r="C61" s="359">
        <v>35051</v>
      </c>
      <c r="D61" s="359">
        <v>37553</v>
      </c>
      <c r="E61" s="78">
        <v>39000</v>
      </c>
      <c r="G61" s="444" t="s">
        <v>290</v>
      </c>
      <c r="H61" s="442"/>
      <c r="I61" s="442"/>
      <c r="J61" s="445">
        <v>0</v>
      </c>
    </row>
    <row r="62" spans="2:10" x14ac:dyDescent="0.2">
      <c r="B62" s="274" t="s">
        <v>413</v>
      </c>
      <c r="C62" s="359">
        <v>7974</v>
      </c>
      <c r="D62" s="359">
        <v>9000</v>
      </c>
      <c r="E62" s="78">
        <v>10000</v>
      </c>
      <c r="G62" s="440" t="s">
        <v>291</v>
      </c>
      <c r="H62" s="441"/>
      <c r="I62" s="441"/>
      <c r="J62" s="446" t="str">
        <f>IF(J61=0,"",ROUND((J61+E75-G75)/inputOth!E6*1000,3)-G80)</f>
        <v/>
      </c>
    </row>
    <row r="63" spans="2:10" x14ac:dyDescent="0.2">
      <c r="B63" s="274" t="s">
        <v>414</v>
      </c>
      <c r="C63" s="359">
        <v>-27642</v>
      </c>
      <c r="D63" s="359">
        <v>-500</v>
      </c>
      <c r="E63" s="78"/>
      <c r="G63" s="440"/>
      <c r="H63" s="441"/>
      <c r="I63" s="441"/>
      <c r="J63" s="446"/>
    </row>
    <row r="64" spans="2:10" x14ac:dyDescent="0.2">
      <c r="B64" s="274"/>
      <c r="C64" s="359"/>
      <c r="D64" s="359"/>
      <c r="E64" s="78"/>
      <c r="G64" s="447" t="str">
        <f>CONCATENATE("",E1," Tot Exp/Non-Appr Must Be:")</f>
        <v>2014 Tot Exp/Non-Appr Must Be:</v>
      </c>
      <c r="H64" s="448"/>
      <c r="I64" s="449"/>
      <c r="J64" s="450">
        <f>IF(J61&gt;0,IF(E72&lt;E53,IF(J61=G75,E72,((J61-G75)*(1-D74))+E53),E72+(J61-G75)),0)</f>
        <v>0</v>
      </c>
    </row>
    <row r="65" spans="2:11" x14ac:dyDescent="0.2">
      <c r="B65" s="266" t="s">
        <v>39</v>
      </c>
      <c r="C65" s="359">
        <v>5922</v>
      </c>
      <c r="D65" s="359">
        <v>6331</v>
      </c>
      <c r="E65" s="86">
        <f>Nhood!E9</f>
        <v>7557</v>
      </c>
      <c r="G65" s="451" t="s">
        <v>318</v>
      </c>
      <c r="H65" s="452"/>
      <c r="I65" s="452"/>
      <c r="J65" s="453">
        <f>IF(J61&gt;0,J64-E72,0)</f>
        <v>0</v>
      </c>
    </row>
    <row r="66" spans="2:11" x14ac:dyDescent="0.25">
      <c r="B66" s="266" t="s">
        <v>38</v>
      </c>
      <c r="C66" s="359"/>
      <c r="D66" s="359"/>
      <c r="E66" s="78"/>
      <c r="G66" s="1"/>
      <c r="H66" s="1"/>
      <c r="I66" s="1"/>
      <c r="J66" s="1"/>
    </row>
    <row r="67" spans="2:11" x14ac:dyDescent="0.2">
      <c r="B67" s="266" t="s">
        <v>284</v>
      </c>
      <c r="C67" s="360" t="str">
        <f>IF(C68*0.1&lt;C66,"Exceed 10% Rule","")</f>
        <v/>
      </c>
      <c r="D67" s="360" t="str">
        <f>IF(D68*0.1&lt;D66,"Exceed 10% Rule","")</f>
        <v/>
      </c>
      <c r="E67" s="293" t="str">
        <f>IF(E68*0.1&lt;E66,"Exceed 10% Rule","")</f>
        <v/>
      </c>
      <c r="G67" s="581" t="str">
        <f>CONCATENATE("Projected Carryover Into ",E1+1,"")</f>
        <v>Projected Carryover Into 2015</v>
      </c>
      <c r="H67" s="589"/>
      <c r="I67" s="589"/>
      <c r="J67" s="588"/>
    </row>
    <row r="68" spans="2:11" x14ac:dyDescent="0.25">
      <c r="B68" s="268" t="s">
        <v>87</v>
      </c>
      <c r="C68" s="361">
        <f>SUM(C55:C66)</f>
        <v>871661</v>
      </c>
      <c r="D68" s="361">
        <f>SUM(D55:D66)</f>
        <v>914384</v>
      </c>
      <c r="E68" s="298">
        <f>SUM(E55:E66)</f>
        <v>943557</v>
      </c>
      <c r="G68" s="475"/>
      <c r="H68" s="441"/>
      <c r="I68" s="441"/>
      <c r="J68" s="470"/>
    </row>
    <row r="69" spans="2:11" x14ac:dyDescent="0.25">
      <c r="B69" s="114" t="s">
        <v>198</v>
      </c>
      <c r="C69" s="364">
        <f>C53-C68</f>
        <v>76244</v>
      </c>
      <c r="D69" s="364">
        <f>D53-D68</f>
        <v>36183</v>
      </c>
      <c r="E69" s="292" t="s">
        <v>62</v>
      </c>
      <c r="G69" s="466">
        <f>D69</f>
        <v>36183</v>
      </c>
      <c r="H69" s="456" t="str">
        <f>CONCATENATE("",E1-1," Ending Cash Balance (est.)")</f>
        <v>2013 Ending Cash Balance (est.)</v>
      </c>
      <c r="I69" s="467"/>
      <c r="J69" s="470"/>
    </row>
    <row r="70" spans="2:11" x14ac:dyDescent="0.25">
      <c r="B70" s="244" t="str">
        <f>CONCATENATE("",E$1-2,"/",E$1-1," Budget Authority Amount:")</f>
        <v>2012/2013 Budget Authority Amount:</v>
      </c>
      <c r="C70" s="236">
        <f>inputOth!B34</f>
        <v>902379</v>
      </c>
      <c r="D70" s="236">
        <f>inputPrYr!D20</f>
        <v>914831</v>
      </c>
      <c r="E70" s="292" t="s">
        <v>62</v>
      </c>
      <c r="G70" s="466">
        <f>E52</f>
        <v>86892</v>
      </c>
      <c r="H70" s="442" t="str">
        <f>CONCATENATE("",E1," Non-AV Receipts (est.)")</f>
        <v>2014 Non-AV Receipts (est.)</v>
      </c>
      <c r="I70" s="467"/>
      <c r="J70" s="470"/>
    </row>
    <row r="71" spans="2:11" x14ac:dyDescent="0.25">
      <c r="B71" s="244"/>
      <c r="C71" s="570" t="s">
        <v>287</v>
      </c>
      <c r="D71" s="571"/>
      <c r="E71" s="78"/>
      <c r="F71" s="276"/>
      <c r="G71" s="468">
        <f>IF(E74&gt;0,E73,E75)</f>
        <v>820482</v>
      </c>
      <c r="H71" s="442" t="str">
        <f>CONCATENATE("",E1," Ad Valorem Tax (est.)")</f>
        <v>2014 Ad Valorem Tax (est.)</v>
      </c>
      <c r="I71" s="467"/>
      <c r="J71" s="470"/>
      <c r="K71" s="454" t="str">
        <f>IF(G71=E75,"","Note: Does not include Delinquent Taxes")</f>
        <v>Note: Does not include Delinquent Taxes</v>
      </c>
    </row>
    <row r="72" spans="2:11" x14ac:dyDescent="0.25">
      <c r="B72" s="391" t="str">
        <f>CONCATENATE(C88,"     ",D88)</f>
        <v xml:space="preserve">     </v>
      </c>
      <c r="C72" s="572" t="s">
        <v>288</v>
      </c>
      <c r="D72" s="573"/>
      <c r="E72" s="222">
        <f>E68+E71</f>
        <v>943557</v>
      </c>
      <c r="F72" s="388" t="str">
        <f>IF(E68/0.95-E68&lt;E71,"Exceeds 5%","")</f>
        <v/>
      </c>
      <c r="G72" s="476">
        <f>SUM(G69:G71)</f>
        <v>943557</v>
      </c>
      <c r="H72" s="442" t="str">
        <f>CONCATENATE("Total ",E1," Resources Available")</f>
        <v>Total 2014 Resources Available</v>
      </c>
      <c r="I72" s="477"/>
      <c r="J72" s="470"/>
    </row>
    <row r="73" spans="2:11" x14ac:dyDescent="0.25">
      <c r="B73" s="391" t="str">
        <f>CONCATENATE(C89,"     ",D89)</f>
        <v xml:space="preserve">     </v>
      </c>
      <c r="C73" s="277"/>
      <c r="D73" s="196" t="s">
        <v>88</v>
      </c>
      <c r="E73" s="86">
        <f>IF(E72-E53&gt;0,E72-E53,0)</f>
        <v>820482</v>
      </c>
      <c r="G73" s="478"/>
      <c r="H73" s="479"/>
      <c r="I73" s="441"/>
      <c r="J73" s="470"/>
    </row>
    <row r="74" spans="2:11" x14ac:dyDescent="0.25">
      <c r="B74" s="196"/>
      <c r="C74" s="390" t="s">
        <v>289</v>
      </c>
      <c r="D74" s="439">
        <f>inputOth!$E$23</f>
        <v>0.01</v>
      </c>
      <c r="E74" s="222">
        <f>ROUND(IF(D74&gt;0,($E$73*D74),0),0)</f>
        <v>8205</v>
      </c>
      <c r="G74" s="480">
        <f>ROUND(C68*0.05+C68,0)</f>
        <v>915244</v>
      </c>
      <c r="H74" s="442" t="str">
        <f>CONCATENATE("Less ",E1-2," Expenditures + 5%")</f>
        <v>Less 2012 Expenditures + 5%</v>
      </c>
      <c r="I74" s="477"/>
      <c r="J74" s="470"/>
    </row>
    <row r="75" spans="2:11" x14ac:dyDescent="0.25">
      <c r="B75" s="51"/>
      <c r="C75" s="575" t="str">
        <f>CONCATENATE("Amount of  ",$E$1-1," Ad Valorem Tax")</f>
        <v>Amount of  2013 Ad Valorem Tax</v>
      </c>
      <c r="D75" s="576"/>
      <c r="E75" s="294">
        <f>E73+E74</f>
        <v>828687</v>
      </c>
      <c r="G75" s="481">
        <f>G72-G74</f>
        <v>28313</v>
      </c>
      <c r="H75" s="472" t="str">
        <f>CONCATENATE("Projected ",E1+1," carryover (est.)")</f>
        <v>Projected 2015 carryover (est.)</v>
      </c>
      <c r="I75" s="482"/>
      <c r="J75" s="483"/>
    </row>
    <row r="76" spans="2:11" x14ac:dyDescent="0.25">
      <c r="B76" s="244" t="s">
        <v>108</v>
      </c>
      <c r="C76" s="295">
        <v>9</v>
      </c>
      <c r="D76" s="51"/>
      <c r="E76" s="51"/>
      <c r="G76" s="1"/>
      <c r="H76" s="1"/>
      <c r="I76" s="1"/>
      <c r="J76" s="1"/>
    </row>
    <row r="77" spans="2:11" x14ac:dyDescent="0.2">
      <c r="G77" s="578" t="s">
        <v>319</v>
      </c>
      <c r="H77" s="579"/>
      <c r="I77" s="579"/>
      <c r="J77" s="580"/>
    </row>
    <row r="78" spans="2:11" x14ac:dyDescent="0.2">
      <c r="G78" s="455"/>
      <c r="H78" s="456"/>
      <c r="I78" s="457"/>
      <c r="J78" s="458"/>
    </row>
    <row r="79" spans="2:11" x14ac:dyDescent="0.2">
      <c r="G79" s="459">
        <f>summ!H19</f>
        <v>18.283000000000001</v>
      </c>
      <c r="H79" s="456" t="str">
        <f>CONCATENATE("",E1," Fund Mill Rate")</f>
        <v>2014 Fund Mill Rate</v>
      </c>
      <c r="I79" s="457"/>
      <c r="J79" s="458"/>
    </row>
    <row r="80" spans="2:11" x14ac:dyDescent="0.2">
      <c r="G80" s="460">
        <f>summ!E19</f>
        <v>18.484999999999999</v>
      </c>
      <c r="H80" s="456" t="str">
        <f>CONCATENATE("",E1-1," Fund Mill Rate")</f>
        <v>2013 Fund Mill Rate</v>
      </c>
      <c r="I80" s="457"/>
      <c r="J80" s="458"/>
    </row>
    <row r="81" spans="3:10" x14ac:dyDescent="0.2">
      <c r="G81" s="461">
        <f>summ!H34</f>
        <v>78.608000000000004</v>
      </c>
      <c r="H81" s="456" t="str">
        <f>CONCATENATE("Total ",E1," Mill Rate")</f>
        <v>Total 2014 Mill Rate</v>
      </c>
      <c r="I81" s="457"/>
      <c r="J81" s="458"/>
    </row>
    <row r="82" spans="3:10" x14ac:dyDescent="0.2">
      <c r="G82" s="460">
        <f>summ!E34</f>
        <v>77.590999999999994</v>
      </c>
      <c r="H82" s="462" t="str">
        <f>CONCATENATE("Total ",E1-1," Mill Rate")</f>
        <v>Total 2013 Mill Rate</v>
      </c>
      <c r="I82" s="463"/>
      <c r="J82" s="464"/>
    </row>
    <row r="86" spans="3:10" x14ac:dyDescent="0.2">
      <c r="C86" s="48" t="str">
        <f>IF(C30&gt;C32,"See Tab A","")</f>
        <v/>
      </c>
      <c r="D86" s="48" t="str">
        <f>IF(D30&gt;D32,"See Tab C","")</f>
        <v/>
      </c>
    </row>
    <row r="87" spans="3:10" hidden="1" x14ac:dyDescent="0.2">
      <c r="C87" s="48" t="str">
        <f>IF(C31&lt;0,"See Tab B","")</f>
        <v/>
      </c>
      <c r="D87" s="48" t="str">
        <f>IF(D31&lt;0,"See Tab D","")</f>
        <v/>
      </c>
    </row>
    <row r="88" spans="3:10" hidden="1" x14ac:dyDescent="0.2">
      <c r="C88" s="48" t="str">
        <f>IF(C68&gt;C70,"See Tab A","")</f>
        <v/>
      </c>
      <c r="D88" s="48" t="str">
        <f>IF(D68&gt;D70,"See Tab C","")</f>
        <v/>
      </c>
    </row>
    <row r="89" spans="3:10" hidden="1" x14ac:dyDescent="0.2">
      <c r="C89" s="48" t="str">
        <f>IF(C69&lt;0,"See Tab B","")</f>
        <v/>
      </c>
      <c r="D89" s="48" t="str">
        <f>IF(D69&lt;0,"See Tab D","")</f>
        <v/>
      </c>
    </row>
    <row r="90" spans="3:10" hidden="1" x14ac:dyDescent="0.2"/>
  </sheetData>
  <mergeCells count="11">
    <mergeCell ref="C33:D33"/>
    <mergeCell ref="C34:D34"/>
    <mergeCell ref="C71:D71"/>
    <mergeCell ref="C72:D72"/>
    <mergeCell ref="C75:D75"/>
    <mergeCell ref="C37:D37"/>
    <mergeCell ref="G23:J23"/>
    <mergeCell ref="G30:J30"/>
    <mergeCell ref="G40:J40"/>
    <mergeCell ref="G67:J67"/>
    <mergeCell ref="G77:J77"/>
  </mergeCells>
  <phoneticPr fontId="0" type="noConversion"/>
  <conditionalFormatting sqref="E66">
    <cfRule type="cellIs" dxfId="138" priority="4" stopIfTrue="1" operator="greaterThan">
      <formula>$E$68*0.1</formula>
    </cfRule>
  </conditionalFormatting>
  <conditionalFormatting sqref="E71">
    <cfRule type="cellIs" dxfId="137" priority="5" stopIfTrue="1" operator="greaterThan">
      <formula>$E$68/0.95-$E$68</formula>
    </cfRule>
  </conditionalFormatting>
  <conditionalFormatting sqref="E33">
    <cfRule type="cellIs" dxfId="136" priority="6" stopIfTrue="1" operator="greaterThan">
      <formula>$E$30/0.95-$E$30</formula>
    </cfRule>
  </conditionalFormatting>
  <conditionalFormatting sqref="E28">
    <cfRule type="cellIs" dxfId="135" priority="7" stopIfTrue="1" operator="greaterThan">
      <formula>$E$30*0.1</formula>
    </cfRule>
  </conditionalFormatting>
  <conditionalFormatting sqref="C30">
    <cfRule type="cellIs" dxfId="134" priority="8" stopIfTrue="1" operator="greaterThan">
      <formula>$C$32</formula>
    </cfRule>
  </conditionalFormatting>
  <conditionalFormatting sqref="C69 C31">
    <cfRule type="cellIs" dxfId="133" priority="9" stopIfTrue="1" operator="lessThan">
      <formula>0</formula>
    </cfRule>
  </conditionalFormatting>
  <conditionalFormatting sqref="D30">
    <cfRule type="cellIs" dxfId="132" priority="10" stopIfTrue="1" operator="greaterThan">
      <formula>$D$32</formula>
    </cfRule>
  </conditionalFormatting>
  <conditionalFormatting sqref="C68">
    <cfRule type="cellIs" dxfId="131" priority="11" stopIfTrue="1" operator="greaterThan">
      <formula>$C$70</formula>
    </cfRule>
  </conditionalFormatting>
  <conditionalFormatting sqref="D68">
    <cfRule type="cellIs" dxfId="130" priority="12" stopIfTrue="1" operator="greaterThan">
      <formula>$D$70</formula>
    </cfRule>
  </conditionalFormatting>
  <conditionalFormatting sqref="C66">
    <cfRule type="cellIs" dxfId="129" priority="13" stopIfTrue="1" operator="greaterThan">
      <formula>$C$68*0.1</formula>
    </cfRule>
  </conditionalFormatting>
  <conditionalFormatting sqref="D66">
    <cfRule type="cellIs" dxfId="128" priority="14" stopIfTrue="1" operator="greaterThan">
      <formula>$D$68*0.1</formula>
    </cfRule>
  </conditionalFormatting>
  <conditionalFormatting sqref="E50">
    <cfRule type="cellIs" dxfId="127" priority="15" stopIfTrue="1" operator="greaterThan">
      <formula>$E$52*0.1+E75</formula>
    </cfRule>
  </conditionalFormatting>
  <conditionalFormatting sqref="C50">
    <cfRule type="cellIs" dxfId="126" priority="16" stopIfTrue="1" operator="greaterThan">
      <formula>$C$52*0.1</formula>
    </cfRule>
  </conditionalFormatting>
  <conditionalFormatting sqref="D50">
    <cfRule type="cellIs" dxfId="125" priority="17" stopIfTrue="1" operator="greaterThan">
      <formula>$D$52*0.1</formula>
    </cfRule>
  </conditionalFormatting>
  <conditionalFormatting sqref="C28">
    <cfRule type="cellIs" dxfId="124" priority="18" stopIfTrue="1" operator="greaterThan">
      <formula>$C$30*0.1</formula>
    </cfRule>
  </conditionalFormatting>
  <conditionalFormatting sqref="D28">
    <cfRule type="cellIs" dxfId="123" priority="19" stopIfTrue="1" operator="greaterThan">
      <formula>$D$30*0.1</formula>
    </cfRule>
  </conditionalFormatting>
  <conditionalFormatting sqref="E15">
    <cfRule type="cellIs" dxfId="122" priority="20" stopIfTrue="1" operator="greaterThan">
      <formula>$E$17*0.1+E37</formula>
    </cfRule>
  </conditionalFormatting>
  <conditionalFormatting sqref="C15">
    <cfRule type="cellIs" dxfId="121" priority="21" stopIfTrue="1" operator="greaterThan">
      <formula>$C$17*0.1</formula>
    </cfRule>
  </conditionalFormatting>
  <conditionalFormatting sqref="D15">
    <cfRule type="cellIs" dxfId="120" priority="22" stopIfTrue="1" operator="greaterThan">
      <formula>$D$17*0.1</formula>
    </cfRule>
  </conditionalFormatting>
  <conditionalFormatting sqref="D31">
    <cfRule type="cellIs" dxfId="119" priority="2" stopIfTrue="1" operator="lessThan">
      <formula>0</formula>
    </cfRule>
    <cfRule type="cellIs" dxfId="118" priority="3" stopIfTrue="1" operator="lessThan">
      <formula>0</formula>
    </cfRule>
  </conditionalFormatting>
  <conditionalFormatting sqref="D69">
    <cfRule type="cellIs" dxfId="117" priority="1" stopIfTrue="1" operator="lessThan">
      <formula>0</formula>
    </cfRule>
  </conditionalFormatting>
  <pageMargins left="1.1200000000000001" right="0.5" top="0.74" bottom="0.34" header="0.5" footer="0"/>
  <pageSetup scale="60" orientation="portrait" blackAndWhite="1" r:id="rId1"/>
  <headerFooter alignWithMargins="0">
    <oddHeader xml:space="preserve">&amp;RState of Kansas
County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K88"/>
  <sheetViews>
    <sheetView zoomScaleNormal="100" workbookViewId="0">
      <selection activeCell="E24" sqref="E24"/>
    </sheetView>
  </sheetViews>
  <sheetFormatPr defaultRowHeight="15.75" x14ac:dyDescent="0.2"/>
  <cols>
    <col min="1" max="1" width="2.44140625" style="48" customWidth="1"/>
    <col min="2" max="2" width="31.109375" style="48" customWidth="1"/>
    <col min="3" max="4" width="15.77734375" style="48" customWidth="1"/>
    <col min="5" max="5" width="16.109375" style="48" customWidth="1"/>
    <col min="6" max="6" width="7.44140625" style="48" customWidth="1"/>
    <col min="7" max="7" width="10.21875" style="48" customWidth="1"/>
    <col min="8" max="8" width="8.88671875" style="48"/>
    <col min="9" max="9" width="5" style="48" customWidth="1"/>
    <col min="10" max="10" width="10" style="48" customWidth="1"/>
    <col min="11" max="16384" width="8.88671875" style="48"/>
  </cols>
  <sheetData>
    <row r="1" spans="2:5" x14ac:dyDescent="0.2">
      <c r="B1" s="184" t="str">
        <f>(inputPrYr!C2)</f>
        <v>Edwards County</v>
      </c>
      <c r="C1" s="51"/>
      <c r="D1" s="51"/>
      <c r="E1" s="243">
        <f>inputPrYr!C4</f>
        <v>2014</v>
      </c>
    </row>
    <row r="2" spans="2:5" x14ac:dyDescent="0.2">
      <c r="B2" s="51"/>
      <c r="C2" s="51"/>
      <c r="D2" s="51"/>
      <c r="E2" s="196"/>
    </row>
    <row r="3" spans="2:5" x14ac:dyDescent="0.2">
      <c r="B3" s="118" t="s">
        <v>155</v>
      </c>
      <c r="C3" s="289"/>
      <c r="D3" s="289"/>
      <c r="E3" s="290"/>
    </row>
    <row r="4" spans="2:5" x14ac:dyDescent="0.2">
      <c r="B4" s="50" t="s">
        <v>75</v>
      </c>
      <c r="C4" s="488" t="s">
        <v>320</v>
      </c>
      <c r="D4" s="489" t="s">
        <v>321</v>
      </c>
      <c r="E4" s="180" t="s">
        <v>322</v>
      </c>
    </row>
    <row r="5" spans="2:5" x14ac:dyDescent="0.2">
      <c r="B5" s="379" t="str">
        <f>inputPrYr!B21</f>
        <v>County Health</v>
      </c>
      <c r="C5" s="362" t="str">
        <f>CONCATENATE("Actual for ",E1-2,"")</f>
        <v>Actual for 2012</v>
      </c>
      <c r="D5" s="362" t="str">
        <f>CONCATENATE("Estimate for ",E1-1,"")</f>
        <v>Estimate for 2013</v>
      </c>
      <c r="E5" s="259" t="str">
        <f>CONCATENATE("Year for ",E1,"")</f>
        <v>Year for 2014</v>
      </c>
    </row>
    <row r="6" spans="2:5" x14ac:dyDescent="0.2">
      <c r="B6" s="114" t="s">
        <v>197</v>
      </c>
      <c r="C6" s="359">
        <v>25793</v>
      </c>
      <c r="D6" s="363">
        <f>C34</f>
        <v>34810</v>
      </c>
      <c r="E6" s="222">
        <f>D34</f>
        <v>21695</v>
      </c>
    </row>
    <row r="7" spans="2:5" x14ac:dyDescent="0.2">
      <c r="B7" s="247" t="s">
        <v>199</v>
      </c>
      <c r="C7" s="262"/>
      <c r="D7" s="262"/>
      <c r="E7" s="93"/>
    </row>
    <row r="8" spans="2:5" x14ac:dyDescent="0.2">
      <c r="B8" s="114" t="s">
        <v>76</v>
      </c>
      <c r="C8" s="359">
        <v>128982</v>
      </c>
      <c r="D8" s="363">
        <f>IF(inputPrYr!H21&gt;0,inputPrYr!H21,inputPrYr!E21)</f>
        <v>129261</v>
      </c>
      <c r="E8" s="292" t="s">
        <v>62</v>
      </c>
    </row>
    <row r="9" spans="2:5" x14ac:dyDescent="0.2">
      <c r="B9" s="114" t="s">
        <v>77</v>
      </c>
      <c r="C9" s="359">
        <v>1514</v>
      </c>
      <c r="D9" s="359">
        <v>575</v>
      </c>
      <c r="E9" s="78">
        <v>500</v>
      </c>
    </row>
    <row r="10" spans="2:5" x14ac:dyDescent="0.2">
      <c r="B10" s="114" t="s">
        <v>78</v>
      </c>
      <c r="C10" s="359">
        <v>11108</v>
      </c>
      <c r="D10" s="359">
        <v>10889</v>
      </c>
      <c r="E10" s="222">
        <f>mvalloc!E12</f>
        <v>11461</v>
      </c>
    </row>
    <row r="11" spans="2:5" x14ac:dyDescent="0.2">
      <c r="B11" s="114" t="s">
        <v>79</v>
      </c>
      <c r="C11" s="359">
        <v>194</v>
      </c>
      <c r="D11" s="359">
        <v>207</v>
      </c>
      <c r="E11" s="222">
        <f>mvalloc!F12</f>
        <v>198</v>
      </c>
    </row>
    <row r="12" spans="2:5" x14ac:dyDescent="0.2">
      <c r="B12" s="262" t="s">
        <v>147</v>
      </c>
      <c r="C12" s="359">
        <v>1304</v>
      </c>
      <c r="D12" s="359">
        <v>1410</v>
      </c>
      <c r="E12" s="222">
        <f>mvalloc!G12</f>
        <v>1610</v>
      </c>
    </row>
    <row r="13" spans="2:5" x14ac:dyDescent="0.2">
      <c r="B13" s="274" t="s">
        <v>396</v>
      </c>
      <c r="C13" s="359">
        <v>86</v>
      </c>
      <c r="D13" s="359">
        <v>75</v>
      </c>
      <c r="E13" s="78">
        <v>75</v>
      </c>
    </row>
    <row r="14" spans="2:5" x14ac:dyDescent="0.2">
      <c r="B14" s="274"/>
      <c r="C14" s="359"/>
      <c r="D14" s="359"/>
      <c r="E14" s="78"/>
    </row>
    <row r="15" spans="2:5" x14ac:dyDescent="0.2">
      <c r="B15" s="274" t="s">
        <v>400</v>
      </c>
      <c r="C15" s="359">
        <v>33956</v>
      </c>
      <c r="D15" s="359">
        <v>20000</v>
      </c>
      <c r="E15" s="78">
        <v>20000</v>
      </c>
    </row>
    <row r="16" spans="2:5" x14ac:dyDescent="0.2">
      <c r="B16" s="265" t="s">
        <v>81</v>
      </c>
      <c r="C16" s="359"/>
      <c r="D16" s="359"/>
      <c r="E16" s="78"/>
    </row>
    <row r="17" spans="2:10" x14ac:dyDescent="0.2">
      <c r="B17" s="266" t="s">
        <v>38</v>
      </c>
      <c r="C17" s="359"/>
      <c r="D17" s="359"/>
      <c r="E17" s="78"/>
    </row>
    <row r="18" spans="2:10" x14ac:dyDescent="0.2">
      <c r="B18" s="266" t="s">
        <v>285</v>
      </c>
      <c r="C18" s="360" t="str">
        <f>IF(C19*0.1&lt;C17,"Exceed 10% Rule","")</f>
        <v/>
      </c>
      <c r="D18" s="360" t="str">
        <f>IF(D19*0.1&lt;D17,"Exceed 10% Rule","")</f>
        <v/>
      </c>
      <c r="E18" s="293" t="str">
        <f>IF(E19*0.1+E40&lt;E17,"Exceed 10% Rule","")</f>
        <v/>
      </c>
    </row>
    <row r="19" spans="2:10" x14ac:dyDescent="0.2">
      <c r="B19" s="268" t="s">
        <v>82</v>
      </c>
      <c r="C19" s="361">
        <f>SUM(C8:C17)</f>
        <v>177144</v>
      </c>
      <c r="D19" s="361">
        <f>SUM(D8:D17)</f>
        <v>162417</v>
      </c>
      <c r="E19" s="298">
        <f>SUM(E8:E17)</f>
        <v>33844</v>
      </c>
    </row>
    <row r="20" spans="2:10" x14ac:dyDescent="0.2">
      <c r="B20" s="268" t="s">
        <v>83</v>
      </c>
      <c r="C20" s="361">
        <f>C6+C19</f>
        <v>202937</v>
      </c>
      <c r="D20" s="361">
        <f>D6+D19</f>
        <v>197227</v>
      </c>
      <c r="E20" s="298">
        <f>E6+E19</f>
        <v>55539</v>
      </c>
    </row>
    <row r="21" spans="2:10" x14ac:dyDescent="0.2">
      <c r="B21" s="114" t="s">
        <v>86</v>
      </c>
      <c r="C21" s="266"/>
      <c r="D21" s="266"/>
      <c r="E21" s="74"/>
    </row>
    <row r="22" spans="2:10" x14ac:dyDescent="0.2">
      <c r="B22" s="274" t="s">
        <v>415</v>
      </c>
      <c r="C22" s="359"/>
      <c r="D22" s="359"/>
      <c r="E22" s="78"/>
    </row>
    <row r="23" spans="2:10" x14ac:dyDescent="0.2">
      <c r="B23" s="274" t="s">
        <v>91</v>
      </c>
      <c r="C23" s="359">
        <v>141640</v>
      </c>
      <c r="D23" s="359">
        <v>146000</v>
      </c>
      <c r="E23" s="78">
        <v>147279</v>
      </c>
      <c r="G23" s="581" t="str">
        <f>CONCATENATE("Desired Carryover Into ",E1+1,"")</f>
        <v>Desired Carryover Into 2015</v>
      </c>
      <c r="H23" s="582"/>
      <c r="I23" s="582"/>
      <c r="J23" s="583"/>
    </row>
    <row r="24" spans="2:10" x14ac:dyDescent="0.2">
      <c r="B24" s="274" t="s">
        <v>92</v>
      </c>
      <c r="C24" s="359">
        <v>22046</v>
      </c>
      <c r="D24" s="359">
        <v>21000</v>
      </c>
      <c r="E24" s="78">
        <f>23830-475</f>
        <v>23355</v>
      </c>
      <c r="G24" s="440"/>
      <c r="H24" s="441"/>
      <c r="I24" s="442"/>
      <c r="J24" s="443"/>
    </row>
    <row r="25" spans="2:10" x14ac:dyDescent="0.2">
      <c r="B25" s="274" t="s">
        <v>93</v>
      </c>
      <c r="C25" s="359">
        <v>23669</v>
      </c>
      <c r="D25" s="359">
        <v>25000</v>
      </c>
      <c r="E25" s="78">
        <v>27950</v>
      </c>
      <c r="G25" s="444" t="s">
        <v>290</v>
      </c>
      <c r="H25" s="442"/>
      <c r="I25" s="442"/>
      <c r="J25" s="445">
        <v>0</v>
      </c>
    </row>
    <row r="26" spans="2:10" x14ac:dyDescent="0.2">
      <c r="B26" s="274" t="s">
        <v>94</v>
      </c>
      <c r="C26" s="359">
        <v>1680</v>
      </c>
      <c r="D26" s="359">
        <v>500</v>
      </c>
      <c r="E26" s="78"/>
      <c r="G26" s="440" t="s">
        <v>291</v>
      </c>
      <c r="H26" s="441"/>
      <c r="I26" s="441"/>
      <c r="J26" s="446" t="str">
        <f>IF(J25=0,"",ROUND((J25+E40-G38)/inputOth!E6*1000,3)-G43)</f>
        <v/>
      </c>
    </row>
    <row r="27" spans="2:10" x14ac:dyDescent="0.2">
      <c r="B27" s="274" t="s">
        <v>416</v>
      </c>
      <c r="C27" s="359">
        <v>-31881</v>
      </c>
      <c r="D27" s="359">
        <v>-23000</v>
      </c>
      <c r="E27" s="78">
        <v>-20000</v>
      </c>
      <c r="G27" s="447" t="str">
        <f>CONCATENATE("",E1," Tot Exp/Non-Appr Must Be:")</f>
        <v>2014 Tot Exp/Non-Appr Must Be:</v>
      </c>
      <c r="H27" s="448"/>
      <c r="I27" s="449"/>
      <c r="J27" s="450">
        <f>IF(J25&gt;0,IF(E37&lt;E20,IF(J25=G38,E37,((J25-G38)*(1-D39))+E20),E37+(J25-G38)),0)</f>
        <v>0</v>
      </c>
    </row>
    <row r="28" spans="2:10" x14ac:dyDescent="0.2">
      <c r="B28" s="274" t="s">
        <v>381</v>
      </c>
      <c r="C28" s="359"/>
      <c r="D28" s="359"/>
      <c r="E28" s="78"/>
      <c r="G28" s="451" t="s">
        <v>318</v>
      </c>
      <c r="H28" s="452"/>
      <c r="I28" s="452"/>
      <c r="J28" s="453">
        <f>IF(J25&gt;0,J27-E37,0)</f>
        <v>0</v>
      </c>
    </row>
    <row r="29" spans="2:10" x14ac:dyDescent="0.25">
      <c r="B29" s="274" t="s">
        <v>417</v>
      </c>
      <c r="C29" s="359">
        <v>10000</v>
      </c>
      <c r="D29" s="359">
        <v>5000</v>
      </c>
      <c r="E29" s="78">
        <v>5000</v>
      </c>
      <c r="G29" s="1"/>
      <c r="H29" s="1"/>
      <c r="I29" s="1"/>
      <c r="J29" s="1"/>
    </row>
    <row r="30" spans="2:10" x14ac:dyDescent="0.2">
      <c r="B30" s="266" t="s">
        <v>39</v>
      </c>
      <c r="C30" s="359">
        <v>973</v>
      </c>
      <c r="D30" s="359">
        <v>1032</v>
      </c>
      <c r="E30" s="86">
        <f>Nhood!E10</f>
        <v>1232</v>
      </c>
      <c r="G30" s="581" t="str">
        <f>CONCATENATE("Projected Carryover Into ",E1+1,"")</f>
        <v>Projected Carryover Into 2015</v>
      </c>
      <c r="H30" s="587"/>
      <c r="I30" s="587"/>
      <c r="J30" s="588"/>
    </row>
    <row r="31" spans="2:10" x14ac:dyDescent="0.2">
      <c r="B31" s="266" t="s">
        <v>38</v>
      </c>
      <c r="C31" s="359"/>
      <c r="D31" s="359"/>
      <c r="E31" s="78"/>
      <c r="G31" s="440"/>
      <c r="H31" s="442"/>
      <c r="I31" s="442"/>
      <c r="J31" s="465"/>
    </row>
    <row r="32" spans="2:10" x14ac:dyDescent="0.2">
      <c r="B32" s="266" t="s">
        <v>284</v>
      </c>
      <c r="C32" s="360" t="str">
        <f>IF(C33*0.1&lt;C31,"Exceed 10% Rule","")</f>
        <v/>
      </c>
      <c r="D32" s="360" t="str">
        <f>IF(D33*0.1&lt;D31,"Exceed 10% Rule","")</f>
        <v/>
      </c>
      <c r="E32" s="293" t="str">
        <f>IF(E33*0.1&lt;E31,"Exceed 10% Rule","")</f>
        <v/>
      </c>
      <c r="G32" s="466">
        <f>D34</f>
        <v>21695</v>
      </c>
      <c r="H32" s="456" t="str">
        <f>CONCATENATE("",E1-1," Ending Cash Balance (est.)")</f>
        <v>2013 Ending Cash Balance (est.)</v>
      </c>
      <c r="I32" s="467"/>
      <c r="J32" s="465"/>
    </row>
    <row r="33" spans="2:11" x14ac:dyDescent="0.2">
      <c r="B33" s="268" t="s">
        <v>87</v>
      </c>
      <c r="C33" s="361">
        <f>SUM(C22:C31)</f>
        <v>168127</v>
      </c>
      <c r="D33" s="361">
        <f>SUM(D22:D31)</f>
        <v>175532</v>
      </c>
      <c r="E33" s="298">
        <f>SUM(E22:E31)</f>
        <v>184816</v>
      </c>
      <c r="G33" s="466">
        <f>E19</f>
        <v>33844</v>
      </c>
      <c r="H33" s="442" t="str">
        <f>CONCATENATE("",E1," Non-AV Receipts (est.)")</f>
        <v>2014 Non-AV Receipts (est.)</v>
      </c>
      <c r="I33" s="467"/>
      <c r="J33" s="465"/>
    </row>
    <row r="34" spans="2:11" x14ac:dyDescent="0.2">
      <c r="B34" s="114" t="s">
        <v>198</v>
      </c>
      <c r="C34" s="364">
        <f>C20-C33</f>
        <v>34810</v>
      </c>
      <c r="D34" s="364">
        <f>D20-D33</f>
        <v>21695</v>
      </c>
      <c r="E34" s="292" t="s">
        <v>62</v>
      </c>
      <c r="F34" s="276"/>
      <c r="G34" s="468">
        <f>IF(E39&gt;0,E38,E40)</f>
        <v>129277</v>
      </c>
      <c r="H34" s="442" t="str">
        <f>CONCATENATE("",E1," Ad Valorem Tax (est.)")</f>
        <v>2014 Ad Valorem Tax (est.)</v>
      </c>
      <c r="I34" s="467"/>
      <c r="J34" s="465"/>
      <c r="K34" s="454" t="str">
        <f>IF(G34=E40,"","Note: Does not include Delinquent Taxes")</f>
        <v>Note: Does not include Delinquent Taxes</v>
      </c>
    </row>
    <row r="35" spans="2:11" x14ac:dyDescent="0.2">
      <c r="B35" s="244" t="str">
        <f>CONCATENATE("",E$1-2,"/",E$1-1," Budget Authority Amount:")</f>
        <v>2012/2013 Budget Authority Amount:</v>
      </c>
      <c r="C35" s="236">
        <f>inputOth!B35</f>
        <v>170690</v>
      </c>
      <c r="D35" s="236">
        <f>inputPrYr!D21</f>
        <v>181112</v>
      </c>
      <c r="E35" s="292" t="s">
        <v>62</v>
      </c>
      <c r="F35" s="388" t="str">
        <f>IF(E33/0.95-E33&lt;E36,"Exceeds 5%","")</f>
        <v/>
      </c>
      <c r="G35" s="466">
        <f>SUM(G32:G34)</f>
        <v>184816</v>
      </c>
      <c r="H35" s="442" t="str">
        <f>CONCATENATE("Total ",E1," Resources Available")</f>
        <v>Total 2014 Resources Available</v>
      </c>
      <c r="I35" s="467"/>
      <c r="J35" s="465"/>
    </row>
    <row r="36" spans="2:11" x14ac:dyDescent="0.2">
      <c r="B36" s="244"/>
      <c r="C36" s="570" t="s">
        <v>287</v>
      </c>
      <c r="D36" s="571"/>
      <c r="E36" s="250"/>
      <c r="G36" s="469"/>
      <c r="H36" s="442"/>
      <c r="I36" s="442"/>
      <c r="J36" s="465"/>
    </row>
    <row r="37" spans="2:11" x14ac:dyDescent="0.25">
      <c r="B37" s="392" t="str">
        <f>CONCATENATE(C80,"     ",D80)</f>
        <v xml:space="preserve">     </v>
      </c>
      <c r="C37" s="572" t="s">
        <v>288</v>
      </c>
      <c r="D37" s="573"/>
      <c r="E37" s="222">
        <f>E33+E36</f>
        <v>184816</v>
      </c>
      <c r="G37" s="468">
        <f>ROUND(C33*0.05+C33,0)</f>
        <v>176533</v>
      </c>
      <c r="H37" s="442" t="str">
        <f>CONCATENATE("Less ",E1-2," Expenditures + 5%")</f>
        <v>Less 2012 Expenditures + 5%</v>
      </c>
      <c r="I37" s="467"/>
      <c r="J37" s="470"/>
    </row>
    <row r="38" spans="2:11" x14ac:dyDescent="0.2">
      <c r="B38" s="392" t="str">
        <f>CONCATENATE(C81,"     ",D81)</f>
        <v xml:space="preserve">     </v>
      </c>
      <c r="C38" s="277"/>
      <c r="D38" s="196" t="s">
        <v>88</v>
      </c>
      <c r="E38" s="86">
        <f>IF(E37-E20&gt;0,E37-E20,0)</f>
        <v>129277</v>
      </c>
      <c r="G38" s="471">
        <f>G35-G37</f>
        <v>8283</v>
      </c>
      <c r="H38" s="472" t="str">
        <f>CONCATENATE("Projected ",E1+1," carryover (est.)")</f>
        <v>Projected 2015 carryover (est.)</v>
      </c>
      <c r="I38" s="473"/>
      <c r="J38" s="474"/>
    </row>
    <row r="39" spans="2:11" x14ac:dyDescent="0.25">
      <c r="B39" s="196"/>
      <c r="C39" s="390" t="s">
        <v>289</v>
      </c>
      <c r="D39" s="439">
        <f>inputOth!$E$23</f>
        <v>0.01</v>
      </c>
      <c r="E39" s="222">
        <f>ROUND(IF(D39&gt;0,($E$38*D39),0),0)</f>
        <v>1293</v>
      </c>
      <c r="G39" s="1"/>
      <c r="H39" s="1"/>
      <c r="I39" s="1"/>
      <c r="J39" s="1"/>
    </row>
    <row r="40" spans="2:11" x14ac:dyDescent="0.2">
      <c r="B40" s="51"/>
      <c r="C40" s="575" t="str">
        <f>CONCATENATE("Amount of  ",$E$1-1," Ad Valorem Tax")</f>
        <v>Amount of  2013 Ad Valorem Tax</v>
      </c>
      <c r="D40" s="576"/>
      <c r="E40" s="294">
        <f>E38+E39</f>
        <v>130570</v>
      </c>
      <c r="G40" s="578" t="s">
        <v>319</v>
      </c>
      <c r="H40" s="579"/>
      <c r="I40" s="579"/>
      <c r="J40" s="580"/>
    </row>
    <row r="41" spans="2:11" x14ac:dyDescent="0.2">
      <c r="B41" s="50" t="s">
        <v>75</v>
      </c>
      <c r="C41" s="283"/>
      <c r="D41" s="283"/>
      <c r="E41" s="283"/>
      <c r="G41" s="455"/>
      <c r="H41" s="456"/>
      <c r="I41" s="457"/>
      <c r="J41" s="458"/>
    </row>
    <row r="42" spans="2:11" x14ac:dyDescent="0.2">
      <c r="B42" s="51"/>
      <c r="C42" s="488" t="str">
        <f t="shared" ref="C42:E43" si="0">C4</f>
        <v xml:space="preserve">Prior Year </v>
      </c>
      <c r="D42" s="489" t="str">
        <f t="shared" si="0"/>
        <v xml:space="preserve">Current Year </v>
      </c>
      <c r="E42" s="180" t="str">
        <f t="shared" si="0"/>
        <v xml:space="preserve">Proposed Budget </v>
      </c>
      <c r="G42" s="459">
        <f>summ!H20</f>
        <v>2.8809999999999998</v>
      </c>
      <c r="H42" s="456" t="str">
        <f>CONCATENATE("",E1," Fund Mill Rate")</f>
        <v>2014 Fund Mill Rate</v>
      </c>
      <c r="I42" s="457"/>
      <c r="J42" s="458"/>
    </row>
    <row r="43" spans="2:11" x14ac:dyDescent="0.2">
      <c r="B43" s="378" t="str">
        <f>inputPrYr!B22</f>
        <v>Hospital Maintenance</v>
      </c>
      <c r="C43" s="362" t="str">
        <f t="shared" si="0"/>
        <v>Actual for 2012</v>
      </c>
      <c r="D43" s="362" t="str">
        <f t="shared" si="0"/>
        <v>Estimate for 2013</v>
      </c>
      <c r="E43" s="259" t="str">
        <f t="shared" si="0"/>
        <v>Year for 2014</v>
      </c>
      <c r="G43" s="460">
        <f>summ!E20</f>
        <v>3.0150000000000001</v>
      </c>
      <c r="H43" s="456" t="str">
        <f>CONCATENATE("",E1-1," Fund Mill Rate")</f>
        <v>2013 Fund Mill Rate</v>
      </c>
      <c r="I43" s="457"/>
      <c r="J43" s="458"/>
    </row>
    <row r="44" spans="2:11" x14ac:dyDescent="0.2">
      <c r="B44" s="114" t="s">
        <v>197</v>
      </c>
      <c r="C44" s="359">
        <v>2887</v>
      </c>
      <c r="D44" s="363">
        <f>C63</f>
        <v>5224</v>
      </c>
      <c r="E44" s="222">
        <f>D63</f>
        <v>2297</v>
      </c>
      <c r="G44" s="461">
        <f>summ!H34</f>
        <v>78.608000000000004</v>
      </c>
      <c r="H44" s="456" t="str">
        <f>CONCATENATE("Total ",E1," Mill Rate")</f>
        <v>Total 2014 Mill Rate</v>
      </c>
      <c r="I44" s="457"/>
      <c r="J44" s="458"/>
    </row>
    <row r="45" spans="2:11" x14ac:dyDescent="0.2">
      <c r="B45" s="260" t="s">
        <v>199</v>
      </c>
      <c r="C45" s="262"/>
      <c r="D45" s="262"/>
      <c r="E45" s="93"/>
      <c r="G45" s="460">
        <f>summ!E34</f>
        <v>77.590999999999994</v>
      </c>
      <c r="H45" s="462" t="str">
        <f>CONCATENATE("Total ",E1-1," Mill Rate")</f>
        <v>Total 2013 Mill Rate</v>
      </c>
      <c r="I45" s="463"/>
      <c r="J45" s="464"/>
    </row>
    <row r="46" spans="2:11" x14ac:dyDescent="0.25">
      <c r="B46" s="114" t="s">
        <v>76</v>
      </c>
      <c r="C46" s="359">
        <v>210460</v>
      </c>
      <c r="D46" s="363">
        <f>IF(inputPrYr!H22&gt;0,inputPrYr!H22,inputPrYr!E22)</f>
        <v>207454</v>
      </c>
      <c r="E46" s="292" t="s">
        <v>62</v>
      </c>
      <c r="G46" s="1"/>
      <c r="H46" s="1"/>
      <c r="I46" s="1"/>
      <c r="J46" s="1"/>
    </row>
    <row r="47" spans="2:11" x14ac:dyDescent="0.25">
      <c r="B47" s="114" t="s">
        <v>77</v>
      </c>
      <c r="C47" s="359">
        <v>2570</v>
      </c>
      <c r="D47" s="359">
        <v>1000</v>
      </c>
      <c r="E47" s="78">
        <v>1000</v>
      </c>
      <c r="G47" s="1"/>
      <c r="H47" s="1"/>
      <c r="I47" s="1"/>
      <c r="J47" s="1"/>
    </row>
    <row r="48" spans="2:11" x14ac:dyDescent="0.25">
      <c r="B48" s="114" t="s">
        <v>78</v>
      </c>
      <c r="C48" s="359">
        <v>18500</v>
      </c>
      <c r="D48" s="359">
        <v>17769</v>
      </c>
      <c r="E48" s="222">
        <f>mvalloc!E13</f>
        <v>18395</v>
      </c>
      <c r="G48" s="1"/>
      <c r="H48" s="1"/>
      <c r="I48" s="1"/>
      <c r="J48" s="1"/>
    </row>
    <row r="49" spans="2:10" x14ac:dyDescent="0.25">
      <c r="B49" s="114" t="s">
        <v>79</v>
      </c>
      <c r="C49" s="359">
        <v>322</v>
      </c>
      <c r="D49" s="359">
        <v>338</v>
      </c>
      <c r="E49" s="222">
        <f>mvalloc!F13</f>
        <v>318</v>
      </c>
      <c r="G49" s="1"/>
      <c r="H49" s="1"/>
      <c r="I49" s="1"/>
      <c r="J49" s="1"/>
    </row>
    <row r="50" spans="2:10" x14ac:dyDescent="0.25">
      <c r="B50" s="262" t="s">
        <v>147</v>
      </c>
      <c r="C50" s="359">
        <v>2164</v>
      </c>
      <c r="D50" s="359">
        <v>2301</v>
      </c>
      <c r="E50" s="222">
        <f>mvalloc!G13</f>
        <v>2584</v>
      </c>
      <c r="G50" s="1"/>
      <c r="H50" s="1"/>
      <c r="I50" s="1"/>
      <c r="J50" s="1"/>
    </row>
    <row r="51" spans="2:10" x14ac:dyDescent="0.25">
      <c r="B51" s="274" t="s">
        <v>396</v>
      </c>
      <c r="C51" s="359">
        <v>140</v>
      </c>
      <c r="D51" s="359">
        <v>100</v>
      </c>
      <c r="E51" s="78">
        <v>100</v>
      </c>
      <c r="G51" s="1"/>
      <c r="H51" s="1"/>
      <c r="I51" s="1"/>
      <c r="J51" s="1"/>
    </row>
    <row r="52" spans="2:10" x14ac:dyDescent="0.25">
      <c r="B52" s="265" t="s">
        <v>81</v>
      </c>
      <c r="C52" s="359"/>
      <c r="D52" s="359"/>
      <c r="E52" s="78"/>
      <c r="G52" s="1"/>
      <c r="H52" s="1"/>
      <c r="I52" s="1"/>
      <c r="J52" s="1"/>
    </row>
    <row r="53" spans="2:10" x14ac:dyDescent="0.25">
      <c r="B53" s="266" t="s">
        <v>38</v>
      </c>
      <c r="C53" s="359"/>
      <c r="D53" s="359"/>
      <c r="E53" s="78"/>
      <c r="G53" s="1"/>
      <c r="H53" s="1"/>
      <c r="I53" s="1"/>
      <c r="J53" s="1"/>
    </row>
    <row r="54" spans="2:10" x14ac:dyDescent="0.25">
      <c r="B54" s="266" t="s">
        <v>285</v>
      </c>
      <c r="C54" s="360" t="str">
        <f>IF(C55*0.1&lt;C53,"Exceed 10% Rule","")</f>
        <v/>
      </c>
      <c r="D54" s="360" t="str">
        <f>IF(D55*0.1&lt;D53,"Exceed 10% Rule","")</f>
        <v/>
      </c>
      <c r="E54" s="293" t="str">
        <f>IF(E55*0.1+E69&lt;E53,"Exceed 10% Rule","")</f>
        <v/>
      </c>
      <c r="G54" s="1"/>
      <c r="H54" s="1"/>
      <c r="I54" s="1"/>
      <c r="J54" s="1"/>
    </row>
    <row r="55" spans="2:10" x14ac:dyDescent="0.25">
      <c r="B55" s="268" t="s">
        <v>82</v>
      </c>
      <c r="C55" s="361">
        <f>SUM(C46:C53)</f>
        <v>234156</v>
      </c>
      <c r="D55" s="361">
        <f>SUM(D46:D53)</f>
        <v>228962</v>
      </c>
      <c r="E55" s="298">
        <f>SUM(E47:E53)</f>
        <v>22397</v>
      </c>
      <c r="G55" s="1"/>
      <c r="H55" s="1"/>
      <c r="I55" s="1"/>
      <c r="J55" s="1"/>
    </row>
    <row r="56" spans="2:10" x14ac:dyDescent="0.25">
      <c r="B56" s="268" t="s">
        <v>83</v>
      </c>
      <c r="C56" s="361">
        <f>C44+C55</f>
        <v>237043</v>
      </c>
      <c r="D56" s="361">
        <f>D44+D55</f>
        <v>234186</v>
      </c>
      <c r="E56" s="298">
        <f>E44+E55</f>
        <v>24694</v>
      </c>
      <c r="G56" s="1"/>
      <c r="H56" s="1"/>
      <c r="I56" s="1"/>
      <c r="J56" s="1"/>
    </row>
    <row r="57" spans="2:10" x14ac:dyDescent="0.25">
      <c r="B57" s="114" t="s">
        <v>86</v>
      </c>
      <c r="C57" s="266"/>
      <c r="D57" s="266"/>
      <c r="E57" s="74"/>
      <c r="G57" s="1"/>
      <c r="H57" s="1"/>
      <c r="I57" s="1"/>
      <c r="J57" s="1"/>
    </row>
    <row r="58" spans="2:10" x14ac:dyDescent="0.2">
      <c r="B58" s="274" t="s">
        <v>418</v>
      </c>
      <c r="C58" s="359">
        <v>230232</v>
      </c>
      <c r="D58" s="359">
        <v>230232</v>
      </c>
      <c r="E58" s="78">
        <v>230232</v>
      </c>
      <c r="G58" s="581" t="str">
        <f>CONCATENATE("Desired Carryover Into ",E1+1,"")</f>
        <v>Desired Carryover Into 2015</v>
      </c>
      <c r="H58" s="582"/>
      <c r="I58" s="582"/>
      <c r="J58" s="583"/>
    </row>
    <row r="59" spans="2:10" x14ac:dyDescent="0.2">
      <c r="B59" s="266" t="s">
        <v>39</v>
      </c>
      <c r="C59" s="359">
        <v>1587</v>
      </c>
      <c r="D59" s="359">
        <v>1657</v>
      </c>
      <c r="E59" s="86">
        <f>Nhood!E11</f>
        <v>1978</v>
      </c>
      <c r="G59" s="440"/>
      <c r="H59" s="441"/>
      <c r="I59" s="442"/>
      <c r="J59" s="443"/>
    </row>
    <row r="60" spans="2:10" x14ac:dyDescent="0.2">
      <c r="B60" s="266" t="s">
        <v>38</v>
      </c>
      <c r="C60" s="359"/>
      <c r="D60" s="359"/>
      <c r="E60" s="78"/>
      <c r="G60" s="444" t="s">
        <v>290</v>
      </c>
      <c r="H60" s="442"/>
      <c r="I60" s="442"/>
      <c r="J60" s="445">
        <v>0</v>
      </c>
    </row>
    <row r="61" spans="2:10" x14ac:dyDescent="0.2">
      <c r="B61" s="266" t="s">
        <v>284</v>
      </c>
      <c r="C61" s="360" t="str">
        <f>IF(C62*0.1&lt;C60,"Exceed 10% Rule","")</f>
        <v/>
      </c>
      <c r="D61" s="360" t="str">
        <f>IF(D62*0.1&lt;D60,"Exceed 10% Rule","")</f>
        <v/>
      </c>
      <c r="E61" s="293" t="str">
        <f>IF(E62*0.1&lt;E60,"Exceed 10% Rule","")</f>
        <v/>
      </c>
      <c r="G61" s="440" t="s">
        <v>291</v>
      </c>
      <c r="H61" s="441"/>
      <c r="I61" s="441"/>
      <c r="J61" s="446" t="str">
        <f>IF(J60=0,"",ROUND((J60+E69-G73)/inputOth!E6*1000,3)-G78)</f>
        <v/>
      </c>
    </row>
    <row r="62" spans="2:10" x14ac:dyDescent="0.2">
      <c r="B62" s="268" t="s">
        <v>87</v>
      </c>
      <c r="C62" s="361">
        <f>SUM(C58:C60)</f>
        <v>231819</v>
      </c>
      <c r="D62" s="361">
        <f>SUM(D58:D60)</f>
        <v>231889</v>
      </c>
      <c r="E62" s="298">
        <f>SUM(E58:E60)</f>
        <v>232210</v>
      </c>
      <c r="G62" s="447" t="str">
        <f>CONCATENATE("",E1," Tot Exp/Non-Appr Must Be:")</f>
        <v>2014 Tot Exp/Non-Appr Must Be:</v>
      </c>
      <c r="H62" s="448"/>
      <c r="I62" s="449"/>
      <c r="J62" s="450">
        <f>IF(J60&gt;0,IF(E66&lt;E56,IF(J60=G73,E66,((J60-G73)*(1-D68))+E56),E66+(J60-G73)),0)</f>
        <v>0</v>
      </c>
    </row>
    <row r="63" spans="2:10" x14ac:dyDescent="0.2">
      <c r="B63" s="114" t="s">
        <v>198</v>
      </c>
      <c r="C63" s="364">
        <f>C56-C62</f>
        <v>5224</v>
      </c>
      <c r="D63" s="364">
        <f>D56-D62</f>
        <v>2297</v>
      </c>
      <c r="E63" s="292" t="s">
        <v>62</v>
      </c>
      <c r="G63" s="451" t="s">
        <v>318</v>
      </c>
      <c r="H63" s="452"/>
      <c r="I63" s="452"/>
      <c r="J63" s="453">
        <f>IF(J60&gt;0,J62-E66,0)</f>
        <v>0</v>
      </c>
    </row>
    <row r="64" spans="2:10" x14ac:dyDescent="0.25">
      <c r="B64" s="244" t="str">
        <f>CONCATENATE("",E$1-2,"/",E$1-1," Budget Authority Amount:")</f>
        <v>2012/2013 Budget Authority Amount:</v>
      </c>
      <c r="C64" s="236">
        <f>inputOth!B36</f>
        <v>231807</v>
      </c>
      <c r="D64" s="236">
        <f>inputPrYr!D22</f>
        <v>231889</v>
      </c>
      <c r="E64" s="292" t="s">
        <v>62</v>
      </c>
      <c r="G64" s="1"/>
      <c r="H64" s="1"/>
      <c r="I64" s="1"/>
      <c r="J64" s="1"/>
    </row>
    <row r="65" spans="2:11" x14ac:dyDescent="0.2">
      <c r="B65" s="244"/>
      <c r="C65" s="570" t="s">
        <v>287</v>
      </c>
      <c r="D65" s="571"/>
      <c r="E65" s="78"/>
      <c r="G65" s="581" t="str">
        <f>CONCATENATE("Projected Carryover Into ",E1+1,"")</f>
        <v>Projected Carryover Into 2015</v>
      </c>
      <c r="H65" s="589"/>
      <c r="I65" s="589"/>
      <c r="J65" s="588"/>
    </row>
    <row r="66" spans="2:11" x14ac:dyDescent="0.25">
      <c r="B66" s="391" t="str">
        <f>CONCATENATE(C82,"     ",D82)</f>
        <v xml:space="preserve">See Tab A     </v>
      </c>
      <c r="C66" s="572" t="s">
        <v>288</v>
      </c>
      <c r="D66" s="573"/>
      <c r="E66" s="222">
        <f>E62+E65</f>
        <v>232210</v>
      </c>
      <c r="G66" s="475"/>
      <c r="H66" s="441"/>
      <c r="I66" s="441"/>
      <c r="J66" s="470"/>
    </row>
    <row r="67" spans="2:11" x14ac:dyDescent="0.25">
      <c r="B67" s="391" t="str">
        <f>CONCATENATE(C83,"     ",D83)</f>
        <v xml:space="preserve">     </v>
      </c>
      <c r="C67" s="277"/>
      <c r="D67" s="196" t="s">
        <v>88</v>
      </c>
      <c r="E67" s="86">
        <f>IF(E66-E56&gt;0,E66-E56,0)</f>
        <v>207516</v>
      </c>
      <c r="G67" s="466">
        <f>D63</f>
        <v>2297</v>
      </c>
      <c r="H67" s="456" t="str">
        <f>CONCATENATE("",E1-1," Ending Cash Balance (est.)")</f>
        <v>2013 Ending Cash Balance (est.)</v>
      </c>
      <c r="I67" s="467"/>
      <c r="J67" s="470"/>
    </row>
    <row r="68" spans="2:11" x14ac:dyDescent="0.25">
      <c r="B68" s="196"/>
      <c r="C68" s="390" t="s">
        <v>289</v>
      </c>
      <c r="D68" s="439">
        <f>inputOth!$E$23</f>
        <v>0.01</v>
      </c>
      <c r="E68" s="222">
        <f>ROUND(IF(D68&gt;0,($E$67*D68),0),0)</f>
        <v>2075</v>
      </c>
      <c r="G68" s="466">
        <f>E55</f>
        <v>22397</v>
      </c>
      <c r="H68" s="442" t="str">
        <f>CONCATENATE("",E1," Non-AV Receipts (est.)")</f>
        <v>2014 Non-AV Receipts (est.)</v>
      </c>
      <c r="I68" s="467"/>
      <c r="J68" s="470"/>
    </row>
    <row r="69" spans="2:11" x14ac:dyDescent="0.25">
      <c r="B69" s="51"/>
      <c r="C69" s="575" t="str">
        <f>CONCATENATE("Amount of  ",$E$1-1," Ad Valorem Tax")</f>
        <v>Amount of  2013 Ad Valorem Tax</v>
      </c>
      <c r="D69" s="576"/>
      <c r="E69" s="294">
        <f>E67+E68</f>
        <v>209591</v>
      </c>
      <c r="F69" s="276"/>
      <c r="G69" s="468">
        <f>IF(E68&gt;0,E67,E69)</f>
        <v>207516</v>
      </c>
      <c r="H69" s="442" t="str">
        <f>CONCATENATE("",E1," Ad Valorem Tax (est.)")</f>
        <v>2014 Ad Valorem Tax (est.)</v>
      </c>
      <c r="I69" s="467"/>
      <c r="J69" s="470"/>
      <c r="K69" s="454" t="str">
        <f>IF(G69=E69,"","Note: Does not include Delinquent Taxes")</f>
        <v>Note: Does not include Delinquent Taxes</v>
      </c>
    </row>
    <row r="70" spans="2:11" x14ac:dyDescent="0.25">
      <c r="B70" s="244" t="s">
        <v>108</v>
      </c>
      <c r="C70" s="295">
        <v>10</v>
      </c>
      <c r="D70" s="51"/>
      <c r="E70" s="51"/>
      <c r="F70" s="388" t="str">
        <f>IF(E62/0.95-E62&lt;E65,"Exceeds 5%","")</f>
        <v/>
      </c>
      <c r="G70" s="476">
        <f>SUM(G67:G69)</f>
        <v>232210</v>
      </c>
      <c r="H70" s="442" t="str">
        <f>CONCATENATE("Total ",E1," Resources Available")</f>
        <v>Total 2014 Resources Available</v>
      </c>
      <c r="I70" s="477"/>
      <c r="J70" s="470"/>
    </row>
    <row r="71" spans="2:11" x14ac:dyDescent="0.25">
      <c r="G71" s="478"/>
      <c r="H71" s="479"/>
      <c r="I71" s="441"/>
      <c r="J71" s="470"/>
    </row>
    <row r="72" spans="2:11" x14ac:dyDescent="0.25">
      <c r="G72" s="480">
        <f>ROUND(C62*0.05+C62,0)</f>
        <v>243410</v>
      </c>
      <c r="H72" s="442" t="str">
        <f>CONCATENATE("Less ",E1-2," Expenditures + 5%")</f>
        <v>Less 2012 Expenditures + 5%</v>
      </c>
      <c r="I72" s="477"/>
      <c r="J72" s="470"/>
    </row>
    <row r="73" spans="2:11" x14ac:dyDescent="0.25">
      <c r="G73" s="481">
        <f>G70-G72</f>
        <v>-11200</v>
      </c>
      <c r="H73" s="472" t="str">
        <f>CONCATENATE("Projected ",E1+1," carryover (est.)")</f>
        <v>Projected 2015 carryover (est.)</v>
      </c>
      <c r="I73" s="482"/>
      <c r="J73" s="483"/>
    </row>
    <row r="74" spans="2:11" x14ac:dyDescent="0.25">
      <c r="G74" s="1"/>
      <c r="H74" s="1"/>
      <c r="I74" s="1"/>
      <c r="J74" s="1"/>
    </row>
    <row r="75" spans="2:11" x14ac:dyDescent="0.2">
      <c r="G75" s="578" t="s">
        <v>319</v>
      </c>
      <c r="H75" s="579"/>
      <c r="I75" s="579"/>
      <c r="J75" s="580"/>
    </row>
    <row r="76" spans="2:11" x14ac:dyDescent="0.2">
      <c r="G76" s="455"/>
      <c r="H76" s="456"/>
      <c r="I76" s="457"/>
      <c r="J76" s="458"/>
    </row>
    <row r="77" spans="2:11" x14ac:dyDescent="0.2">
      <c r="G77" s="459">
        <f>summ!H21</f>
        <v>4.6239999999999997</v>
      </c>
      <c r="H77" s="456" t="str">
        <f>CONCATENATE("",E1," Fund Mill Rate")</f>
        <v>2014 Fund Mill Rate</v>
      </c>
      <c r="I77" s="457"/>
      <c r="J77" s="458"/>
    </row>
    <row r="78" spans="2:11" x14ac:dyDescent="0.2">
      <c r="G78" s="460">
        <f>summ!E21</f>
        <v>4.8380000000000001</v>
      </c>
      <c r="H78" s="456" t="str">
        <f>CONCATENATE("",E1-1," Fund Mill Rate")</f>
        <v>2013 Fund Mill Rate</v>
      </c>
      <c r="I78" s="457"/>
      <c r="J78" s="458"/>
    </row>
    <row r="79" spans="2:11" x14ac:dyDescent="0.2">
      <c r="G79" s="461">
        <f>summ!H34</f>
        <v>78.608000000000004</v>
      </c>
      <c r="H79" s="456" t="str">
        <f>CONCATENATE("Total ",E1," Mill Rate")</f>
        <v>Total 2014 Mill Rate</v>
      </c>
      <c r="I79" s="457"/>
      <c r="J79" s="458"/>
    </row>
    <row r="80" spans="2:11" x14ac:dyDescent="0.2">
      <c r="C80" s="48" t="str">
        <f>IF(C33&gt;C35,"See Tab A","")</f>
        <v/>
      </c>
      <c r="D80" s="48" t="str">
        <f>IF(D33&gt;D35,"See Tab C","")</f>
        <v/>
      </c>
      <c r="G80" s="460">
        <f>summ!E34</f>
        <v>77.590999999999994</v>
      </c>
      <c r="H80" s="462" t="str">
        <f>CONCATENATE("Total ",E1-1," Mill Rate")</f>
        <v>Total 2013 Mill Rate</v>
      </c>
      <c r="I80" s="463"/>
      <c r="J80" s="464"/>
    </row>
    <row r="81" spans="3:4" x14ac:dyDescent="0.2">
      <c r="C81" s="48" t="str">
        <f>IF(C34&lt;0,"See Tab B","")</f>
        <v/>
      </c>
      <c r="D81" s="48" t="str">
        <f>IF(D34&lt;0,"See Tab D","")</f>
        <v/>
      </c>
    </row>
    <row r="82" spans="3:4" x14ac:dyDescent="0.2">
      <c r="C82" s="48" t="str">
        <f>IF(C62&gt;C64,"See Tab A","")</f>
        <v>See Tab A</v>
      </c>
      <c r="D82" s="48" t="str">
        <f>IF(D62&gt;D64,"See Tab C","")</f>
        <v/>
      </c>
    </row>
    <row r="83" spans="3:4" x14ac:dyDescent="0.2">
      <c r="C83" s="48" t="str">
        <f>IF(C63&lt;0,"See Tab B","")</f>
        <v/>
      </c>
      <c r="D83" s="48" t="str">
        <f>IF(D63&lt;0,"See Tab D","")</f>
        <v/>
      </c>
    </row>
    <row r="85" spans="3:4" hidden="1" x14ac:dyDescent="0.2"/>
    <row r="86" spans="3:4" hidden="1" x14ac:dyDescent="0.2"/>
    <row r="87" spans="3:4" hidden="1" x14ac:dyDescent="0.2"/>
    <row r="88" spans="3:4" hidden="1" x14ac:dyDescent="0.2"/>
  </sheetData>
  <mergeCells count="12">
    <mergeCell ref="G75:J75"/>
    <mergeCell ref="C36:D36"/>
    <mergeCell ref="C37:D37"/>
    <mergeCell ref="C65:D65"/>
    <mergeCell ref="C66:D66"/>
    <mergeCell ref="C69:D69"/>
    <mergeCell ref="C40:D40"/>
    <mergeCell ref="G23:J23"/>
    <mergeCell ref="G30:J30"/>
    <mergeCell ref="G40:J40"/>
    <mergeCell ref="G58:J58"/>
    <mergeCell ref="G65:J65"/>
  </mergeCells>
  <phoneticPr fontId="0" type="noConversion"/>
  <conditionalFormatting sqref="E60">
    <cfRule type="cellIs" dxfId="116" priority="3" stopIfTrue="1" operator="greaterThan">
      <formula>$E$62*0.1</formula>
    </cfRule>
  </conditionalFormatting>
  <conditionalFormatting sqref="E65">
    <cfRule type="cellIs" dxfId="115" priority="4" stopIfTrue="1" operator="greaterThan">
      <formula>$E$62/0.95-$E$62</formula>
    </cfRule>
  </conditionalFormatting>
  <conditionalFormatting sqref="E36">
    <cfRule type="cellIs" dxfId="114" priority="5" stopIfTrue="1" operator="greaterThan">
      <formula>$E$33/0.95-$E$33</formula>
    </cfRule>
  </conditionalFormatting>
  <conditionalFormatting sqref="E31">
    <cfRule type="cellIs" dxfId="113" priority="6" stopIfTrue="1" operator="greaterThan">
      <formula>$E$33*0.1</formula>
    </cfRule>
  </conditionalFormatting>
  <conditionalFormatting sqref="C33">
    <cfRule type="cellIs" dxfId="112" priority="7" stopIfTrue="1" operator="greaterThan">
      <formula>$C$35</formula>
    </cfRule>
  </conditionalFormatting>
  <conditionalFormatting sqref="C63 C34">
    <cfRule type="cellIs" dxfId="111" priority="8" stopIfTrue="1" operator="lessThan">
      <formula>0</formula>
    </cfRule>
  </conditionalFormatting>
  <conditionalFormatting sqref="D33">
    <cfRule type="cellIs" dxfId="110" priority="9" stopIfTrue="1" operator="greaterThan">
      <formula>$D$35</formula>
    </cfRule>
  </conditionalFormatting>
  <conditionalFormatting sqref="C62">
    <cfRule type="cellIs" dxfId="109" priority="10" stopIfTrue="1" operator="greaterThan">
      <formula>$C$64</formula>
    </cfRule>
  </conditionalFormatting>
  <conditionalFormatting sqref="D62">
    <cfRule type="cellIs" dxfId="108" priority="11" stopIfTrue="1" operator="greaterThan">
      <formula>$D$64</formula>
    </cfRule>
  </conditionalFormatting>
  <conditionalFormatting sqref="C60">
    <cfRule type="cellIs" dxfId="107" priority="12" stopIfTrue="1" operator="greaterThan">
      <formula>$C$62*0.1</formula>
    </cfRule>
  </conditionalFormatting>
  <conditionalFormatting sqref="D60">
    <cfRule type="cellIs" dxfId="106" priority="13" stopIfTrue="1" operator="greaterThan">
      <formula>$D$62*0.1</formula>
    </cfRule>
  </conditionalFormatting>
  <conditionalFormatting sqref="E53">
    <cfRule type="cellIs" dxfId="105" priority="14" stopIfTrue="1" operator="greaterThan">
      <formula>$E$55*0.1+E69</formula>
    </cfRule>
  </conditionalFormatting>
  <conditionalFormatting sqref="C53">
    <cfRule type="cellIs" dxfId="104" priority="15" stopIfTrue="1" operator="greaterThan">
      <formula>$C$55*0.1</formula>
    </cfRule>
  </conditionalFormatting>
  <conditionalFormatting sqref="D53">
    <cfRule type="cellIs" dxfId="103" priority="16" stopIfTrue="1" operator="greaterThan">
      <formula>$D$55*0.1</formula>
    </cfRule>
  </conditionalFormatting>
  <conditionalFormatting sqref="C31">
    <cfRule type="cellIs" dxfId="102" priority="17" stopIfTrue="1" operator="greaterThan">
      <formula>$C$33*0.1</formula>
    </cfRule>
  </conditionalFormatting>
  <conditionalFormatting sqref="D31">
    <cfRule type="cellIs" dxfId="101" priority="18" stopIfTrue="1" operator="greaterThan">
      <formula>$D$33*0.1</formula>
    </cfRule>
  </conditionalFormatting>
  <conditionalFormatting sqref="E17">
    <cfRule type="cellIs" dxfId="100" priority="19" stopIfTrue="1" operator="greaterThan">
      <formula>$E$19*0.1+E40</formula>
    </cfRule>
  </conditionalFormatting>
  <conditionalFormatting sqref="C17">
    <cfRule type="cellIs" dxfId="99" priority="20" stopIfTrue="1" operator="greaterThan">
      <formula>$C$19*0.1</formula>
    </cfRule>
  </conditionalFormatting>
  <conditionalFormatting sqref="D17">
    <cfRule type="cellIs" dxfId="98" priority="21" stopIfTrue="1" operator="greaterThan">
      <formula>$D$19*0.1</formula>
    </cfRule>
  </conditionalFormatting>
  <conditionalFormatting sqref="D63 D34">
    <cfRule type="cellIs" dxfId="97" priority="2" stopIfTrue="1" operator="lessThan">
      <formula>0</formula>
    </cfRule>
  </conditionalFormatting>
  <pageMargins left="1.1200000000000001" right="0.5" top="0.74" bottom="0.34" header="0.5" footer="0"/>
  <pageSetup scale="62" orientation="portrait" blackAndWhite="1" r:id="rId1"/>
  <headerFooter alignWithMargins="0">
    <oddHeader xml:space="preserve">&amp;RState of Kansas
County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E66"/>
  <sheetViews>
    <sheetView topLeftCell="A4" zoomScaleNormal="100" workbookViewId="0">
      <selection activeCell="E20" sqref="E20"/>
    </sheetView>
  </sheetViews>
  <sheetFormatPr defaultRowHeight="15.75" x14ac:dyDescent="0.2"/>
  <cols>
    <col min="1" max="1" width="2.44140625" style="48" customWidth="1"/>
    <col min="2" max="2" width="31.109375" style="48" customWidth="1"/>
    <col min="3" max="4" width="15.77734375" style="48" customWidth="1"/>
    <col min="5" max="5" width="16.109375" style="48" customWidth="1"/>
    <col min="6" max="16384" width="8.88671875" style="48"/>
  </cols>
  <sheetData>
    <row r="1" spans="2:5" x14ac:dyDescent="0.2">
      <c r="B1" s="184" t="str">
        <f>(inputPrYr!C2)</f>
        <v>Edwards County</v>
      </c>
      <c r="C1" s="51"/>
      <c r="D1" s="51"/>
      <c r="E1" s="243">
        <f>inputPrYr!C4</f>
        <v>2014</v>
      </c>
    </row>
    <row r="2" spans="2:5" x14ac:dyDescent="0.2">
      <c r="B2" s="51"/>
      <c r="C2" s="51"/>
      <c r="D2" s="51"/>
      <c r="E2" s="196"/>
    </row>
    <row r="3" spans="2:5" x14ac:dyDescent="0.2">
      <c r="B3" s="118" t="s">
        <v>156</v>
      </c>
      <c r="C3" s="289"/>
      <c r="D3" s="289"/>
      <c r="E3" s="290"/>
    </row>
    <row r="4" spans="2:5" x14ac:dyDescent="0.2">
      <c r="B4" s="51"/>
      <c r="C4" s="283"/>
      <c r="D4" s="283"/>
      <c r="E4" s="283"/>
    </row>
    <row r="5" spans="2:5" x14ac:dyDescent="0.2">
      <c r="B5" s="50" t="s">
        <v>75</v>
      </c>
      <c r="C5" s="279" t="str">
        <f>general!C4</f>
        <v xml:space="preserve">Prior Year </v>
      </c>
      <c r="D5" s="180" t="str">
        <f>general!D4</f>
        <v xml:space="preserve">Current Year </v>
      </c>
      <c r="E5" s="180" t="str">
        <f>general!E4</f>
        <v xml:space="preserve">Proposed Budget </v>
      </c>
    </row>
    <row r="6" spans="2:5" x14ac:dyDescent="0.2">
      <c r="B6" s="379" t="str">
        <f>inputPrYr!B43</f>
        <v>Special Drug and Alcohol</v>
      </c>
      <c r="C6" s="272" t="str">
        <f>general!C5</f>
        <v>Actual for 2012</v>
      </c>
      <c r="D6" s="272" t="str">
        <f>general!D5</f>
        <v>Estimate for 2013</v>
      </c>
      <c r="E6" s="259" t="str">
        <f>general!E5</f>
        <v>Year for 2014</v>
      </c>
    </row>
    <row r="7" spans="2:5" x14ac:dyDescent="0.2">
      <c r="B7" s="114" t="s">
        <v>197</v>
      </c>
      <c r="C7" s="78">
        <v>7689</v>
      </c>
      <c r="D7" s="222">
        <f>C30</f>
        <v>5325</v>
      </c>
      <c r="E7" s="222">
        <f>D30</f>
        <v>7000</v>
      </c>
    </row>
    <row r="8" spans="2:5" x14ac:dyDescent="0.2">
      <c r="B8" s="291" t="s">
        <v>199</v>
      </c>
      <c r="C8" s="74"/>
      <c r="D8" s="74"/>
      <c r="E8" s="74"/>
    </row>
    <row r="9" spans="2:5" x14ac:dyDescent="0.2">
      <c r="B9" s="274" t="s">
        <v>419</v>
      </c>
      <c r="C9" s="78">
        <v>5295</v>
      </c>
      <c r="D9" s="78">
        <v>5000</v>
      </c>
      <c r="E9" s="78">
        <v>5000</v>
      </c>
    </row>
    <row r="10" spans="2:5" x14ac:dyDescent="0.2">
      <c r="B10" s="274" t="s">
        <v>450</v>
      </c>
      <c r="C10" s="78"/>
      <c r="D10" s="78"/>
      <c r="E10" s="78"/>
    </row>
    <row r="11" spans="2:5" x14ac:dyDescent="0.2">
      <c r="B11" s="274"/>
      <c r="C11" s="78"/>
      <c r="D11" s="78"/>
      <c r="E11" s="78"/>
    </row>
    <row r="12" spans="2:5" x14ac:dyDescent="0.2">
      <c r="B12" s="265" t="s">
        <v>81</v>
      </c>
      <c r="C12" s="78"/>
      <c r="D12" s="78"/>
      <c r="E12" s="78"/>
    </row>
    <row r="13" spans="2:5" x14ac:dyDescent="0.2">
      <c r="B13" s="266" t="s">
        <v>38</v>
      </c>
      <c r="C13" s="78"/>
      <c r="D13" s="261"/>
      <c r="E13" s="261"/>
    </row>
    <row r="14" spans="2:5" x14ac:dyDescent="0.2">
      <c r="B14" s="266" t="s">
        <v>285</v>
      </c>
      <c r="C14" s="376" t="str">
        <f>IF(C15*0.1&lt;C13,"Exceed 10% Rule","")</f>
        <v/>
      </c>
      <c r="D14" s="267" t="str">
        <f>IF(D15*0.1&lt;D13,"Exceed 10% Rule","")</f>
        <v/>
      </c>
      <c r="E14" s="267" t="str">
        <f>IF(E15*0.1&lt;E13,"Exceed 10% Rule","")</f>
        <v/>
      </c>
    </row>
    <row r="15" spans="2:5" x14ac:dyDescent="0.2">
      <c r="B15" s="268" t="s">
        <v>82</v>
      </c>
      <c r="C15" s="298">
        <f>SUM(C9:C13)</f>
        <v>5295</v>
      </c>
      <c r="D15" s="298">
        <f>SUM(D9:D13)</f>
        <v>5000</v>
      </c>
      <c r="E15" s="298">
        <f>SUM(E9:E13)</f>
        <v>5000</v>
      </c>
    </row>
    <row r="16" spans="2:5" x14ac:dyDescent="0.2">
      <c r="B16" s="268" t="s">
        <v>83</v>
      </c>
      <c r="C16" s="298">
        <f>C15+C7</f>
        <v>12984</v>
      </c>
      <c r="D16" s="298">
        <f>D15+D7</f>
        <v>10325</v>
      </c>
      <c r="E16" s="298">
        <f>E15+E7</f>
        <v>12000</v>
      </c>
    </row>
    <row r="17" spans="2:5" x14ac:dyDescent="0.2">
      <c r="B17" s="114" t="s">
        <v>86</v>
      </c>
      <c r="C17" s="222"/>
      <c r="D17" s="222"/>
      <c r="E17" s="222"/>
    </row>
    <row r="18" spans="2:5" x14ac:dyDescent="0.2">
      <c r="B18" s="274" t="s">
        <v>420</v>
      </c>
      <c r="C18" s="78"/>
      <c r="D18" s="78"/>
      <c r="E18" s="78"/>
    </row>
    <row r="19" spans="2:5" x14ac:dyDescent="0.2">
      <c r="B19" s="274" t="s">
        <v>92</v>
      </c>
      <c r="C19" s="78">
        <v>7659</v>
      </c>
      <c r="D19" s="78">
        <v>3325</v>
      </c>
      <c r="E19" s="78">
        <v>12000</v>
      </c>
    </row>
    <row r="20" spans="2:5" x14ac:dyDescent="0.2">
      <c r="B20" s="274"/>
      <c r="C20" s="78"/>
      <c r="D20" s="78"/>
      <c r="E20" s="78"/>
    </row>
    <row r="21" spans="2:5" x14ac:dyDescent="0.2">
      <c r="B21" s="274"/>
      <c r="C21" s="78"/>
      <c r="D21" s="78"/>
      <c r="E21" s="78"/>
    </row>
    <row r="22" spans="2:5" x14ac:dyDescent="0.2">
      <c r="B22" s="274"/>
      <c r="C22" s="78"/>
      <c r="D22" s="78"/>
      <c r="E22" s="78"/>
    </row>
    <row r="23" spans="2:5" x14ac:dyDescent="0.2">
      <c r="B23" s="274"/>
      <c r="C23" s="78"/>
      <c r="D23" s="78"/>
      <c r="E23" s="78"/>
    </row>
    <row r="24" spans="2:5" x14ac:dyDescent="0.2">
      <c r="B24" s="274"/>
      <c r="C24" s="78"/>
      <c r="D24" s="78"/>
      <c r="E24" s="78"/>
    </row>
    <row r="25" spans="2:5" x14ac:dyDescent="0.2">
      <c r="B25" s="274"/>
      <c r="C25" s="78"/>
      <c r="D25" s="78"/>
      <c r="E25" s="78"/>
    </row>
    <row r="26" spans="2:5" x14ac:dyDescent="0.2">
      <c r="B26" s="274"/>
      <c r="C26" s="78"/>
      <c r="D26" s="78"/>
      <c r="E26" s="78"/>
    </row>
    <row r="27" spans="2:5" x14ac:dyDescent="0.2">
      <c r="B27" s="266" t="s">
        <v>38</v>
      </c>
      <c r="C27" s="78"/>
      <c r="D27" s="261"/>
      <c r="E27" s="261"/>
    </row>
    <row r="28" spans="2:5" x14ac:dyDescent="0.2">
      <c r="B28" s="266" t="s">
        <v>284</v>
      </c>
      <c r="C28" s="376" t="str">
        <f>IF(C29*0.1&lt;C27,"Exceed 10% Rule","")</f>
        <v/>
      </c>
      <c r="D28" s="267" t="str">
        <f>IF(D29*0.1&lt;D27,"Exceed 10% Rule","")</f>
        <v/>
      </c>
      <c r="E28" s="267" t="str">
        <f>IF(E29*0.1&lt;E27,"Exceed 10% Rule","")</f>
        <v/>
      </c>
    </row>
    <row r="29" spans="2:5" x14ac:dyDescent="0.2">
      <c r="B29" s="268" t="s">
        <v>87</v>
      </c>
      <c r="C29" s="298">
        <f>SUM(C18:C27)</f>
        <v>7659</v>
      </c>
      <c r="D29" s="298">
        <f>SUM(D18:D27)</f>
        <v>3325</v>
      </c>
      <c r="E29" s="298">
        <f>SUM(E18:E27)</f>
        <v>12000</v>
      </c>
    </row>
    <row r="30" spans="2:5" x14ac:dyDescent="0.2">
      <c r="B30" s="114" t="s">
        <v>198</v>
      </c>
      <c r="C30" s="86">
        <f>C16-C29</f>
        <v>5325</v>
      </c>
      <c r="D30" s="86">
        <f>D16-D29</f>
        <v>7000</v>
      </c>
      <c r="E30" s="86">
        <f>E16-E29</f>
        <v>0</v>
      </c>
    </row>
    <row r="31" spans="2:5" x14ac:dyDescent="0.2">
      <c r="B31" s="244" t="str">
        <f>CONCATENATE("",E$1-2,"/",E$1-1," Budget Authority Amount:")</f>
        <v>2012/2013 Budget Authority Amount:</v>
      </c>
      <c r="C31" s="236">
        <f>inputOth!B42</f>
        <v>11000</v>
      </c>
      <c r="D31" s="236">
        <f>inputPrYr!D43</f>
        <v>13000</v>
      </c>
      <c r="E31" s="375" t="str">
        <f>IF(E30&lt;0,"See Tab E","")</f>
        <v/>
      </c>
    </row>
    <row r="32" spans="2:5" x14ac:dyDescent="0.2">
      <c r="B32" s="244"/>
      <c r="C32" s="277" t="str">
        <f>IF(C29&gt;C31,"See Tab A","")</f>
        <v/>
      </c>
      <c r="D32" s="277" t="str">
        <f>IF(D29&gt;D31,"See Tab C","")</f>
        <v/>
      </c>
      <c r="E32" s="111"/>
    </row>
    <row r="33" spans="2:5" x14ac:dyDescent="0.2">
      <c r="B33" s="244"/>
      <c r="C33" s="277" t="str">
        <f>IF(C30&lt;0,"See Tab B","")</f>
        <v/>
      </c>
      <c r="D33" s="277" t="str">
        <f>IF(D30&lt;0,"See Tab D","")</f>
        <v/>
      </c>
      <c r="E33" s="111"/>
    </row>
    <row r="34" spans="2:5" x14ac:dyDescent="0.2">
      <c r="B34" s="51"/>
      <c r="C34" s="111"/>
      <c r="D34" s="111"/>
      <c r="E34" s="111"/>
    </row>
    <row r="35" spans="2:5" x14ac:dyDescent="0.2">
      <c r="B35" s="50" t="s">
        <v>75</v>
      </c>
      <c r="C35" s="283"/>
      <c r="D35" s="283"/>
      <c r="E35" s="283"/>
    </row>
    <row r="36" spans="2:5" x14ac:dyDescent="0.2">
      <c r="B36" s="51"/>
      <c r="C36" s="279" t="str">
        <f t="shared" ref="C36:E37" si="0">C5</f>
        <v xml:space="preserve">Prior Year </v>
      </c>
      <c r="D36" s="180" t="str">
        <f t="shared" si="0"/>
        <v xml:space="preserve">Current Year </v>
      </c>
      <c r="E36" s="180" t="str">
        <f t="shared" si="0"/>
        <v xml:space="preserve">Proposed Budget </v>
      </c>
    </row>
    <row r="37" spans="2:5" x14ac:dyDescent="0.2">
      <c r="B37" s="378" t="str">
        <f>inputPrYr!B44</f>
        <v>Special Parks and Recreation</v>
      </c>
      <c r="C37" s="272" t="str">
        <f t="shared" si="0"/>
        <v>Actual for 2012</v>
      </c>
      <c r="D37" s="272" t="str">
        <f t="shared" si="0"/>
        <v>Estimate for 2013</v>
      </c>
      <c r="E37" s="259" t="str">
        <f t="shared" si="0"/>
        <v>Year for 2014</v>
      </c>
    </row>
    <row r="38" spans="2:5" x14ac:dyDescent="0.2">
      <c r="B38" s="114" t="s">
        <v>197</v>
      </c>
      <c r="C38" s="78">
        <v>6718</v>
      </c>
      <c r="D38" s="222">
        <f>C61</f>
        <v>7621</v>
      </c>
      <c r="E38" s="222">
        <f>D61</f>
        <v>7621</v>
      </c>
    </row>
    <row r="39" spans="2:5" x14ac:dyDescent="0.2">
      <c r="B39" s="114" t="s">
        <v>199</v>
      </c>
      <c r="C39" s="74"/>
      <c r="D39" s="74"/>
      <c r="E39" s="74"/>
    </row>
    <row r="40" spans="2:5" x14ac:dyDescent="0.2">
      <c r="B40" s="274" t="s">
        <v>419</v>
      </c>
      <c r="C40" s="78">
        <v>903</v>
      </c>
      <c r="D40" s="78"/>
      <c r="E40" s="78"/>
    </row>
    <row r="41" spans="2:5" x14ac:dyDescent="0.2">
      <c r="B41" s="274"/>
      <c r="C41" s="78"/>
      <c r="D41" s="78"/>
      <c r="E41" s="78"/>
    </row>
    <row r="42" spans="2:5" x14ac:dyDescent="0.2">
      <c r="B42" s="274"/>
      <c r="C42" s="78"/>
      <c r="D42" s="78"/>
      <c r="E42" s="78"/>
    </row>
    <row r="43" spans="2:5" x14ac:dyDescent="0.2">
      <c r="B43" s="265" t="s">
        <v>81</v>
      </c>
      <c r="C43" s="78"/>
      <c r="D43" s="78"/>
      <c r="E43" s="78"/>
    </row>
    <row r="44" spans="2:5" x14ac:dyDescent="0.2">
      <c r="B44" s="266" t="s">
        <v>38</v>
      </c>
      <c r="C44" s="78"/>
      <c r="D44" s="261"/>
      <c r="E44" s="261"/>
    </row>
    <row r="45" spans="2:5" x14ac:dyDescent="0.2">
      <c r="B45" s="266" t="s">
        <v>285</v>
      </c>
      <c r="C45" s="376" t="str">
        <f>IF(C46*0.1&lt;C44,"Exceed 10% Rule","")</f>
        <v/>
      </c>
      <c r="D45" s="267" t="str">
        <f>IF(D46*0.1&lt;D44,"Exceed 10% Rule","")</f>
        <v/>
      </c>
      <c r="E45" s="267" t="str">
        <f>IF(E46*0.1&lt;E44,"Exceed 10% Rule","")</f>
        <v/>
      </c>
    </row>
    <row r="46" spans="2:5" x14ac:dyDescent="0.2">
      <c r="B46" s="268" t="s">
        <v>82</v>
      </c>
      <c r="C46" s="298">
        <f>SUM(C40:C44)</f>
        <v>903</v>
      </c>
      <c r="D46" s="298">
        <f>SUM(D40:D44)</f>
        <v>0</v>
      </c>
      <c r="E46" s="298">
        <f>SUM(E40:E44)</f>
        <v>0</v>
      </c>
    </row>
    <row r="47" spans="2:5" x14ac:dyDescent="0.2">
      <c r="B47" s="268" t="s">
        <v>83</v>
      </c>
      <c r="C47" s="298">
        <f>C38+C46</f>
        <v>7621</v>
      </c>
      <c r="D47" s="298">
        <f>D38+D46</f>
        <v>7621</v>
      </c>
      <c r="E47" s="298">
        <f>E38+E46</f>
        <v>7621</v>
      </c>
    </row>
    <row r="48" spans="2:5" x14ac:dyDescent="0.2">
      <c r="B48" s="114" t="s">
        <v>86</v>
      </c>
      <c r="C48" s="222"/>
      <c r="D48" s="222"/>
      <c r="E48" s="222"/>
    </row>
    <row r="49" spans="2:5" x14ac:dyDescent="0.2">
      <c r="B49" s="274" t="s">
        <v>421</v>
      </c>
      <c r="C49" s="78"/>
      <c r="D49" s="78"/>
      <c r="E49" s="78"/>
    </row>
    <row r="50" spans="2:5" x14ac:dyDescent="0.2">
      <c r="B50" s="274" t="s">
        <v>92</v>
      </c>
      <c r="C50" s="78"/>
      <c r="D50" s="78"/>
      <c r="E50" s="78"/>
    </row>
    <row r="51" spans="2:5" x14ac:dyDescent="0.2">
      <c r="B51" s="274"/>
      <c r="C51" s="78"/>
      <c r="D51" s="78"/>
      <c r="E51" s="78"/>
    </row>
    <row r="52" spans="2:5" x14ac:dyDescent="0.2">
      <c r="B52" s="274"/>
      <c r="C52" s="78"/>
      <c r="D52" s="78"/>
      <c r="E52" s="78"/>
    </row>
    <row r="53" spans="2:5" x14ac:dyDescent="0.2">
      <c r="B53" s="274"/>
      <c r="C53" s="78"/>
      <c r="D53" s="78"/>
      <c r="E53" s="78"/>
    </row>
    <row r="54" spans="2:5" x14ac:dyDescent="0.2">
      <c r="B54" s="274"/>
      <c r="C54" s="78"/>
      <c r="D54" s="78"/>
      <c r="E54" s="78"/>
    </row>
    <row r="55" spans="2:5" x14ac:dyDescent="0.2">
      <c r="B55" s="274"/>
      <c r="C55" s="78"/>
      <c r="D55" s="78"/>
      <c r="E55" s="78"/>
    </row>
    <row r="56" spans="2:5" x14ac:dyDescent="0.2">
      <c r="B56" s="274"/>
      <c r="C56" s="78"/>
      <c r="D56" s="78"/>
      <c r="E56" s="78"/>
    </row>
    <row r="57" spans="2:5" x14ac:dyDescent="0.2">
      <c r="B57" s="274"/>
      <c r="C57" s="78"/>
      <c r="D57" s="78"/>
      <c r="E57" s="78"/>
    </row>
    <row r="58" spans="2:5" x14ac:dyDescent="0.2">
      <c r="B58" s="266" t="s">
        <v>38</v>
      </c>
      <c r="C58" s="78"/>
      <c r="D58" s="261"/>
      <c r="E58" s="261"/>
    </row>
    <row r="59" spans="2:5" x14ac:dyDescent="0.2">
      <c r="B59" s="266" t="s">
        <v>284</v>
      </c>
      <c r="C59" s="376" t="str">
        <f>IF(C60*0.1&lt;C58,"Exceed 10% Rule","")</f>
        <v/>
      </c>
      <c r="D59" s="267" t="str">
        <f>IF(D60*0.1&lt;D58,"Exceed 10% Rule","")</f>
        <v/>
      </c>
      <c r="E59" s="267" t="str">
        <f>IF(E60*0.1&lt;E58,"Exceed 10% Rule","")</f>
        <v/>
      </c>
    </row>
    <row r="60" spans="2:5" x14ac:dyDescent="0.2">
      <c r="B60" s="268" t="s">
        <v>87</v>
      </c>
      <c r="C60" s="298">
        <f>SUM(C49:C58)</f>
        <v>0</v>
      </c>
      <c r="D60" s="298">
        <f>SUM(D49:D58)</f>
        <v>0</v>
      </c>
      <c r="E60" s="298">
        <f>SUM(E49:E58)</f>
        <v>0</v>
      </c>
    </row>
    <row r="61" spans="2:5" x14ac:dyDescent="0.2">
      <c r="B61" s="114" t="s">
        <v>198</v>
      </c>
      <c r="C61" s="86">
        <f>C47-C60</f>
        <v>7621</v>
      </c>
      <c r="D61" s="86">
        <f>D47-D60</f>
        <v>7621</v>
      </c>
      <c r="E61" s="86">
        <f>E47-E60</f>
        <v>7621</v>
      </c>
    </row>
    <row r="62" spans="2:5" x14ac:dyDescent="0.2">
      <c r="B62" s="244" t="str">
        <f>CONCATENATE("",E$1-2,"/",E$1-1," Budget Authority Amount:")</f>
        <v>2012/2013 Budget Authority Amount:</v>
      </c>
      <c r="C62" s="236">
        <f>inputOth!B43</f>
        <v>7000</v>
      </c>
      <c r="D62" s="236">
        <f>inputPrYr!D44</f>
        <v>8000</v>
      </c>
      <c r="E62" s="374" t="str">
        <f>IF(E61&lt;0,"See Tab E","")</f>
        <v/>
      </c>
    </row>
    <row r="63" spans="2:5" x14ac:dyDescent="0.2">
      <c r="B63" s="244"/>
      <c r="C63" s="277" t="str">
        <f>IF(C60&gt;C62,"See Tab A","")</f>
        <v/>
      </c>
      <c r="D63" s="277" t="str">
        <f>IF(D60&gt;D62,"See Tab C","")</f>
        <v/>
      </c>
      <c r="E63" s="51"/>
    </row>
    <row r="64" spans="2:5" x14ac:dyDescent="0.2">
      <c r="B64" s="244"/>
      <c r="C64" s="277" t="str">
        <f>IF(C61&lt;0,"See Tab B","")</f>
        <v/>
      </c>
      <c r="D64" s="277" t="str">
        <f>IF(D61&lt;0,"See Tab D","")</f>
        <v/>
      </c>
      <c r="E64" s="51"/>
    </row>
    <row r="65" spans="2:5" x14ac:dyDescent="0.2">
      <c r="B65" s="51"/>
      <c r="C65" s="51"/>
      <c r="D65" s="51"/>
      <c r="E65" s="51"/>
    </row>
    <row r="66" spans="2:5" x14ac:dyDescent="0.2">
      <c r="B66" s="244" t="s">
        <v>108</v>
      </c>
      <c r="C66" s="295">
        <v>11</v>
      </c>
      <c r="D66" s="51"/>
      <c r="E66" s="51"/>
    </row>
  </sheetData>
  <sheetProtection sheet="1"/>
  <phoneticPr fontId="0" type="noConversion"/>
  <conditionalFormatting sqref="C27">
    <cfRule type="cellIs" dxfId="96" priority="7" stopIfTrue="1" operator="greaterThan">
      <formula>$C$29*0.1</formula>
    </cfRule>
  </conditionalFormatting>
  <conditionalFormatting sqref="D27">
    <cfRule type="cellIs" dxfId="95" priority="8" stopIfTrue="1" operator="greaterThan">
      <formula>$D$29*0.1</formula>
    </cfRule>
  </conditionalFormatting>
  <conditionalFormatting sqref="E27">
    <cfRule type="cellIs" dxfId="94" priority="9" stopIfTrue="1" operator="greaterThan">
      <formula>$E$29*0.1</formula>
    </cfRule>
  </conditionalFormatting>
  <conditionalFormatting sqref="C13">
    <cfRule type="cellIs" dxfId="93" priority="10" stopIfTrue="1" operator="greaterThan">
      <formula>$C$15*0.1</formula>
    </cfRule>
  </conditionalFormatting>
  <conditionalFormatting sqref="D13">
    <cfRule type="cellIs" dxfId="92" priority="11" stopIfTrue="1" operator="greaterThan">
      <formula>$D$15*0.1</formula>
    </cfRule>
  </conditionalFormatting>
  <conditionalFormatting sqref="E13">
    <cfRule type="cellIs" dxfId="91" priority="12" stopIfTrue="1" operator="greaterThan">
      <formula>$E$15*0.1</formula>
    </cfRule>
  </conditionalFormatting>
  <conditionalFormatting sqref="C44">
    <cfRule type="cellIs" dxfId="90" priority="13" stopIfTrue="1" operator="greaterThan">
      <formula>$C$46*0.1</formula>
    </cfRule>
  </conditionalFormatting>
  <conditionalFormatting sqref="D44">
    <cfRule type="cellIs" dxfId="89" priority="14" stopIfTrue="1" operator="greaterThan">
      <formula>$D$46*0.1</formula>
    </cfRule>
  </conditionalFormatting>
  <conditionalFormatting sqref="E44">
    <cfRule type="cellIs" dxfId="88" priority="15" stopIfTrue="1" operator="greaterThan">
      <formula>$E$46*0.1</formula>
    </cfRule>
  </conditionalFormatting>
  <conditionalFormatting sqref="C58">
    <cfRule type="cellIs" dxfId="87" priority="16" stopIfTrue="1" operator="greaterThan">
      <formula>$C$60*0.1</formula>
    </cfRule>
  </conditionalFormatting>
  <conditionalFormatting sqref="D58">
    <cfRule type="cellIs" dxfId="86" priority="17" stopIfTrue="1" operator="greaterThan">
      <formula>$D$60*0.1</formula>
    </cfRule>
  </conditionalFormatting>
  <conditionalFormatting sqref="E58">
    <cfRule type="cellIs" dxfId="85" priority="18" stopIfTrue="1" operator="greaterThan">
      <formula>$E$60*0.1</formula>
    </cfRule>
  </conditionalFormatting>
  <conditionalFormatting sqref="E61 C61 E30">
    <cfRule type="cellIs" dxfId="84" priority="19" stopIfTrue="1" operator="lessThan">
      <formula>0</formula>
    </cfRule>
  </conditionalFormatting>
  <conditionalFormatting sqref="D60">
    <cfRule type="cellIs" dxfId="83" priority="20" stopIfTrue="1" operator="greaterThan">
      <formula>$D$62</formula>
    </cfRule>
  </conditionalFormatting>
  <conditionalFormatting sqref="C60">
    <cfRule type="cellIs" dxfId="82" priority="21" stopIfTrue="1" operator="greaterThan">
      <formula>$C$62</formula>
    </cfRule>
  </conditionalFormatting>
  <conditionalFormatting sqref="C29">
    <cfRule type="cellIs" dxfId="81" priority="6" stopIfTrue="1" operator="greaterThan">
      <formula>$C$31</formula>
    </cfRule>
  </conditionalFormatting>
  <conditionalFormatting sqref="D29">
    <cfRule type="cellIs" dxfId="80" priority="5" stopIfTrue="1" operator="greaterThan">
      <formula>$D$31</formula>
    </cfRule>
  </conditionalFormatting>
  <conditionalFormatting sqref="C30">
    <cfRule type="cellIs" dxfId="79" priority="4" stopIfTrue="1" operator="lessThan">
      <formula>0</formula>
    </cfRule>
  </conditionalFormatting>
  <conditionalFormatting sqref="D30">
    <cfRule type="cellIs" dxfId="78" priority="2" stopIfTrue="1" operator="lessThan">
      <formula>0</formula>
    </cfRule>
    <cfRule type="cellIs" dxfId="77" priority="3" stopIfTrue="1" operator="lessThan">
      <formula>0</formula>
    </cfRule>
  </conditionalFormatting>
  <conditionalFormatting sqref="D61">
    <cfRule type="cellIs" dxfId="76" priority="1" stopIfTrue="1" operator="lessThan">
      <formula>0</formula>
    </cfRule>
  </conditionalFormatting>
  <pageMargins left="1.1200000000000001" right="0.5" top="0.74" bottom="0.34" header="0.5" footer="0"/>
  <pageSetup scale="70" orientation="portrait" blackAndWhite="1" r:id="rId1"/>
  <headerFooter alignWithMargins="0">
    <oddHeader xml:space="preserve">&amp;RState of Kansas
County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B1:E66"/>
  <sheetViews>
    <sheetView zoomScaleNormal="100" workbookViewId="0"/>
  </sheetViews>
  <sheetFormatPr defaultRowHeight="15.75" x14ac:dyDescent="0.2"/>
  <cols>
    <col min="1" max="1" width="2.44140625" style="48" customWidth="1"/>
    <col min="2" max="2" width="31.109375" style="48" customWidth="1"/>
    <col min="3" max="4" width="15.77734375" style="48" customWidth="1"/>
    <col min="5" max="5" width="16.109375" style="48" customWidth="1"/>
    <col min="6" max="16384" width="8.88671875" style="48"/>
  </cols>
  <sheetData>
    <row r="1" spans="2:5" x14ac:dyDescent="0.2">
      <c r="B1" s="184" t="str">
        <f>(inputPrYr!C2)</f>
        <v>Edwards County</v>
      </c>
      <c r="C1" s="51"/>
      <c r="D1" s="51"/>
      <c r="E1" s="243">
        <f>inputPrYr!C4</f>
        <v>2014</v>
      </c>
    </row>
    <row r="2" spans="2:5" x14ac:dyDescent="0.2">
      <c r="B2" s="51"/>
      <c r="C2" s="51"/>
      <c r="D2" s="51"/>
      <c r="E2" s="196"/>
    </row>
    <row r="3" spans="2:5" x14ac:dyDescent="0.2">
      <c r="B3" s="118" t="s">
        <v>156</v>
      </c>
      <c r="C3" s="289"/>
      <c r="D3" s="289"/>
      <c r="E3" s="290"/>
    </row>
    <row r="4" spans="2:5" x14ac:dyDescent="0.2">
      <c r="B4" s="51"/>
      <c r="C4" s="283"/>
      <c r="D4" s="283"/>
      <c r="E4" s="283"/>
    </row>
    <row r="5" spans="2:5" x14ac:dyDescent="0.2">
      <c r="B5" s="50" t="s">
        <v>75</v>
      </c>
      <c r="C5" s="279" t="str">
        <f>general!C4</f>
        <v xml:space="preserve">Prior Year </v>
      </c>
      <c r="D5" s="180" t="str">
        <f>general!D4</f>
        <v xml:space="preserve">Current Year </v>
      </c>
      <c r="E5" s="180" t="str">
        <f>general!E4</f>
        <v xml:space="preserve">Proposed Budget </v>
      </c>
    </row>
    <row r="6" spans="2:5" x14ac:dyDescent="0.2">
      <c r="B6" s="379" t="str">
        <f>inputPrYr!B45</f>
        <v>Noxious Weed Capital Outlay</v>
      </c>
      <c r="C6" s="272" t="str">
        <f>general!C5</f>
        <v>Actual for 2012</v>
      </c>
      <c r="D6" s="272" t="str">
        <f>general!D5</f>
        <v>Estimate for 2013</v>
      </c>
      <c r="E6" s="259" t="str">
        <f>general!E5</f>
        <v>Year for 2014</v>
      </c>
    </row>
    <row r="7" spans="2:5" x14ac:dyDescent="0.2">
      <c r="B7" s="114" t="s">
        <v>197</v>
      </c>
      <c r="C7" s="78">
        <v>31709</v>
      </c>
      <c r="D7" s="222">
        <f>C30</f>
        <v>8664</v>
      </c>
      <c r="E7" s="222">
        <f>D30</f>
        <v>16664</v>
      </c>
    </row>
    <row r="8" spans="2:5" x14ac:dyDescent="0.2">
      <c r="B8" s="291" t="s">
        <v>199</v>
      </c>
      <c r="C8" s="74"/>
      <c r="D8" s="74"/>
      <c r="E8" s="74"/>
    </row>
    <row r="9" spans="2:5" x14ac:dyDescent="0.2">
      <c r="B9" s="274" t="s">
        <v>422</v>
      </c>
      <c r="C9" s="78">
        <v>8000</v>
      </c>
      <c r="D9" s="78">
        <v>10000</v>
      </c>
      <c r="E9" s="78"/>
    </row>
    <row r="10" spans="2:5" x14ac:dyDescent="0.2">
      <c r="B10" s="274" t="s">
        <v>458</v>
      </c>
      <c r="C10" s="78">
        <v>17000</v>
      </c>
      <c r="D10" s="78"/>
      <c r="E10" s="78"/>
    </row>
    <row r="11" spans="2:5" x14ac:dyDescent="0.2">
      <c r="B11" s="274"/>
      <c r="C11" s="78"/>
      <c r="D11" s="78"/>
      <c r="E11" s="78"/>
    </row>
    <row r="12" spans="2:5" x14ac:dyDescent="0.2">
      <c r="B12" s="265" t="s">
        <v>81</v>
      </c>
      <c r="C12" s="78"/>
      <c r="D12" s="78"/>
      <c r="E12" s="78"/>
    </row>
    <row r="13" spans="2:5" x14ac:dyDescent="0.2">
      <c r="B13" s="266" t="s">
        <v>38</v>
      </c>
      <c r="C13" s="78"/>
      <c r="D13" s="261"/>
      <c r="E13" s="261"/>
    </row>
    <row r="14" spans="2:5" x14ac:dyDescent="0.2">
      <c r="B14" s="266" t="s">
        <v>285</v>
      </c>
      <c r="C14" s="376" t="str">
        <f>IF(C15*0.1&lt;C13,"Exceed 10% Rule","")</f>
        <v/>
      </c>
      <c r="D14" s="267" t="str">
        <f>IF(D15*0.1&lt;D13,"Exceed 10% Rule","")</f>
        <v/>
      </c>
      <c r="E14" s="267" t="str">
        <f>IF(E15*0.1&lt;E13,"Exceed 10% Rule","")</f>
        <v/>
      </c>
    </row>
    <row r="15" spans="2:5" x14ac:dyDescent="0.2">
      <c r="B15" s="268" t="s">
        <v>82</v>
      </c>
      <c r="C15" s="298">
        <f>SUM(C9:C13)</f>
        <v>25000</v>
      </c>
      <c r="D15" s="298">
        <f>SUM(D9:D13)</f>
        <v>10000</v>
      </c>
      <c r="E15" s="298">
        <f>SUM(E9:E13)</f>
        <v>0</v>
      </c>
    </row>
    <row r="16" spans="2:5" x14ac:dyDescent="0.2">
      <c r="B16" s="268" t="s">
        <v>83</v>
      </c>
      <c r="C16" s="298">
        <f>C15+C7</f>
        <v>56709</v>
      </c>
      <c r="D16" s="298">
        <f>D15+D7</f>
        <v>18664</v>
      </c>
      <c r="E16" s="298">
        <f>E15+E7</f>
        <v>16664</v>
      </c>
    </row>
    <row r="17" spans="2:5" x14ac:dyDescent="0.2">
      <c r="B17" s="114" t="s">
        <v>86</v>
      </c>
      <c r="C17" s="222"/>
      <c r="D17" s="222"/>
      <c r="E17" s="222"/>
    </row>
    <row r="18" spans="2:5" x14ac:dyDescent="0.2">
      <c r="B18" s="274" t="s">
        <v>401</v>
      </c>
      <c r="C18" s="78"/>
      <c r="D18" s="78"/>
      <c r="E18" s="78"/>
    </row>
    <row r="19" spans="2:5" x14ac:dyDescent="0.2">
      <c r="B19" s="274" t="s">
        <v>94</v>
      </c>
      <c r="C19" s="78">
        <v>48045</v>
      </c>
      <c r="D19" s="78">
        <v>2000</v>
      </c>
      <c r="E19" s="78">
        <v>16664</v>
      </c>
    </row>
    <row r="20" spans="2:5" x14ac:dyDescent="0.2">
      <c r="B20" s="274"/>
      <c r="C20" s="78"/>
      <c r="D20" s="78"/>
      <c r="E20" s="78"/>
    </row>
    <row r="21" spans="2:5" x14ac:dyDescent="0.2">
      <c r="B21" s="274"/>
      <c r="C21" s="78"/>
      <c r="D21" s="78"/>
      <c r="E21" s="78"/>
    </row>
    <row r="22" spans="2:5" x14ac:dyDescent="0.2">
      <c r="B22" s="274"/>
      <c r="C22" s="78"/>
      <c r="D22" s="78"/>
      <c r="E22" s="78"/>
    </row>
    <row r="23" spans="2:5" x14ac:dyDescent="0.2">
      <c r="B23" s="274"/>
      <c r="C23" s="78"/>
      <c r="D23" s="78"/>
      <c r="E23" s="78"/>
    </row>
    <row r="24" spans="2:5" x14ac:dyDescent="0.2">
      <c r="B24" s="274"/>
      <c r="C24" s="78"/>
      <c r="D24" s="78"/>
      <c r="E24" s="78"/>
    </row>
    <row r="25" spans="2:5" x14ac:dyDescent="0.2">
      <c r="B25" s="274"/>
      <c r="C25" s="78"/>
      <c r="D25" s="78"/>
      <c r="E25" s="78"/>
    </row>
    <row r="26" spans="2:5" x14ac:dyDescent="0.2">
      <c r="B26" s="274"/>
      <c r="C26" s="78"/>
      <c r="D26" s="78"/>
      <c r="E26" s="78"/>
    </row>
    <row r="27" spans="2:5" x14ac:dyDescent="0.2">
      <c r="B27" s="266" t="s">
        <v>38</v>
      </c>
      <c r="C27" s="78"/>
      <c r="D27" s="261"/>
      <c r="E27" s="261"/>
    </row>
    <row r="28" spans="2:5" x14ac:dyDescent="0.2">
      <c r="B28" s="266" t="s">
        <v>284</v>
      </c>
      <c r="C28" s="376" t="str">
        <f>IF(C29*0.1&lt;C27,"Exceed 10% Rule","")</f>
        <v/>
      </c>
      <c r="D28" s="267" t="str">
        <f>IF(D29*0.1&lt;D27,"Exceed 10% Rule","")</f>
        <v/>
      </c>
      <c r="E28" s="267" t="str">
        <f>IF(E29*0.1&lt;E27,"Exceed 10% Rule","")</f>
        <v/>
      </c>
    </row>
    <row r="29" spans="2:5" x14ac:dyDescent="0.2">
      <c r="B29" s="268" t="s">
        <v>87</v>
      </c>
      <c r="C29" s="298">
        <f>SUM(C18:C27)</f>
        <v>48045</v>
      </c>
      <c r="D29" s="298">
        <f>SUM(D18:D27)</f>
        <v>2000</v>
      </c>
      <c r="E29" s="298">
        <f>SUM(E18:E27)</f>
        <v>16664</v>
      </c>
    </row>
    <row r="30" spans="2:5" x14ac:dyDescent="0.2">
      <c r="B30" s="114" t="s">
        <v>198</v>
      </c>
      <c r="C30" s="86">
        <f>C16-C29</f>
        <v>8664</v>
      </c>
      <c r="D30" s="86">
        <f>D16-D29</f>
        <v>16664</v>
      </c>
      <c r="E30" s="86">
        <f>E16-E29</f>
        <v>0</v>
      </c>
    </row>
    <row r="31" spans="2:5" x14ac:dyDescent="0.2">
      <c r="B31" s="244" t="str">
        <f>CONCATENATE("",E$1-2,"/",E$1-1," Budget Authority Amount:")</f>
        <v>2012/2013 Budget Authority Amount:</v>
      </c>
      <c r="C31" s="236">
        <f>inputOth!B44</f>
        <v>19139</v>
      </c>
      <c r="D31" s="236">
        <f>inputPrYr!D45</f>
        <v>31709</v>
      </c>
      <c r="E31" s="375" t="str">
        <f>IF(E30&lt;0,"See Tab E","")</f>
        <v/>
      </c>
    </row>
    <row r="32" spans="2:5" x14ac:dyDescent="0.2">
      <c r="B32" s="244"/>
      <c r="C32" s="277" t="str">
        <f>IF(C29&gt;C31,"See Tab A","")</f>
        <v>See Tab A</v>
      </c>
      <c r="D32" s="277" t="str">
        <f>IF(D29&gt;D31,"See Tab C","")</f>
        <v/>
      </c>
      <c r="E32" s="111"/>
    </row>
    <row r="33" spans="2:5" x14ac:dyDescent="0.2">
      <c r="B33" s="244"/>
      <c r="C33" s="277" t="str">
        <f>IF(C30&lt;0,"See Tab B","")</f>
        <v/>
      </c>
      <c r="D33" s="277" t="str">
        <f>IF(D30&lt;0,"See Tab D","")</f>
        <v/>
      </c>
      <c r="E33" s="111"/>
    </row>
    <row r="34" spans="2:5" x14ac:dyDescent="0.2">
      <c r="B34" s="51"/>
      <c r="C34" s="111"/>
      <c r="D34" s="111"/>
      <c r="E34" s="111"/>
    </row>
    <row r="35" spans="2:5" x14ac:dyDescent="0.2">
      <c r="B35" s="50" t="s">
        <v>75</v>
      </c>
      <c r="C35" s="283"/>
      <c r="D35" s="283"/>
      <c r="E35" s="283"/>
    </row>
    <row r="36" spans="2:5" x14ac:dyDescent="0.2">
      <c r="B36" s="51"/>
      <c r="C36" s="279" t="str">
        <f t="shared" ref="C36:E37" si="0">C5</f>
        <v xml:space="preserve">Prior Year </v>
      </c>
      <c r="D36" s="180" t="str">
        <f t="shared" si="0"/>
        <v xml:space="preserve">Current Year </v>
      </c>
      <c r="E36" s="180" t="str">
        <f t="shared" si="0"/>
        <v xml:space="preserve">Proposed Budget </v>
      </c>
    </row>
    <row r="37" spans="2:5" x14ac:dyDescent="0.2">
      <c r="B37" s="378" t="str">
        <f>inputPrYr!B46</f>
        <v>911 Emergency Telephone Tax</v>
      </c>
      <c r="C37" s="272" t="str">
        <f t="shared" si="0"/>
        <v>Actual for 2012</v>
      </c>
      <c r="D37" s="272" t="str">
        <f t="shared" si="0"/>
        <v>Estimate for 2013</v>
      </c>
      <c r="E37" s="272" t="str">
        <f t="shared" si="0"/>
        <v>Year for 2014</v>
      </c>
    </row>
    <row r="38" spans="2:5" x14ac:dyDescent="0.2">
      <c r="B38" s="114" t="s">
        <v>197</v>
      </c>
      <c r="C38" s="78">
        <v>34513</v>
      </c>
      <c r="D38" s="222">
        <f>C61</f>
        <v>1442</v>
      </c>
      <c r="E38" s="222">
        <f>D61</f>
        <v>0</v>
      </c>
    </row>
    <row r="39" spans="2:5" x14ac:dyDescent="0.2">
      <c r="B39" s="114" t="s">
        <v>199</v>
      </c>
      <c r="C39" s="74"/>
      <c r="D39" s="74"/>
      <c r="E39" s="74"/>
    </row>
    <row r="40" spans="2:5" x14ac:dyDescent="0.2">
      <c r="B40" s="274" t="s">
        <v>399</v>
      </c>
      <c r="C40" s="78">
        <v>2084</v>
      </c>
      <c r="D40" s="78"/>
      <c r="E40" s="78"/>
    </row>
    <row r="41" spans="2:5" x14ac:dyDescent="0.2">
      <c r="B41" s="274"/>
      <c r="C41" s="78"/>
      <c r="D41" s="78"/>
      <c r="E41" s="78"/>
    </row>
    <row r="42" spans="2:5" x14ac:dyDescent="0.2">
      <c r="B42" s="274"/>
      <c r="C42" s="78"/>
      <c r="D42" s="78"/>
      <c r="E42" s="78"/>
    </row>
    <row r="43" spans="2:5" x14ac:dyDescent="0.2">
      <c r="B43" s="265" t="s">
        <v>81</v>
      </c>
      <c r="C43" s="78">
        <v>9</v>
      </c>
      <c r="D43" s="78"/>
      <c r="E43" s="78"/>
    </row>
    <row r="44" spans="2:5" x14ac:dyDescent="0.2">
      <c r="B44" s="266" t="s">
        <v>38</v>
      </c>
      <c r="C44" s="78"/>
      <c r="D44" s="261"/>
      <c r="E44" s="261"/>
    </row>
    <row r="45" spans="2:5" x14ac:dyDescent="0.2">
      <c r="B45" s="266" t="s">
        <v>285</v>
      </c>
      <c r="C45" s="376" t="str">
        <f>IF(C46*0.1&lt;C44,"Exceed 10% Rule","")</f>
        <v/>
      </c>
      <c r="D45" s="267" t="str">
        <f>IF(D46*0.1&lt;D44,"Exceed 10% Rule","")</f>
        <v/>
      </c>
      <c r="E45" s="267" t="str">
        <f>IF(E46*0.1&lt;E44,"Exceed 10% Rule","")</f>
        <v/>
      </c>
    </row>
    <row r="46" spans="2:5" x14ac:dyDescent="0.2">
      <c r="B46" s="268" t="s">
        <v>82</v>
      </c>
      <c r="C46" s="298">
        <f>SUM(C40:C44)</f>
        <v>2093</v>
      </c>
      <c r="D46" s="298">
        <f>SUM(D40:D44)</f>
        <v>0</v>
      </c>
      <c r="E46" s="298">
        <f>SUM(E40:E44)</f>
        <v>0</v>
      </c>
    </row>
    <row r="47" spans="2:5" x14ac:dyDescent="0.2">
      <c r="B47" s="268" t="s">
        <v>83</v>
      </c>
      <c r="C47" s="298">
        <f>C38+C46</f>
        <v>36606</v>
      </c>
      <c r="D47" s="298">
        <f>D38+D46</f>
        <v>1442</v>
      </c>
      <c r="E47" s="298">
        <f>E38+E46</f>
        <v>0</v>
      </c>
    </row>
    <row r="48" spans="2:5" x14ac:dyDescent="0.2">
      <c r="B48" s="114" t="s">
        <v>86</v>
      </c>
      <c r="C48" s="222"/>
      <c r="D48" s="222"/>
      <c r="E48" s="222"/>
    </row>
    <row r="49" spans="2:5" x14ac:dyDescent="0.2">
      <c r="B49" s="274" t="s">
        <v>423</v>
      </c>
      <c r="C49" s="78"/>
      <c r="D49" s="78"/>
      <c r="E49" s="78"/>
    </row>
    <row r="50" spans="2:5" x14ac:dyDescent="0.2">
      <c r="B50" s="274" t="s">
        <v>92</v>
      </c>
      <c r="C50" s="78">
        <v>21528</v>
      </c>
      <c r="D50" s="78">
        <v>1442</v>
      </c>
      <c r="E50" s="78"/>
    </row>
    <row r="51" spans="2:5" x14ac:dyDescent="0.2">
      <c r="B51" s="274" t="s">
        <v>93</v>
      </c>
      <c r="C51" s="78"/>
      <c r="D51" s="78"/>
      <c r="E51" s="78"/>
    </row>
    <row r="52" spans="2:5" x14ac:dyDescent="0.2">
      <c r="B52" s="274" t="s">
        <v>94</v>
      </c>
      <c r="C52" s="78">
        <v>13636</v>
      </c>
      <c r="D52" s="78"/>
      <c r="E52" s="78"/>
    </row>
    <row r="53" spans="2:5" x14ac:dyDescent="0.2">
      <c r="B53" s="274"/>
      <c r="C53" s="78"/>
      <c r="D53" s="78"/>
      <c r="E53" s="78"/>
    </row>
    <row r="54" spans="2:5" x14ac:dyDescent="0.2">
      <c r="B54" s="274"/>
      <c r="C54" s="78"/>
      <c r="D54" s="78"/>
      <c r="E54" s="78"/>
    </row>
    <row r="55" spans="2:5" x14ac:dyDescent="0.2">
      <c r="B55" s="274"/>
      <c r="C55" s="78"/>
      <c r="D55" s="78"/>
      <c r="E55" s="78"/>
    </row>
    <row r="56" spans="2:5" x14ac:dyDescent="0.2">
      <c r="B56" s="274"/>
      <c r="C56" s="78"/>
      <c r="D56" s="78"/>
      <c r="E56" s="78"/>
    </row>
    <row r="57" spans="2:5" x14ac:dyDescent="0.2">
      <c r="B57" s="274"/>
      <c r="C57" s="78"/>
      <c r="D57" s="78"/>
      <c r="E57" s="78"/>
    </row>
    <row r="58" spans="2:5" x14ac:dyDescent="0.2">
      <c r="B58" s="266" t="s">
        <v>38</v>
      </c>
      <c r="C58" s="78"/>
      <c r="D58" s="261"/>
      <c r="E58" s="261"/>
    </row>
    <row r="59" spans="2:5" x14ac:dyDescent="0.2">
      <c r="B59" s="266" t="s">
        <v>284</v>
      </c>
      <c r="C59" s="376" t="str">
        <f>IF(C60*0.1&lt;C58,"Exceed 10% Rule","")</f>
        <v/>
      </c>
      <c r="D59" s="267" t="str">
        <f>IF(D60*0.1&lt;D58,"Exceed 10% Rule","")</f>
        <v/>
      </c>
      <c r="E59" s="267" t="str">
        <f>IF(E60*0.1&lt;E58,"Exceed 10% Rule","")</f>
        <v/>
      </c>
    </row>
    <row r="60" spans="2:5" x14ac:dyDescent="0.2">
      <c r="B60" s="268" t="s">
        <v>87</v>
      </c>
      <c r="C60" s="298">
        <f>SUM(C49:C58)</f>
        <v>35164</v>
      </c>
      <c r="D60" s="298">
        <f>SUM(D49:D58)</f>
        <v>1442</v>
      </c>
      <c r="E60" s="298">
        <f>SUM(E49:E58)</f>
        <v>0</v>
      </c>
    </row>
    <row r="61" spans="2:5" x14ac:dyDescent="0.2">
      <c r="B61" s="114" t="s">
        <v>198</v>
      </c>
      <c r="C61" s="86">
        <f>C47-C60</f>
        <v>1442</v>
      </c>
      <c r="D61" s="86">
        <f>D47-D60</f>
        <v>0</v>
      </c>
      <c r="E61" s="86">
        <f>E47-E60</f>
        <v>0</v>
      </c>
    </row>
    <row r="62" spans="2:5" x14ac:dyDescent="0.2">
      <c r="B62" s="244" t="str">
        <f>CONCATENATE("",E$1-2,"/",E$1-1," Budget Authority Amount:")</f>
        <v>2012/2013 Budget Authority Amount:</v>
      </c>
      <c r="C62" s="236">
        <f>inputOth!B45</f>
        <v>55000</v>
      </c>
      <c r="D62" s="236">
        <f>inputPrYr!D46</f>
        <v>10000</v>
      </c>
      <c r="E62" s="374" t="str">
        <f>IF(E61&lt;0,"See Tab E","")</f>
        <v/>
      </c>
    </row>
    <row r="63" spans="2:5" x14ac:dyDescent="0.2">
      <c r="B63" s="244"/>
      <c r="C63" s="277" t="str">
        <f>IF(C60&gt;C62,"See Tab A","")</f>
        <v/>
      </c>
      <c r="D63" s="277" t="str">
        <f>IF(D60&gt;D62,"See Tab C","")</f>
        <v/>
      </c>
      <c r="E63" s="51"/>
    </row>
    <row r="64" spans="2:5" x14ac:dyDescent="0.2">
      <c r="B64" s="244"/>
      <c r="C64" s="277" t="str">
        <f>IF(C61&lt;0,"See Tab B","")</f>
        <v/>
      </c>
      <c r="D64" s="277" t="str">
        <f>IF(D61&lt;0,"See Tab D","")</f>
        <v/>
      </c>
      <c r="E64" s="51"/>
    </row>
    <row r="65" spans="2:5" x14ac:dyDescent="0.2">
      <c r="B65" s="51"/>
      <c r="C65" s="51"/>
      <c r="D65" s="51"/>
      <c r="E65" s="51"/>
    </row>
    <row r="66" spans="2:5" x14ac:dyDescent="0.2">
      <c r="B66" s="244" t="s">
        <v>108</v>
      </c>
      <c r="C66" s="295">
        <v>12</v>
      </c>
      <c r="D66" s="51"/>
      <c r="E66" s="51"/>
    </row>
  </sheetData>
  <sheetProtection sheet="1"/>
  <phoneticPr fontId="0" type="noConversion"/>
  <conditionalFormatting sqref="C27">
    <cfRule type="cellIs" dxfId="75" priority="3" stopIfTrue="1" operator="greaterThan">
      <formula>$C$29*0.1</formula>
    </cfRule>
  </conditionalFormatting>
  <conditionalFormatting sqref="D27">
    <cfRule type="cellIs" dxfId="74" priority="4" stopIfTrue="1" operator="greaterThan">
      <formula>$D$29*0.1</formula>
    </cfRule>
  </conditionalFormatting>
  <conditionalFormatting sqref="E27">
    <cfRule type="cellIs" dxfId="73" priority="5" stopIfTrue="1" operator="greaterThan">
      <formula>$E$29*0.1</formula>
    </cfRule>
  </conditionalFormatting>
  <conditionalFormatting sqref="C13">
    <cfRule type="cellIs" dxfId="72" priority="6" stopIfTrue="1" operator="greaterThan">
      <formula>$C$15*0.1</formula>
    </cfRule>
  </conditionalFormatting>
  <conditionalFormatting sqref="D13">
    <cfRule type="cellIs" dxfId="71" priority="7" stopIfTrue="1" operator="greaterThan">
      <formula>$D$15*0.1</formula>
    </cfRule>
  </conditionalFormatting>
  <conditionalFormatting sqref="E13">
    <cfRule type="cellIs" dxfId="70" priority="8" stopIfTrue="1" operator="greaterThan">
      <formula>$E$15*0.1</formula>
    </cfRule>
  </conditionalFormatting>
  <conditionalFormatting sqref="C44">
    <cfRule type="cellIs" dxfId="69" priority="9" stopIfTrue="1" operator="greaterThan">
      <formula>$C$46*0.1</formula>
    </cfRule>
  </conditionalFormatting>
  <conditionalFormatting sqref="D44">
    <cfRule type="cellIs" dxfId="68" priority="10" stopIfTrue="1" operator="greaterThan">
      <formula>$D$46*0.1</formula>
    </cfRule>
  </conditionalFormatting>
  <conditionalFormatting sqref="E44">
    <cfRule type="cellIs" dxfId="67" priority="11" stopIfTrue="1" operator="greaterThan">
      <formula>$E$46*0.1</formula>
    </cfRule>
  </conditionalFormatting>
  <conditionalFormatting sqref="C58">
    <cfRule type="cellIs" dxfId="66" priority="12" stopIfTrue="1" operator="greaterThan">
      <formula>$C$60*0.1</formula>
    </cfRule>
  </conditionalFormatting>
  <conditionalFormatting sqref="D58">
    <cfRule type="cellIs" dxfId="65" priority="13" stopIfTrue="1" operator="greaterThan">
      <formula>$D$60*0.1</formula>
    </cfRule>
  </conditionalFormatting>
  <conditionalFormatting sqref="E58">
    <cfRule type="cellIs" dxfId="64" priority="14" stopIfTrue="1" operator="greaterThan">
      <formula>$E$60*0.1</formula>
    </cfRule>
  </conditionalFormatting>
  <conditionalFormatting sqref="E30 C30 E61 C61">
    <cfRule type="cellIs" dxfId="63" priority="15" stopIfTrue="1" operator="lessThan">
      <formula>0</formula>
    </cfRule>
  </conditionalFormatting>
  <conditionalFormatting sqref="D29">
    <cfRule type="cellIs" dxfId="62" priority="16" stopIfTrue="1" operator="greaterThan">
      <formula>$D$31</formula>
    </cfRule>
  </conditionalFormatting>
  <conditionalFormatting sqref="C29">
    <cfRule type="cellIs" dxfId="61" priority="17" stopIfTrue="1" operator="greaterThan">
      <formula>$C$31</formula>
    </cfRule>
  </conditionalFormatting>
  <conditionalFormatting sqref="D60">
    <cfRule type="cellIs" dxfId="60" priority="18" stopIfTrue="1" operator="greaterThan">
      <formula>$D$62</formula>
    </cfRule>
  </conditionalFormatting>
  <conditionalFormatting sqref="C60">
    <cfRule type="cellIs" dxfId="59" priority="19" stopIfTrue="1" operator="greaterThan">
      <formula>$C$62</formula>
    </cfRule>
  </conditionalFormatting>
  <conditionalFormatting sqref="D30">
    <cfRule type="cellIs" dxfId="58" priority="2" stopIfTrue="1" operator="lessThan">
      <formula>0</formula>
    </cfRule>
  </conditionalFormatting>
  <conditionalFormatting sqref="D61">
    <cfRule type="cellIs" dxfId="57" priority="1" stopIfTrue="1" operator="lessThan">
      <formula>0</formula>
    </cfRule>
  </conditionalFormatting>
  <pageMargins left="1.1200000000000001" right="0.5" top="0.74" bottom="0.34" header="0.5" footer="0"/>
  <pageSetup scale="70" orientation="portrait" blackAndWhite="1" r:id="rId1"/>
  <headerFooter alignWithMargins="0">
    <oddHeader xml:space="preserve">&amp;RState of Kansas
County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B1:E66"/>
  <sheetViews>
    <sheetView zoomScaleNormal="100" workbookViewId="0"/>
  </sheetViews>
  <sheetFormatPr defaultRowHeight="15.75" x14ac:dyDescent="0.2"/>
  <cols>
    <col min="1" max="1" width="2.44140625" style="48" customWidth="1"/>
    <col min="2" max="2" width="31.109375" style="48" customWidth="1"/>
    <col min="3" max="4" width="15.77734375" style="48" customWidth="1"/>
    <col min="5" max="5" width="16.21875" style="48" customWidth="1"/>
    <col min="6" max="16384" width="8.88671875" style="48"/>
  </cols>
  <sheetData>
    <row r="1" spans="2:5" x14ac:dyDescent="0.2">
      <c r="B1" s="184" t="str">
        <f>(inputPrYr!C2)</f>
        <v>Edwards County</v>
      </c>
      <c r="C1" s="51"/>
      <c r="D1" s="51"/>
      <c r="E1" s="243">
        <f>inputPrYr!C4</f>
        <v>2014</v>
      </c>
    </row>
    <row r="2" spans="2:5" x14ac:dyDescent="0.2">
      <c r="B2" s="51"/>
      <c r="C2" s="51"/>
      <c r="D2" s="51"/>
      <c r="E2" s="196"/>
    </row>
    <row r="3" spans="2:5" x14ac:dyDescent="0.2">
      <c r="B3" s="118" t="s">
        <v>156</v>
      </c>
      <c r="C3" s="289"/>
      <c r="D3" s="289"/>
      <c r="E3" s="290"/>
    </row>
    <row r="4" spans="2:5" x14ac:dyDescent="0.2">
      <c r="B4" s="51"/>
      <c r="C4" s="283"/>
      <c r="D4" s="283"/>
      <c r="E4" s="283"/>
    </row>
    <row r="5" spans="2:5" x14ac:dyDescent="0.2">
      <c r="B5" s="50" t="s">
        <v>75</v>
      </c>
      <c r="C5" s="279" t="str">
        <f>general!C4</f>
        <v xml:space="preserve">Prior Year </v>
      </c>
      <c r="D5" s="180" t="str">
        <f>general!D4</f>
        <v xml:space="preserve">Current Year </v>
      </c>
      <c r="E5" s="180" t="str">
        <f>general!E4</f>
        <v xml:space="preserve">Proposed Budget </v>
      </c>
    </row>
    <row r="6" spans="2:5" x14ac:dyDescent="0.2">
      <c r="B6" s="379" t="str">
        <f>inputPrYr!B47</f>
        <v>911 Wireless Phone Tax</v>
      </c>
      <c r="C6" s="272" t="str">
        <f>general!C5</f>
        <v>Actual for 2012</v>
      </c>
      <c r="D6" s="272" t="str">
        <f>general!D5</f>
        <v>Estimate for 2013</v>
      </c>
      <c r="E6" s="259" t="str">
        <f>general!E5</f>
        <v>Year for 2014</v>
      </c>
    </row>
    <row r="7" spans="2:5" x14ac:dyDescent="0.2">
      <c r="B7" s="114" t="s">
        <v>197</v>
      </c>
      <c r="C7" s="78">
        <v>10777</v>
      </c>
      <c r="D7" s="222">
        <f>C30</f>
        <v>6942</v>
      </c>
      <c r="E7" s="222">
        <f>D30</f>
        <v>0</v>
      </c>
    </row>
    <row r="8" spans="2:5" x14ac:dyDescent="0.2">
      <c r="B8" s="291" t="s">
        <v>199</v>
      </c>
      <c r="C8" s="74"/>
      <c r="D8" s="74"/>
      <c r="E8" s="74"/>
    </row>
    <row r="9" spans="2:5" x14ac:dyDescent="0.2">
      <c r="B9" s="274" t="s">
        <v>399</v>
      </c>
      <c r="C9" s="78">
        <v>980</v>
      </c>
      <c r="D9" s="78"/>
      <c r="E9" s="78"/>
    </row>
    <row r="10" spans="2:5" x14ac:dyDescent="0.2">
      <c r="B10" s="274"/>
      <c r="C10" s="78"/>
      <c r="D10" s="78"/>
      <c r="E10" s="78"/>
    </row>
    <row r="11" spans="2:5" x14ac:dyDescent="0.2">
      <c r="B11" s="274"/>
      <c r="C11" s="78"/>
      <c r="D11" s="78"/>
      <c r="E11" s="78"/>
    </row>
    <row r="12" spans="2:5" x14ac:dyDescent="0.2">
      <c r="B12" s="265" t="s">
        <v>81</v>
      </c>
      <c r="C12" s="78">
        <v>5</v>
      </c>
      <c r="D12" s="78"/>
      <c r="E12" s="78"/>
    </row>
    <row r="13" spans="2:5" x14ac:dyDescent="0.2">
      <c r="B13" s="266" t="s">
        <v>38</v>
      </c>
      <c r="C13" s="78"/>
      <c r="D13" s="261"/>
      <c r="E13" s="261"/>
    </row>
    <row r="14" spans="2:5" x14ac:dyDescent="0.2">
      <c r="B14" s="266" t="s">
        <v>285</v>
      </c>
      <c r="C14" s="376" t="str">
        <f>IF(C15*0.1&lt;C13,"Exceed 10% Rule","")</f>
        <v/>
      </c>
      <c r="D14" s="267" t="str">
        <f>IF(D15*0.1&lt;D13,"Exceed 10% Rule","")</f>
        <v/>
      </c>
      <c r="E14" s="267" t="str">
        <f>IF(E15*0.1&lt;E13,"Exceed 10% Rule","")</f>
        <v/>
      </c>
    </row>
    <row r="15" spans="2:5" x14ac:dyDescent="0.2">
      <c r="B15" s="268" t="s">
        <v>82</v>
      </c>
      <c r="C15" s="298">
        <f>SUM(C9:C13)</f>
        <v>985</v>
      </c>
      <c r="D15" s="298">
        <f>SUM(D9:D13)</f>
        <v>0</v>
      </c>
      <c r="E15" s="298">
        <f>SUM(E9:E13)</f>
        <v>0</v>
      </c>
    </row>
    <row r="16" spans="2:5" x14ac:dyDescent="0.2">
      <c r="B16" s="268" t="s">
        <v>83</v>
      </c>
      <c r="C16" s="298">
        <f>C15+C7</f>
        <v>11762</v>
      </c>
      <c r="D16" s="298">
        <f>D15+D7</f>
        <v>6942</v>
      </c>
      <c r="E16" s="298">
        <f>E15+E7</f>
        <v>0</v>
      </c>
    </row>
    <row r="17" spans="2:5" x14ac:dyDescent="0.2">
      <c r="B17" s="114" t="s">
        <v>86</v>
      </c>
      <c r="C17" s="222"/>
      <c r="D17" s="222"/>
      <c r="E17" s="222"/>
    </row>
    <row r="18" spans="2:5" x14ac:dyDescent="0.2">
      <c r="B18" s="274" t="s">
        <v>423</v>
      </c>
      <c r="C18" s="78"/>
      <c r="D18" s="78"/>
      <c r="E18" s="78" t="s">
        <v>451</v>
      </c>
    </row>
    <row r="19" spans="2:5" x14ac:dyDescent="0.2">
      <c r="B19" s="274" t="s">
        <v>424</v>
      </c>
      <c r="C19" s="78">
        <v>4820</v>
      </c>
      <c r="D19" s="78">
        <v>6942</v>
      </c>
      <c r="E19" s="78"/>
    </row>
    <row r="20" spans="2:5" x14ac:dyDescent="0.2">
      <c r="B20" s="274" t="s">
        <v>94</v>
      </c>
      <c r="C20" s="78"/>
      <c r="D20" s="78"/>
      <c r="E20" s="78"/>
    </row>
    <row r="21" spans="2:5" x14ac:dyDescent="0.2">
      <c r="B21" s="274"/>
      <c r="C21" s="78"/>
      <c r="D21" s="78"/>
      <c r="E21" s="78"/>
    </row>
    <row r="22" spans="2:5" x14ac:dyDescent="0.2">
      <c r="B22" s="274"/>
      <c r="C22" s="78"/>
      <c r="D22" s="78"/>
      <c r="E22" s="78"/>
    </row>
    <row r="23" spans="2:5" x14ac:dyDescent="0.2">
      <c r="B23" s="274"/>
      <c r="C23" s="78"/>
      <c r="D23" s="78"/>
      <c r="E23" s="78"/>
    </row>
    <row r="24" spans="2:5" x14ac:dyDescent="0.2">
      <c r="B24" s="274"/>
      <c r="C24" s="78"/>
      <c r="D24" s="78"/>
      <c r="E24" s="78"/>
    </row>
    <row r="25" spans="2:5" x14ac:dyDescent="0.2">
      <c r="B25" s="274"/>
      <c r="C25" s="78"/>
      <c r="D25" s="78"/>
      <c r="E25" s="78"/>
    </row>
    <row r="26" spans="2:5" x14ac:dyDescent="0.2">
      <c r="B26" s="274"/>
      <c r="C26" s="78"/>
      <c r="D26" s="78"/>
      <c r="E26" s="78"/>
    </row>
    <row r="27" spans="2:5" x14ac:dyDescent="0.2">
      <c r="B27" s="266" t="s">
        <v>38</v>
      </c>
      <c r="C27" s="78"/>
      <c r="D27" s="261"/>
      <c r="E27" s="261"/>
    </row>
    <row r="28" spans="2:5" x14ac:dyDescent="0.2">
      <c r="B28" s="266" t="s">
        <v>284</v>
      </c>
      <c r="C28" s="376" t="str">
        <f>IF(C29*0.1&lt;C27,"Exceed 10% Rule","")</f>
        <v/>
      </c>
      <c r="D28" s="267" t="str">
        <f>IF(D29*0.1&lt;D27,"Exceed 10% Rule","")</f>
        <v/>
      </c>
      <c r="E28" s="267" t="str">
        <f>IF(E29*0.1&lt;E27,"Exceed 10% Rule","")</f>
        <v/>
      </c>
    </row>
    <row r="29" spans="2:5" x14ac:dyDescent="0.2">
      <c r="B29" s="268" t="s">
        <v>87</v>
      </c>
      <c r="C29" s="298">
        <f>SUM(C18:C27)</f>
        <v>4820</v>
      </c>
      <c r="D29" s="298">
        <f>SUM(D18:D27)</f>
        <v>6942</v>
      </c>
      <c r="E29" s="298">
        <f>SUM(E18:E27)</f>
        <v>0</v>
      </c>
    </row>
    <row r="30" spans="2:5" x14ac:dyDescent="0.2">
      <c r="B30" s="114" t="s">
        <v>198</v>
      </c>
      <c r="C30" s="86">
        <f>C16-C29</f>
        <v>6942</v>
      </c>
      <c r="D30" s="86">
        <f>D16-D29</f>
        <v>0</v>
      </c>
      <c r="E30" s="86">
        <f>E16-E29</f>
        <v>0</v>
      </c>
    </row>
    <row r="31" spans="2:5" x14ac:dyDescent="0.2">
      <c r="B31" s="244" t="str">
        <f>CONCATENATE("",E$1-2,"/",E$1-1," Budget Authority Amount:")</f>
        <v>2012/2013 Budget Authority Amount:</v>
      </c>
      <c r="C31" s="236">
        <f>inputOth!B46</f>
        <v>13000</v>
      </c>
      <c r="D31" s="236">
        <f>inputPrYr!D47</f>
        <v>9000</v>
      </c>
      <c r="E31" s="375" t="str">
        <f>IF(E30&lt;0,"See Tab E","")</f>
        <v/>
      </c>
    </row>
    <row r="32" spans="2:5" x14ac:dyDescent="0.2">
      <c r="B32" s="244"/>
      <c r="C32" s="277" t="str">
        <f>IF(C29&gt;C31,"See Tab A","")</f>
        <v/>
      </c>
      <c r="D32" s="277" t="str">
        <f>IF(D29&gt;D31,"See Tab C","")</f>
        <v/>
      </c>
      <c r="E32" s="111"/>
    </row>
    <row r="33" spans="2:5" x14ac:dyDescent="0.2">
      <c r="B33" s="244"/>
      <c r="C33" s="277" t="str">
        <f>IF(C30&lt;0,"See Tab B","")</f>
        <v/>
      </c>
      <c r="D33" s="277" t="str">
        <f>IF(D30&lt;0,"See Tab D","")</f>
        <v/>
      </c>
      <c r="E33" s="111"/>
    </row>
    <row r="34" spans="2:5" x14ac:dyDescent="0.2">
      <c r="B34" s="51"/>
      <c r="C34" s="111"/>
      <c r="D34" s="111"/>
      <c r="E34" s="111"/>
    </row>
    <row r="35" spans="2:5" x14ac:dyDescent="0.2">
      <c r="B35" s="50" t="s">
        <v>75</v>
      </c>
      <c r="C35" s="283"/>
      <c r="D35" s="283"/>
      <c r="E35" s="283"/>
    </row>
    <row r="36" spans="2:5" x14ac:dyDescent="0.2">
      <c r="B36" s="51"/>
      <c r="C36" s="279" t="str">
        <f t="shared" ref="C36:E37" si="0">C5</f>
        <v xml:space="preserve">Prior Year </v>
      </c>
      <c r="D36" s="180" t="str">
        <f t="shared" si="0"/>
        <v xml:space="preserve">Current Year </v>
      </c>
      <c r="E36" s="180" t="str">
        <f t="shared" si="0"/>
        <v xml:space="preserve">Proposed Budget </v>
      </c>
    </row>
    <row r="37" spans="2:5" x14ac:dyDescent="0.2">
      <c r="B37" s="378" t="str">
        <f>inputPrYr!B48</f>
        <v>Edwards Co 911</v>
      </c>
      <c r="C37" s="272" t="str">
        <f t="shared" si="0"/>
        <v>Actual for 2012</v>
      </c>
      <c r="D37" s="272" t="str">
        <f t="shared" si="0"/>
        <v>Estimate for 2013</v>
      </c>
      <c r="E37" s="272" t="str">
        <f t="shared" si="0"/>
        <v>Year for 2014</v>
      </c>
    </row>
    <row r="38" spans="2:5" x14ac:dyDescent="0.2">
      <c r="B38" s="114" t="s">
        <v>197</v>
      </c>
      <c r="C38" s="78">
        <v>0</v>
      </c>
      <c r="D38" s="222">
        <f>C61</f>
        <v>39214</v>
      </c>
      <c r="E38" s="222">
        <f>D61</f>
        <v>39214</v>
      </c>
    </row>
    <row r="39" spans="2:5" x14ac:dyDescent="0.2">
      <c r="B39" s="114" t="s">
        <v>199</v>
      </c>
      <c r="C39" s="74"/>
      <c r="D39" s="74"/>
      <c r="E39" s="74"/>
    </row>
    <row r="40" spans="2:5" x14ac:dyDescent="0.2">
      <c r="B40" s="274" t="s">
        <v>399</v>
      </c>
      <c r="C40" s="78">
        <v>39210</v>
      </c>
      <c r="D40" s="78">
        <v>50000</v>
      </c>
      <c r="E40" s="78">
        <v>50000</v>
      </c>
    </row>
    <row r="41" spans="2:5" x14ac:dyDescent="0.2">
      <c r="B41" s="274"/>
      <c r="C41" s="78"/>
      <c r="D41" s="78"/>
      <c r="E41" s="78"/>
    </row>
    <row r="42" spans="2:5" x14ac:dyDescent="0.2">
      <c r="B42" s="274"/>
      <c r="C42" s="78"/>
      <c r="D42" s="78"/>
      <c r="E42" s="78"/>
    </row>
    <row r="43" spans="2:5" x14ac:dyDescent="0.2">
      <c r="B43" s="265" t="s">
        <v>81</v>
      </c>
      <c r="C43" s="78">
        <v>4</v>
      </c>
      <c r="D43" s="78"/>
      <c r="E43" s="78"/>
    </row>
    <row r="44" spans="2:5" x14ac:dyDescent="0.2">
      <c r="B44" s="266" t="s">
        <v>38</v>
      </c>
      <c r="C44" s="78"/>
      <c r="D44" s="261"/>
      <c r="E44" s="261"/>
    </row>
    <row r="45" spans="2:5" x14ac:dyDescent="0.2">
      <c r="B45" s="266" t="s">
        <v>285</v>
      </c>
      <c r="C45" s="376" t="str">
        <f>IF(C46*0.1&lt;C44,"Exceed 10% Rule","")</f>
        <v/>
      </c>
      <c r="D45" s="267" t="str">
        <f>IF(D46*0.1&lt;D44,"Exceed 10% Rule","")</f>
        <v/>
      </c>
      <c r="E45" s="267" t="str">
        <f>IF(E46*0.1&lt;E44,"Exceed 10% Rule","")</f>
        <v/>
      </c>
    </row>
    <row r="46" spans="2:5" x14ac:dyDescent="0.2">
      <c r="B46" s="268" t="s">
        <v>82</v>
      </c>
      <c r="C46" s="298">
        <f>SUM(C40:C44)</f>
        <v>39214</v>
      </c>
      <c r="D46" s="298">
        <f>SUM(D40:D44)</f>
        <v>50000</v>
      </c>
      <c r="E46" s="298">
        <f>SUM(E40:E44)</f>
        <v>50000</v>
      </c>
    </row>
    <row r="47" spans="2:5" x14ac:dyDescent="0.2">
      <c r="B47" s="268" t="s">
        <v>83</v>
      </c>
      <c r="C47" s="298">
        <f>C38+C46</f>
        <v>39214</v>
      </c>
      <c r="D47" s="298">
        <f>D38+D46</f>
        <v>89214</v>
      </c>
      <c r="E47" s="298">
        <f>E38+E46</f>
        <v>89214</v>
      </c>
    </row>
    <row r="48" spans="2:5" x14ac:dyDescent="0.2">
      <c r="B48" s="114" t="s">
        <v>86</v>
      </c>
      <c r="C48" s="222"/>
      <c r="D48" s="222"/>
      <c r="E48" s="222"/>
    </row>
    <row r="49" spans="2:5" x14ac:dyDescent="0.2">
      <c r="B49" s="274" t="s">
        <v>425</v>
      </c>
      <c r="C49" s="78"/>
      <c r="D49" s="78"/>
      <c r="E49" s="78"/>
    </row>
    <row r="50" spans="2:5" x14ac:dyDescent="0.2">
      <c r="B50" s="274" t="s">
        <v>426</v>
      </c>
      <c r="C50" s="78"/>
      <c r="D50" s="78"/>
      <c r="E50" s="78"/>
    </row>
    <row r="51" spans="2:5" x14ac:dyDescent="0.2">
      <c r="B51" s="274" t="s">
        <v>387</v>
      </c>
      <c r="C51" s="78"/>
      <c r="D51" s="78">
        <v>35000</v>
      </c>
      <c r="E51" s="78">
        <v>45000</v>
      </c>
    </row>
    <row r="52" spans="2:5" x14ac:dyDescent="0.2">
      <c r="B52" s="274" t="s">
        <v>427</v>
      </c>
      <c r="C52" s="78"/>
      <c r="D52" s="78">
        <v>15000</v>
      </c>
      <c r="E52" s="78">
        <v>25000</v>
      </c>
    </row>
    <row r="53" spans="2:5" x14ac:dyDescent="0.2">
      <c r="B53" s="274"/>
      <c r="C53" s="78"/>
      <c r="D53" s="78"/>
      <c r="E53" s="78"/>
    </row>
    <row r="54" spans="2:5" x14ac:dyDescent="0.2">
      <c r="B54" s="274"/>
      <c r="C54" s="78"/>
      <c r="D54" s="78"/>
      <c r="E54" s="78"/>
    </row>
    <row r="55" spans="2:5" x14ac:dyDescent="0.2">
      <c r="B55" s="274"/>
      <c r="C55" s="78"/>
      <c r="D55" s="78"/>
      <c r="E55" s="78"/>
    </row>
    <row r="56" spans="2:5" x14ac:dyDescent="0.2">
      <c r="B56" s="274"/>
      <c r="C56" s="78"/>
      <c r="D56" s="78"/>
      <c r="E56" s="78"/>
    </row>
    <row r="57" spans="2:5" x14ac:dyDescent="0.2">
      <c r="B57" s="274"/>
      <c r="C57" s="78"/>
      <c r="D57" s="78"/>
      <c r="E57" s="78"/>
    </row>
    <row r="58" spans="2:5" x14ac:dyDescent="0.2">
      <c r="B58" s="266" t="s">
        <v>38</v>
      </c>
      <c r="C58" s="78"/>
      <c r="D58" s="261"/>
      <c r="E58" s="261"/>
    </row>
    <row r="59" spans="2:5" x14ac:dyDescent="0.2">
      <c r="B59" s="266" t="s">
        <v>284</v>
      </c>
      <c r="C59" s="376" t="str">
        <f>IF(C60*0.1&lt;C58,"Exceed 10% Rule","")</f>
        <v/>
      </c>
      <c r="D59" s="267" t="str">
        <f>IF(D60*0.1&lt;D58,"Exceed 10% Rule","")</f>
        <v/>
      </c>
      <c r="E59" s="267" t="str">
        <f>IF(E60*0.1&lt;E58,"Exceed 10% Rule","")</f>
        <v/>
      </c>
    </row>
    <row r="60" spans="2:5" x14ac:dyDescent="0.2">
      <c r="B60" s="268" t="s">
        <v>87</v>
      </c>
      <c r="C60" s="298">
        <f>SUM(C49:C58)</f>
        <v>0</v>
      </c>
      <c r="D60" s="298">
        <f>SUM(D49:D58)</f>
        <v>50000</v>
      </c>
      <c r="E60" s="298">
        <f>SUM(E49:E58)</f>
        <v>70000</v>
      </c>
    </row>
    <row r="61" spans="2:5" x14ac:dyDescent="0.2">
      <c r="B61" s="114" t="s">
        <v>198</v>
      </c>
      <c r="C61" s="86">
        <f>C47-C60</f>
        <v>39214</v>
      </c>
      <c r="D61" s="86">
        <f>D47-D60</f>
        <v>39214</v>
      </c>
      <c r="E61" s="86">
        <f>E47-E60</f>
        <v>19214</v>
      </c>
    </row>
    <row r="62" spans="2:5" x14ac:dyDescent="0.2">
      <c r="B62" s="244" t="str">
        <f>CONCATENATE("",E$1-2,"/",E$1-1," Budget Authority Amount:")</f>
        <v>2012/2013 Budget Authority Amount:</v>
      </c>
      <c r="C62" s="236">
        <f>inputOth!B47</f>
        <v>0</v>
      </c>
      <c r="D62" s="236">
        <f>inputPrYr!D48</f>
        <v>50000</v>
      </c>
      <c r="E62" s="374" t="str">
        <f>IF(E61&lt;0,"See Tab E","")</f>
        <v/>
      </c>
    </row>
    <row r="63" spans="2:5" x14ac:dyDescent="0.2">
      <c r="B63" s="244"/>
      <c r="C63" s="277" t="str">
        <f>IF(C60&gt;C62,"See Tab A","")</f>
        <v/>
      </c>
      <c r="D63" s="277" t="str">
        <f>IF(D60&gt;D62,"See Tab C","")</f>
        <v/>
      </c>
      <c r="E63" s="51"/>
    </row>
    <row r="64" spans="2:5" x14ac:dyDescent="0.2">
      <c r="B64" s="244"/>
      <c r="C64" s="277" t="str">
        <f>IF(C61&lt;0,"See Tab B","")</f>
        <v/>
      </c>
      <c r="D64" s="277" t="str">
        <f>IF(D61&lt;0,"See Tab D","")</f>
        <v/>
      </c>
      <c r="E64" s="51"/>
    </row>
    <row r="65" spans="2:5" x14ac:dyDescent="0.2">
      <c r="B65" s="51"/>
      <c r="C65" s="51"/>
      <c r="D65" s="51"/>
      <c r="E65" s="51"/>
    </row>
    <row r="66" spans="2:5" x14ac:dyDescent="0.2">
      <c r="B66" s="244" t="s">
        <v>108</v>
      </c>
      <c r="C66" s="295">
        <v>13</v>
      </c>
      <c r="D66" s="51"/>
      <c r="E66" s="51"/>
    </row>
  </sheetData>
  <phoneticPr fontId="0" type="noConversion"/>
  <conditionalFormatting sqref="C27">
    <cfRule type="cellIs" dxfId="56" priority="3" stopIfTrue="1" operator="greaterThan">
      <formula>$C$29*0.1</formula>
    </cfRule>
  </conditionalFormatting>
  <conditionalFormatting sqref="D27">
    <cfRule type="cellIs" dxfId="55" priority="4" stopIfTrue="1" operator="greaterThan">
      <formula>$D$29*0.1</formula>
    </cfRule>
  </conditionalFormatting>
  <conditionalFormatting sqref="E27">
    <cfRule type="cellIs" dxfId="54" priority="5" stopIfTrue="1" operator="greaterThan">
      <formula>$E$29*0.1</formula>
    </cfRule>
  </conditionalFormatting>
  <conditionalFormatting sqref="C13">
    <cfRule type="cellIs" dxfId="53" priority="6" stopIfTrue="1" operator="greaterThan">
      <formula>$C$15*0.1</formula>
    </cfRule>
  </conditionalFormatting>
  <conditionalFormatting sqref="D13">
    <cfRule type="cellIs" dxfId="52" priority="7" stopIfTrue="1" operator="greaterThan">
      <formula>$D$15*0.1</formula>
    </cfRule>
  </conditionalFormatting>
  <conditionalFormatting sqref="E13">
    <cfRule type="cellIs" dxfId="51" priority="8" stopIfTrue="1" operator="greaterThan">
      <formula>$E$15*0.1</formula>
    </cfRule>
  </conditionalFormatting>
  <conditionalFormatting sqref="C44">
    <cfRule type="cellIs" dxfId="50" priority="9" stopIfTrue="1" operator="greaterThan">
      <formula>$C$46*0.1</formula>
    </cfRule>
  </conditionalFormatting>
  <conditionalFormatting sqref="D44">
    <cfRule type="cellIs" dxfId="49" priority="10" stopIfTrue="1" operator="greaterThan">
      <formula>$D$46*0.1</formula>
    </cfRule>
  </conditionalFormatting>
  <conditionalFormatting sqref="E44">
    <cfRule type="cellIs" dxfId="48" priority="11" stopIfTrue="1" operator="greaterThan">
      <formula>$E$46*0.1</formula>
    </cfRule>
  </conditionalFormatting>
  <conditionalFormatting sqref="C58">
    <cfRule type="cellIs" dxfId="47" priority="12" stopIfTrue="1" operator="greaterThan">
      <formula>$C$60*0.1</formula>
    </cfRule>
  </conditionalFormatting>
  <conditionalFormatting sqref="D58">
    <cfRule type="cellIs" dxfId="46" priority="13" stopIfTrue="1" operator="greaterThan">
      <formula>$D$60*0.1</formula>
    </cfRule>
  </conditionalFormatting>
  <conditionalFormatting sqref="E58">
    <cfRule type="cellIs" dxfId="45" priority="14" stopIfTrue="1" operator="greaterThan">
      <formula>$E$60*0.1</formula>
    </cfRule>
  </conditionalFormatting>
  <conditionalFormatting sqref="E30 C30 E61 C61">
    <cfRule type="cellIs" dxfId="44" priority="15" stopIfTrue="1" operator="lessThan">
      <formula>0</formula>
    </cfRule>
  </conditionalFormatting>
  <conditionalFormatting sqref="D29">
    <cfRule type="cellIs" dxfId="43" priority="16" stopIfTrue="1" operator="greaterThan">
      <formula>$D$31</formula>
    </cfRule>
  </conditionalFormatting>
  <conditionalFormatting sqref="C29">
    <cfRule type="cellIs" dxfId="42" priority="17" stopIfTrue="1" operator="greaterThan">
      <formula>$C$31</formula>
    </cfRule>
  </conditionalFormatting>
  <conditionalFormatting sqref="D60">
    <cfRule type="cellIs" dxfId="41" priority="18" stopIfTrue="1" operator="greaterThan">
      <formula>$D$62</formula>
    </cfRule>
  </conditionalFormatting>
  <conditionalFormatting sqref="C60">
    <cfRule type="cellIs" dxfId="40" priority="19" stopIfTrue="1" operator="greaterThan">
      <formula>$C$62</formula>
    </cfRule>
  </conditionalFormatting>
  <conditionalFormatting sqref="D30">
    <cfRule type="cellIs" dxfId="39" priority="2" stopIfTrue="1" operator="lessThan">
      <formula>0</formula>
    </cfRule>
  </conditionalFormatting>
  <conditionalFormatting sqref="D61">
    <cfRule type="cellIs" dxfId="38" priority="1" stopIfTrue="1" operator="lessThan">
      <formula>0</formula>
    </cfRule>
  </conditionalFormatting>
  <pageMargins left="1.1200000000000001" right="0.5" top="0.74" bottom="0.34" header="0.5" footer="0"/>
  <pageSetup scale="70" orientation="portrait" blackAndWhite="1" r:id="rId1"/>
  <headerFooter alignWithMargins="0">
    <oddHeader xml:space="preserve">&amp;RState of Kansas
County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6"/>
  <sheetViews>
    <sheetView topLeftCell="A28" zoomScaleNormal="100" workbookViewId="0">
      <selection activeCell="E19" sqref="E19:E20"/>
    </sheetView>
  </sheetViews>
  <sheetFormatPr defaultRowHeight="15.75" x14ac:dyDescent="0.2"/>
  <cols>
    <col min="1" max="1" width="2.44140625" style="48" customWidth="1"/>
    <col min="2" max="2" width="31.109375" style="48" customWidth="1"/>
    <col min="3" max="4" width="15.77734375" style="48" customWidth="1"/>
    <col min="5" max="5" width="16.21875" style="48" customWidth="1"/>
    <col min="6" max="16384" width="8.88671875" style="48"/>
  </cols>
  <sheetData>
    <row r="1" spans="2:5" x14ac:dyDescent="0.2">
      <c r="B1" s="184" t="str">
        <f>(inputPrYr!C2)</f>
        <v>Edwards County</v>
      </c>
      <c r="C1" s="51"/>
      <c r="D1" s="51"/>
      <c r="E1" s="243">
        <f>inputPrYr!C4</f>
        <v>2014</v>
      </c>
    </row>
    <row r="2" spans="2:5" x14ac:dyDescent="0.2">
      <c r="B2" s="51"/>
      <c r="C2" s="51"/>
      <c r="D2" s="51"/>
      <c r="E2" s="196"/>
    </row>
    <row r="3" spans="2:5" x14ac:dyDescent="0.2">
      <c r="B3" s="118" t="s">
        <v>156</v>
      </c>
      <c r="C3" s="289"/>
      <c r="D3" s="289"/>
      <c r="E3" s="290"/>
    </row>
    <row r="4" spans="2:5" x14ac:dyDescent="0.2">
      <c r="B4" s="51"/>
      <c r="C4" s="283"/>
      <c r="D4" s="283"/>
      <c r="E4" s="283"/>
    </row>
    <row r="5" spans="2:5" x14ac:dyDescent="0.2">
      <c r="B5" s="50" t="s">
        <v>75</v>
      </c>
      <c r="C5" s="279" t="str">
        <f>general!C4</f>
        <v xml:space="preserve">Prior Year </v>
      </c>
      <c r="D5" s="180" t="str">
        <f>general!D4</f>
        <v xml:space="preserve">Current Year </v>
      </c>
      <c r="E5" s="180" t="str">
        <f>general!E4</f>
        <v xml:space="preserve">Proposed Budget </v>
      </c>
    </row>
    <row r="6" spans="2:5" x14ac:dyDescent="0.2">
      <c r="B6" s="379">
        <f>inputPrYr!B50</f>
        <v>0</v>
      </c>
      <c r="C6" s="272" t="str">
        <f>general!C5</f>
        <v>Actual for 2012</v>
      </c>
      <c r="D6" s="272" t="str">
        <f>general!D5</f>
        <v>Estimate for 2013</v>
      </c>
      <c r="E6" s="259" t="str">
        <f>general!E5</f>
        <v>Year for 2014</v>
      </c>
    </row>
    <row r="7" spans="2:5" x14ac:dyDescent="0.2">
      <c r="B7" s="114" t="s">
        <v>197</v>
      </c>
      <c r="C7" s="78"/>
      <c r="D7" s="222">
        <f>C30</f>
        <v>0</v>
      </c>
      <c r="E7" s="222">
        <f>D30</f>
        <v>0</v>
      </c>
    </row>
    <row r="8" spans="2:5" x14ac:dyDescent="0.2">
      <c r="B8" s="291" t="s">
        <v>199</v>
      </c>
      <c r="C8" s="74"/>
      <c r="D8" s="74"/>
      <c r="E8" s="74"/>
    </row>
    <row r="9" spans="2:5" x14ac:dyDescent="0.2">
      <c r="B9" s="274" t="s">
        <v>399</v>
      </c>
      <c r="C9" s="78"/>
      <c r="D9" s="78"/>
      <c r="E9" s="78"/>
    </row>
    <row r="10" spans="2:5" x14ac:dyDescent="0.2">
      <c r="B10" s="274"/>
      <c r="C10" s="78"/>
      <c r="D10" s="78"/>
      <c r="E10" s="78"/>
    </row>
    <row r="11" spans="2:5" x14ac:dyDescent="0.2">
      <c r="B11" s="274"/>
      <c r="C11" s="78"/>
      <c r="D11" s="78"/>
      <c r="E11" s="78"/>
    </row>
    <row r="12" spans="2:5" x14ac:dyDescent="0.2">
      <c r="B12" s="265" t="s">
        <v>81</v>
      </c>
      <c r="C12" s="78"/>
      <c r="D12" s="78"/>
      <c r="E12" s="78"/>
    </row>
    <row r="13" spans="2:5" x14ac:dyDescent="0.2">
      <c r="B13" s="266" t="s">
        <v>38</v>
      </c>
      <c r="C13" s="78"/>
      <c r="D13" s="261"/>
      <c r="E13" s="261"/>
    </row>
    <row r="14" spans="2:5" x14ac:dyDescent="0.2">
      <c r="B14" s="266" t="s">
        <v>285</v>
      </c>
      <c r="C14" s="376" t="str">
        <f>IF(C15*0.1&lt;C13,"Exceed 10% Rule","")</f>
        <v/>
      </c>
      <c r="D14" s="267" t="str">
        <f>IF(D15*0.1&lt;D13,"Exceed 10% Rule","")</f>
        <v/>
      </c>
      <c r="E14" s="267" t="str">
        <f>IF(E15*0.1&lt;E13,"Exceed 10% Rule","")</f>
        <v/>
      </c>
    </row>
    <row r="15" spans="2:5" x14ac:dyDescent="0.2">
      <c r="B15" s="268" t="s">
        <v>82</v>
      </c>
      <c r="C15" s="298">
        <f>SUM(C9:C13)</f>
        <v>0</v>
      </c>
      <c r="D15" s="298">
        <f>SUM(D9:D13)</f>
        <v>0</v>
      </c>
      <c r="E15" s="298">
        <f>SUM(E9:E13)</f>
        <v>0</v>
      </c>
    </row>
    <row r="16" spans="2:5" x14ac:dyDescent="0.2">
      <c r="B16" s="268" t="s">
        <v>83</v>
      </c>
      <c r="C16" s="298">
        <f>C15+C7</f>
        <v>0</v>
      </c>
      <c r="D16" s="298">
        <f>D15+D7</f>
        <v>0</v>
      </c>
      <c r="E16" s="298">
        <f>E15+E7</f>
        <v>0</v>
      </c>
    </row>
    <row r="17" spans="2:5" x14ac:dyDescent="0.2">
      <c r="B17" s="114" t="s">
        <v>86</v>
      </c>
      <c r="C17" s="222"/>
      <c r="D17" s="222"/>
      <c r="E17" s="222"/>
    </row>
    <row r="18" spans="2:5" x14ac:dyDescent="0.2">
      <c r="B18" s="274" t="s">
        <v>423</v>
      </c>
      <c r="C18" s="78"/>
      <c r="D18" s="78"/>
      <c r="E18" s="78" t="s">
        <v>451</v>
      </c>
    </row>
    <row r="19" spans="2:5" x14ac:dyDescent="0.2">
      <c r="B19" s="274" t="s">
        <v>424</v>
      </c>
      <c r="C19" s="78"/>
      <c r="D19" s="78"/>
      <c r="E19" s="78"/>
    </row>
    <row r="20" spans="2:5" x14ac:dyDescent="0.2">
      <c r="B20" s="274" t="s">
        <v>94</v>
      </c>
      <c r="C20" s="78"/>
      <c r="D20" s="78"/>
      <c r="E20" s="78"/>
    </row>
    <row r="21" spans="2:5" x14ac:dyDescent="0.2">
      <c r="B21" s="274"/>
      <c r="C21" s="78"/>
      <c r="D21" s="78"/>
      <c r="E21" s="78"/>
    </row>
    <row r="22" spans="2:5" x14ac:dyDescent="0.2">
      <c r="B22" s="274"/>
      <c r="C22" s="78"/>
      <c r="D22" s="78"/>
      <c r="E22" s="78"/>
    </row>
    <row r="23" spans="2:5" x14ac:dyDescent="0.2">
      <c r="B23" s="274"/>
      <c r="C23" s="78"/>
      <c r="D23" s="78"/>
      <c r="E23" s="78"/>
    </row>
    <row r="24" spans="2:5" x14ac:dyDescent="0.2">
      <c r="B24" s="274"/>
      <c r="C24" s="78"/>
      <c r="D24" s="78"/>
      <c r="E24" s="78"/>
    </row>
    <row r="25" spans="2:5" x14ac:dyDescent="0.2">
      <c r="B25" s="274"/>
      <c r="C25" s="78"/>
      <c r="D25" s="78"/>
      <c r="E25" s="78"/>
    </row>
    <row r="26" spans="2:5" x14ac:dyDescent="0.2">
      <c r="B26" s="274"/>
      <c r="C26" s="78"/>
      <c r="D26" s="78"/>
      <c r="E26" s="78"/>
    </row>
    <row r="27" spans="2:5" x14ac:dyDescent="0.2">
      <c r="B27" s="266" t="s">
        <v>38</v>
      </c>
      <c r="C27" s="78"/>
      <c r="D27" s="261"/>
      <c r="E27" s="261"/>
    </row>
    <row r="28" spans="2:5" x14ac:dyDescent="0.2">
      <c r="B28" s="266" t="s">
        <v>284</v>
      </c>
      <c r="C28" s="376" t="str">
        <f>IF(C29*0.1&lt;C27,"Exceed 10% Rule","")</f>
        <v/>
      </c>
      <c r="D28" s="267" t="str">
        <f>IF(D29*0.1&lt;D27,"Exceed 10% Rule","")</f>
        <v/>
      </c>
      <c r="E28" s="267" t="str">
        <f>IF(E29*0.1&lt;E27,"Exceed 10% Rule","")</f>
        <v/>
      </c>
    </row>
    <row r="29" spans="2:5" x14ac:dyDescent="0.2">
      <c r="B29" s="268" t="s">
        <v>87</v>
      </c>
      <c r="C29" s="298">
        <f>SUM(C18:C27)</f>
        <v>0</v>
      </c>
      <c r="D29" s="298">
        <f>SUM(D18:D27)</f>
        <v>0</v>
      </c>
      <c r="E29" s="298">
        <f>SUM(E18:E27)</f>
        <v>0</v>
      </c>
    </row>
    <row r="30" spans="2:5" x14ac:dyDescent="0.2">
      <c r="B30" s="114" t="s">
        <v>198</v>
      </c>
      <c r="C30" s="86">
        <f>C16-C29</f>
        <v>0</v>
      </c>
      <c r="D30" s="86">
        <f>D16-D29</f>
        <v>0</v>
      </c>
      <c r="E30" s="86">
        <f>E16-E29</f>
        <v>0</v>
      </c>
    </row>
    <row r="31" spans="2:5" x14ac:dyDescent="0.2">
      <c r="B31" s="506" t="str">
        <f>CONCATENATE("",E$1-2,"/",E$1-1," Budget Authority Amount:")</f>
        <v>2012/2013 Budget Authority Amount:</v>
      </c>
      <c r="C31" s="236">
        <f>inputOth!B46</f>
        <v>13000</v>
      </c>
      <c r="D31" s="236">
        <f>inputPrYr!D47</f>
        <v>9000</v>
      </c>
      <c r="E31" s="375" t="str">
        <f>IF(E30&lt;0,"See Tab E","")</f>
        <v/>
      </c>
    </row>
    <row r="32" spans="2:5" x14ac:dyDescent="0.2">
      <c r="B32" s="506"/>
      <c r="C32" s="277" t="str">
        <f>IF(C29&gt;C31,"See Tab A","")</f>
        <v/>
      </c>
      <c r="D32" s="277" t="str">
        <f>IF(D29&gt;D31,"See Tab C","")</f>
        <v/>
      </c>
      <c r="E32" s="111"/>
    </row>
    <row r="33" spans="2:5" x14ac:dyDescent="0.2">
      <c r="B33" s="506"/>
      <c r="C33" s="277" t="str">
        <f>IF(C30&lt;0,"See Tab B","")</f>
        <v/>
      </c>
      <c r="D33" s="277" t="str">
        <f>IF(D30&lt;0,"See Tab D","")</f>
        <v/>
      </c>
      <c r="E33" s="111"/>
    </row>
    <row r="34" spans="2:5" x14ac:dyDescent="0.2">
      <c r="B34" s="51"/>
      <c r="C34" s="111"/>
      <c r="D34" s="111"/>
      <c r="E34" s="111"/>
    </row>
    <row r="35" spans="2:5" x14ac:dyDescent="0.2">
      <c r="B35" s="50" t="s">
        <v>75</v>
      </c>
      <c r="C35" s="283"/>
      <c r="D35" s="283"/>
      <c r="E35" s="283"/>
    </row>
    <row r="36" spans="2:5" x14ac:dyDescent="0.2">
      <c r="B36" s="51"/>
      <c r="C36" s="279" t="str">
        <f t="shared" ref="C36:E37" si="0">C5</f>
        <v xml:space="preserve">Prior Year </v>
      </c>
      <c r="D36" s="180" t="str">
        <f t="shared" si="0"/>
        <v xml:space="preserve">Current Year </v>
      </c>
      <c r="E36" s="180" t="str">
        <f t="shared" si="0"/>
        <v xml:space="preserve">Proposed Budget </v>
      </c>
    </row>
    <row r="37" spans="2:5" x14ac:dyDescent="0.2">
      <c r="B37" s="378">
        <f>inputPrYr!B51</f>
        <v>0</v>
      </c>
      <c r="C37" s="272" t="str">
        <f t="shared" si="0"/>
        <v>Actual for 2012</v>
      </c>
      <c r="D37" s="272" t="str">
        <f t="shared" si="0"/>
        <v>Estimate for 2013</v>
      </c>
      <c r="E37" s="272" t="str">
        <f t="shared" si="0"/>
        <v>Year for 2014</v>
      </c>
    </row>
    <row r="38" spans="2:5" x14ac:dyDescent="0.2">
      <c r="B38" s="114" t="s">
        <v>197</v>
      </c>
      <c r="C38" s="78"/>
      <c r="D38" s="222">
        <f>C61</f>
        <v>0</v>
      </c>
      <c r="E38" s="222">
        <f>D61</f>
        <v>0</v>
      </c>
    </row>
    <row r="39" spans="2:5" x14ac:dyDescent="0.2">
      <c r="B39" s="114" t="s">
        <v>199</v>
      </c>
      <c r="C39" s="74"/>
      <c r="D39" s="74"/>
      <c r="E39" s="74"/>
    </row>
    <row r="40" spans="2:5" x14ac:dyDescent="0.2">
      <c r="B40" s="274" t="s">
        <v>399</v>
      </c>
      <c r="C40" s="78"/>
      <c r="D40" s="78"/>
      <c r="E40" s="78"/>
    </row>
    <row r="41" spans="2:5" x14ac:dyDescent="0.2">
      <c r="B41" s="274"/>
      <c r="C41" s="78"/>
      <c r="D41" s="78"/>
      <c r="E41" s="78"/>
    </row>
    <row r="42" spans="2:5" x14ac:dyDescent="0.2">
      <c r="B42" s="274"/>
      <c r="C42" s="78"/>
      <c r="D42" s="78"/>
      <c r="E42" s="78"/>
    </row>
    <row r="43" spans="2:5" x14ac:dyDescent="0.2">
      <c r="B43" s="265" t="s">
        <v>81</v>
      </c>
      <c r="C43" s="78"/>
      <c r="D43" s="78"/>
      <c r="E43" s="78"/>
    </row>
    <row r="44" spans="2:5" x14ac:dyDescent="0.2">
      <c r="B44" s="266" t="s">
        <v>38</v>
      </c>
      <c r="C44" s="78"/>
      <c r="D44" s="261"/>
      <c r="E44" s="261"/>
    </row>
    <row r="45" spans="2:5" x14ac:dyDescent="0.2">
      <c r="B45" s="266" t="s">
        <v>285</v>
      </c>
      <c r="C45" s="376" t="str">
        <f>IF(C46*0.1&lt;C44,"Exceed 10% Rule","")</f>
        <v/>
      </c>
      <c r="D45" s="267" t="str">
        <f>IF(D46*0.1&lt;D44,"Exceed 10% Rule","")</f>
        <v/>
      </c>
      <c r="E45" s="267" t="str">
        <f>IF(E46*0.1&lt;E44,"Exceed 10% Rule","")</f>
        <v/>
      </c>
    </row>
    <row r="46" spans="2:5" x14ac:dyDescent="0.2">
      <c r="B46" s="268" t="s">
        <v>82</v>
      </c>
      <c r="C46" s="298">
        <f>SUM(C40:C44)</f>
        <v>0</v>
      </c>
      <c r="D46" s="298">
        <f>SUM(D40:D44)</f>
        <v>0</v>
      </c>
      <c r="E46" s="298">
        <f>SUM(E40:E44)</f>
        <v>0</v>
      </c>
    </row>
    <row r="47" spans="2:5" x14ac:dyDescent="0.2">
      <c r="B47" s="268" t="s">
        <v>83</v>
      </c>
      <c r="C47" s="298">
        <f>C38+C46</f>
        <v>0</v>
      </c>
      <c r="D47" s="298">
        <f>D38+D46</f>
        <v>0</v>
      </c>
      <c r="E47" s="298">
        <f>E38+E46</f>
        <v>0</v>
      </c>
    </row>
    <row r="48" spans="2:5" x14ac:dyDescent="0.2">
      <c r="B48" s="114" t="s">
        <v>86</v>
      </c>
      <c r="C48" s="222"/>
      <c r="D48" s="222"/>
      <c r="E48" s="222"/>
    </row>
    <row r="49" spans="2:5" x14ac:dyDescent="0.2">
      <c r="B49" s="274" t="s">
        <v>425</v>
      </c>
      <c r="C49" s="78"/>
      <c r="D49" s="78"/>
      <c r="E49" s="78"/>
    </row>
    <row r="50" spans="2:5" x14ac:dyDescent="0.2">
      <c r="B50" s="274" t="s">
        <v>426</v>
      </c>
      <c r="C50" s="78"/>
      <c r="D50" s="78"/>
      <c r="E50" s="78"/>
    </row>
    <row r="51" spans="2:5" x14ac:dyDescent="0.2">
      <c r="B51" s="274" t="s">
        <v>387</v>
      </c>
      <c r="C51" s="78"/>
      <c r="D51" s="78"/>
      <c r="E51" s="78"/>
    </row>
    <row r="52" spans="2:5" x14ac:dyDescent="0.2">
      <c r="B52" s="274" t="s">
        <v>427</v>
      </c>
      <c r="C52" s="78"/>
      <c r="D52" s="78"/>
      <c r="E52" s="78"/>
    </row>
    <row r="53" spans="2:5" x14ac:dyDescent="0.2">
      <c r="B53" s="274"/>
      <c r="C53" s="78"/>
      <c r="D53" s="78"/>
      <c r="E53" s="78"/>
    </row>
    <row r="54" spans="2:5" x14ac:dyDescent="0.2">
      <c r="B54" s="274"/>
      <c r="C54" s="78"/>
      <c r="D54" s="78"/>
      <c r="E54" s="78"/>
    </row>
    <row r="55" spans="2:5" x14ac:dyDescent="0.2">
      <c r="B55" s="274"/>
      <c r="C55" s="78"/>
      <c r="D55" s="78"/>
      <c r="E55" s="78"/>
    </row>
    <row r="56" spans="2:5" x14ac:dyDescent="0.2">
      <c r="B56" s="274"/>
      <c r="C56" s="78"/>
      <c r="D56" s="78"/>
      <c r="E56" s="78"/>
    </row>
    <row r="57" spans="2:5" x14ac:dyDescent="0.2">
      <c r="B57" s="274"/>
      <c r="C57" s="78"/>
      <c r="D57" s="78"/>
      <c r="E57" s="78"/>
    </row>
    <row r="58" spans="2:5" x14ac:dyDescent="0.2">
      <c r="B58" s="266" t="s">
        <v>38</v>
      </c>
      <c r="C58" s="78"/>
      <c r="D58" s="261"/>
      <c r="E58" s="261"/>
    </row>
    <row r="59" spans="2:5" x14ac:dyDescent="0.2">
      <c r="B59" s="266" t="s">
        <v>284</v>
      </c>
      <c r="C59" s="376" t="str">
        <f>IF(C60*0.1&lt;C58,"Exceed 10% Rule","")</f>
        <v/>
      </c>
      <c r="D59" s="267" t="str">
        <f>IF(D60*0.1&lt;D58,"Exceed 10% Rule","")</f>
        <v/>
      </c>
      <c r="E59" s="267" t="str">
        <f>IF(E60*0.1&lt;E58,"Exceed 10% Rule","")</f>
        <v/>
      </c>
    </row>
    <row r="60" spans="2:5" x14ac:dyDescent="0.2">
      <c r="B60" s="268" t="s">
        <v>87</v>
      </c>
      <c r="C60" s="298">
        <f>SUM(C49:C58)</f>
        <v>0</v>
      </c>
      <c r="D60" s="298">
        <f>SUM(D49:D58)</f>
        <v>0</v>
      </c>
      <c r="E60" s="298">
        <f>SUM(E49:E58)</f>
        <v>0</v>
      </c>
    </row>
    <row r="61" spans="2:5" x14ac:dyDescent="0.2">
      <c r="B61" s="114" t="s">
        <v>198</v>
      </c>
      <c r="C61" s="86">
        <f>C47-C60</f>
        <v>0</v>
      </c>
      <c r="D61" s="86">
        <f>D47-D60</f>
        <v>0</v>
      </c>
      <c r="E61" s="86">
        <f>E47-E60</f>
        <v>0</v>
      </c>
    </row>
    <row r="62" spans="2:5" x14ac:dyDescent="0.2">
      <c r="B62" s="506" t="str">
        <f>CONCATENATE("",E$1-2,"/",E$1-1," Budget Authority Amount:")</f>
        <v>2012/2013 Budget Authority Amount:</v>
      </c>
      <c r="C62" s="236">
        <f>inputOth!B47</f>
        <v>0</v>
      </c>
      <c r="D62" s="236">
        <f>inputPrYr!D48</f>
        <v>50000</v>
      </c>
      <c r="E62" s="374" t="str">
        <f>IF(E61&lt;0,"See Tab E","")</f>
        <v/>
      </c>
    </row>
    <row r="63" spans="2:5" x14ac:dyDescent="0.2">
      <c r="B63" s="506"/>
      <c r="C63" s="277" t="str">
        <f>IF(C60&gt;C62,"See Tab A","")</f>
        <v/>
      </c>
      <c r="D63" s="277" t="str">
        <f>IF(D60&gt;D62,"See Tab C","")</f>
        <v/>
      </c>
      <c r="E63" s="51"/>
    </row>
    <row r="64" spans="2:5" x14ac:dyDescent="0.2">
      <c r="B64" s="506"/>
      <c r="C64" s="277" t="str">
        <f>IF(C61&lt;0,"See Tab B","")</f>
        <v/>
      </c>
      <c r="D64" s="277" t="str">
        <f>IF(D61&lt;0,"See Tab D","")</f>
        <v/>
      </c>
      <c r="E64" s="51"/>
    </row>
    <row r="65" spans="2:5" x14ac:dyDescent="0.2">
      <c r="B65" s="51"/>
      <c r="C65" s="51"/>
      <c r="D65" s="51"/>
      <c r="E65" s="51"/>
    </row>
    <row r="66" spans="2:5" x14ac:dyDescent="0.2">
      <c r="B66" s="506" t="s">
        <v>108</v>
      </c>
      <c r="C66" s="295">
        <v>14</v>
      </c>
      <c r="D66" s="51"/>
      <c r="E66" s="51"/>
    </row>
  </sheetData>
  <conditionalFormatting sqref="C27">
    <cfRule type="cellIs" dxfId="37" priority="19" stopIfTrue="1" operator="greaterThan">
      <formula>$C$29*0.1</formula>
    </cfRule>
  </conditionalFormatting>
  <conditionalFormatting sqref="D27">
    <cfRule type="cellIs" dxfId="36" priority="18" stopIfTrue="1" operator="greaterThan">
      <formula>$D$29*0.1</formula>
    </cfRule>
  </conditionalFormatting>
  <conditionalFormatting sqref="E27">
    <cfRule type="cellIs" dxfId="35" priority="17" stopIfTrue="1" operator="greaterThan">
      <formula>$E$29*0.1</formula>
    </cfRule>
  </conditionalFormatting>
  <conditionalFormatting sqref="C13">
    <cfRule type="cellIs" dxfId="34" priority="16" stopIfTrue="1" operator="greaterThan">
      <formula>$C$15*0.1</formula>
    </cfRule>
  </conditionalFormatting>
  <conditionalFormatting sqref="D13">
    <cfRule type="cellIs" dxfId="33" priority="15" stopIfTrue="1" operator="greaterThan">
      <formula>$D$15*0.1</formula>
    </cfRule>
  </conditionalFormatting>
  <conditionalFormatting sqref="E13">
    <cfRule type="cellIs" dxfId="32" priority="14" stopIfTrue="1" operator="greaterThan">
      <formula>$E$15*0.1</formula>
    </cfRule>
  </conditionalFormatting>
  <conditionalFormatting sqref="C44">
    <cfRule type="cellIs" dxfId="31" priority="13" stopIfTrue="1" operator="greaterThan">
      <formula>$C$46*0.1</formula>
    </cfRule>
  </conditionalFormatting>
  <conditionalFormatting sqref="D44">
    <cfRule type="cellIs" dxfId="30" priority="12" stopIfTrue="1" operator="greaterThan">
      <formula>$D$46*0.1</formula>
    </cfRule>
  </conditionalFormatting>
  <conditionalFormatting sqref="E44">
    <cfRule type="cellIs" dxfId="29" priority="11" stopIfTrue="1" operator="greaterThan">
      <formula>$E$46*0.1</formula>
    </cfRule>
  </conditionalFormatting>
  <conditionalFormatting sqref="C58">
    <cfRule type="cellIs" dxfId="28" priority="10" stopIfTrue="1" operator="greaterThan">
      <formula>$C$60*0.1</formula>
    </cfRule>
  </conditionalFormatting>
  <conditionalFormatting sqref="D58">
    <cfRule type="cellIs" dxfId="27" priority="9" stopIfTrue="1" operator="greaterThan">
      <formula>$D$60*0.1</formula>
    </cfRule>
  </conditionalFormatting>
  <conditionalFormatting sqref="E58">
    <cfRule type="cellIs" dxfId="26" priority="8" stopIfTrue="1" operator="greaterThan">
      <formula>$E$60*0.1</formula>
    </cfRule>
  </conditionalFormatting>
  <conditionalFormatting sqref="E30 C30 E61 C61">
    <cfRule type="cellIs" dxfId="25" priority="7" stopIfTrue="1" operator="lessThan">
      <formula>0</formula>
    </cfRule>
  </conditionalFormatting>
  <conditionalFormatting sqref="D29">
    <cfRule type="cellIs" dxfId="24" priority="6" stopIfTrue="1" operator="greaterThan">
      <formula>$D$31</formula>
    </cfRule>
  </conditionalFormatting>
  <conditionalFormatting sqref="C29">
    <cfRule type="cellIs" dxfId="23" priority="5" stopIfTrue="1" operator="greaterThan">
      <formula>$C$31</formula>
    </cfRule>
  </conditionalFormatting>
  <conditionalFormatting sqref="D60">
    <cfRule type="cellIs" dxfId="22" priority="4" stopIfTrue="1" operator="greaterThan">
      <formula>$D$62</formula>
    </cfRule>
  </conditionalFormatting>
  <conditionalFormatting sqref="C60">
    <cfRule type="cellIs" dxfId="21" priority="3" stopIfTrue="1" operator="greaterThan">
      <formula>$C$62</formula>
    </cfRule>
  </conditionalFormatting>
  <conditionalFormatting sqref="D30">
    <cfRule type="cellIs" dxfId="20" priority="2" stopIfTrue="1" operator="lessThan">
      <formula>0</formula>
    </cfRule>
  </conditionalFormatting>
  <conditionalFormatting sqref="D61">
    <cfRule type="cellIs" dxfId="19" priority="1" stopIfTrue="1" operator="lessThan">
      <formula>0</formula>
    </cfRule>
  </conditionalFormatting>
  <pageMargins left="1.1200000000000001" right="0.5" top="0.74" bottom="0.34" header="0.5" footer="0"/>
  <pageSetup scale="70" orientation="portrait" blackAndWhite="1" r:id="rId1"/>
  <headerFooter alignWithMargins="0">
    <oddHeader xml:space="preserve">&amp;RState of Kansas
County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B1:E66"/>
  <sheetViews>
    <sheetView zoomScaleNormal="100" workbookViewId="0"/>
  </sheetViews>
  <sheetFormatPr defaultRowHeight="15.75" x14ac:dyDescent="0.2"/>
  <cols>
    <col min="1" max="1" width="2.44140625" style="48" customWidth="1"/>
    <col min="2" max="2" width="31.109375" style="48" customWidth="1"/>
    <col min="3" max="4" width="15.77734375" style="48" customWidth="1"/>
    <col min="5" max="5" width="16.109375" style="48" customWidth="1"/>
    <col min="6" max="16384" width="8.88671875" style="48"/>
  </cols>
  <sheetData>
    <row r="1" spans="2:5" x14ac:dyDescent="0.2">
      <c r="B1" s="184" t="str">
        <f>(inputPrYr!C2)</f>
        <v>Edwards County</v>
      </c>
      <c r="C1" s="51"/>
      <c r="D1" s="51"/>
      <c r="E1" s="243">
        <f>inputPrYr!C4</f>
        <v>2014</v>
      </c>
    </row>
    <row r="2" spans="2:5" x14ac:dyDescent="0.2">
      <c r="B2" s="51"/>
      <c r="C2" s="51"/>
      <c r="D2" s="51"/>
      <c r="E2" s="196"/>
    </row>
    <row r="3" spans="2:5" x14ac:dyDescent="0.2">
      <c r="B3" s="118" t="s">
        <v>156</v>
      </c>
      <c r="C3" s="289"/>
      <c r="D3" s="289"/>
      <c r="E3" s="290"/>
    </row>
    <row r="4" spans="2:5" x14ac:dyDescent="0.2">
      <c r="B4" s="51"/>
      <c r="C4" s="283"/>
      <c r="D4" s="283"/>
      <c r="E4" s="283"/>
    </row>
    <row r="5" spans="2:5" x14ac:dyDescent="0.2">
      <c r="B5" s="50" t="s">
        <v>75</v>
      </c>
      <c r="C5" s="279" t="str">
        <f>general!C4</f>
        <v xml:space="preserve">Prior Year </v>
      </c>
      <c r="D5" s="180" t="str">
        <f>general!D4</f>
        <v xml:space="preserve">Current Year </v>
      </c>
      <c r="E5" s="180" t="str">
        <f>general!E4</f>
        <v xml:space="preserve">Proposed Budget </v>
      </c>
    </row>
    <row r="6" spans="2:5" x14ac:dyDescent="0.2">
      <c r="B6" s="379">
        <f>inputPrYr!B49</f>
        <v>0</v>
      </c>
      <c r="C6" s="272" t="str">
        <f>general!C5</f>
        <v>Actual for 2012</v>
      </c>
      <c r="D6" s="272" t="str">
        <f>general!D5</f>
        <v>Estimate for 2013</v>
      </c>
      <c r="E6" s="259" t="str">
        <f>general!E5</f>
        <v>Year for 2014</v>
      </c>
    </row>
    <row r="7" spans="2:5" x14ac:dyDescent="0.2">
      <c r="B7" s="114" t="s">
        <v>197</v>
      </c>
      <c r="C7" s="78"/>
      <c r="D7" s="222">
        <f>C30</f>
        <v>0</v>
      </c>
      <c r="E7" s="222">
        <f>D30</f>
        <v>0</v>
      </c>
    </row>
    <row r="8" spans="2:5" x14ac:dyDescent="0.2">
      <c r="B8" s="291" t="s">
        <v>199</v>
      </c>
      <c r="C8" s="74"/>
      <c r="D8" s="74"/>
      <c r="E8" s="74"/>
    </row>
    <row r="9" spans="2:5" x14ac:dyDescent="0.2">
      <c r="B9" s="274" t="s">
        <v>400</v>
      </c>
      <c r="C9" s="78"/>
      <c r="D9" s="78"/>
      <c r="E9" s="78"/>
    </row>
    <row r="10" spans="2:5" x14ac:dyDescent="0.2">
      <c r="B10" s="274"/>
      <c r="C10" s="78"/>
      <c r="D10" s="78"/>
      <c r="E10" s="78"/>
    </row>
    <row r="11" spans="2:5" x14ac:dyDescent="0.2">
      <c r="B11" s="274"/>
      <c r="C11" s="78"/>
      <c r="D11" s="78"/>
      <c r="E11" s="78"/>
    </row>
    <row r="12" spans="2:5" x14ac:dyDescent="0.2">
      <c r="B12" s="265" t="s">
        <v>81</v>
      </c>
      <c r="C12" s="78"/>
      <c r="D12" s="78"/>
      <c r="E12" s="78"/>
    </row>
    <row r="13" spans="2:5" x14ac:dyDescent="0.2">
      <c r="B13" s="266" t="s">
        <v>38</v>
      </c>
      <c r="C13" s="78"/>
      <c r="D13" s="261"/>
      <c r="E13" s="261"/>
    </row>
    <row r="14" spans="2:5" x14ac:dyDescent="0.2">
      <c r="B14" s="266" t="s">
        <v>285</v>
      </c>
      <c r="C14" s="376" t="str">
        <f>IF(C15*0.1&lt;C13,"Exceed 10% Rule","")</f>
        <v/>
      </c>
      <c r="D14" s="267" t="str">
        <f>IF(D15*0.1&lt;D13,"Exceed 10% Rule","")</f>
        <v/>
      </c>
      <c r="E14" s="267" t="str">
        <f>IF(E15*0.1&lt;E13,"Exceed 10% Rule","")</f>
        <v/>
      </c>
    </row>
    <row r="15" spans="2:5" x14ac:dyDescent="0.2">
      <c r="B15" s="268" t="s">
        <v>82</v>
      </c>
      <c r="C15" s="298">
        <f>SUM(C9:C13)</f>
        <v>0</v>
      </c>
      <c r="D15" s="298">
        <f>SUM(D9:D13)</f>
        <v>0</v>
      </c>
      <c r="E15" s="298">
        <f>SUM(E9:E13)</f>
        <v>0</v>
      </c>
    </row>
    <row r="16" spans="2:5" x14ac:dyDescent="0.2">
      <c r="B16" s="268" t="s">
        <v>83</v>
      </c>
      <c r="C16" s="298">
        <f>C15+C7</f>
        <v>0</v>
      </c>
      <c r="D16" s="298">
        <f>D15+D7</f>
        <v>0</v>
      </c>
      <c r="E16" s="298">
        <f>E15+E7</f>
        <v>0</v>
      </c>
    </row>
    <row r="17" spans="2:5" x14ac:dyDescent="0.2">
      <c r="B17" s="114" t="s">
        <v>86</v>
      </c>
      <c r="C17" s="222"/>
      <c r="D17" s="222"/>
      <c r="E17" s="222"/>
    </row>
    <row r="18" spans="2:5" x14ac:dyDescent="0.2">
      <c r="B18" s="274" t="s">
        <v>387</v>
      </c>
      <c r="C18" s="78"/>
      <c r="D18" s="78"/>
      <c r="E18" s="78"/>
    </row>
    <row r="19" spans="2:5" x14ac:dyDescent="0.2">
      <c r="B19" s="274"/>
      <c r="C19" s="78"/>
      <c r="D19" s="78"/>
      <c r="E19" s="78"/>
    </row>
    <row r="20" spans="2:5" x14ac:dyDescent="0.2">
      <c r="B20" s="274" t="s">
        <v>436</v>
      </c>
      <c r="C20" s="78"/>
      <c r="D20" s="78"/>
      <c r="E20" s="78"/>
    </row>
    <row r="21" spans="2:5" x14ac:dyDescent="0.2">
      <c r="B21" s="274"/>
      <c r="C21" s="78"/>
      <c r="D21" s="78"/>
      <c r="E21" s="78"/>
    </row>
    <row r="22" spans="2:5" x14ac:dyDescent="0.2">
      <c r="B22" s="274"/>
      <c r="C22" s="78"/>
      <c r="D22" s="78"/>
      <c r="E22" s="78"/>
    </row>
    <row r="23" spans="2:5" x14ac:dyDescent="0.2">
      <c r="B23" s="274"/>
      <c r="C23" s="78"/>
      <c r="D23" s="78"/>
      <c r="E23" s="78"/>
    </row>
    <row r="24" spans="2:5" x14ac:dyDescent="0.2">
      <c r="B24" s="274"/>
      <c r="C24" s="78"/>
      <c r="D24" s="78"/>
      <c r="E24" s="78"/>
    </row>
    <row r="25" spans="2:5" x14ac:dyDescent="0.2">
      <c r="B25" s="274"/>
      <c r="C25" s="78"/>
      <c r="D25" s="78"/>
      <c r="E25" s="78"/>
    </row>
    <row r="26" spans="2:5" x14ac:dyDescent="0.2">
      <c r="B26" s="274"/>
      <c r="C26" s="78"/>
      <c r="D26" s="78"/>
      <c r="E26" s="78"/>
    </row>
    <row r="27" spans="2:5" x14ac:dyDescent="0.2">
      <c r="B27" s="266" t="s">
        <v>38</v>
      </c>
      <c r="C27" s="78"/>
      <c r="D27" s="261"/>
      <c r="E27" s="261"/>
    </row>
    <row r="28" spans="2:5" x14ac:dyDescent="0.2">
      <c r="B28" s="266" t="s">
        <v>284</v>
      </c>
      <c r="C28" s="376" t="str">
        <f>IF(C29*0.1&lt;C27,"Exceed 10% Rule","")</f>
        <v/>
      </c>
      <c r="D28" s="267" t="str">
        <f>IF(D29*0.1&lt;D27,"Exceed 10% Rule","")</f>
        <v/>
      </c>
      <c r="E28" s="267" t="str">
        <f>IF(E29*0.1&lt;E27,"Exceed 10% Rule","")</f>
        <v/>
      </c>
    </row>
    <row r="29" spans="2:5" x14ac:dyDescent="0.2">
      <c r="B29" s="268" t="s">
        <v>87</v>
      </c>
      <c r="C29" s="298">
        <f>SUM(C18:C27)</f>
        <v>0</v>
      </c>
      <c r="D29" s="298">
        <f>SUM(D18:D27)</f>
        <v>0</v>
      </c>
      <c r="E29" s="298">
        <f>SUM(E18:E27)</f>
        <v>0</v>
      </c>
    </row>
    <row r="30" spans="2:5" x14ac:dyDescent="0.2">
      <c r="B30" s="114" t="s">
        <v>198</v>
      </c>
      <c r="C30" s="86">
        <f>C16-C29</f>
        <v>0</v>
      </c>
      <c r="D30" s="86">
        <f>D16-D29</f>
        <v>0</v>
      </c>
      <c r="E30" s="86">
        <f>E16-E29</f>
        <v>0</v>
      </c>
    </row>
    <row r="31" spans="2:5" x14ac:dyDescent="0.2">
      <c r="B31" s="244" t="str">
        <f>CONCATENATE("",E$1-2,"/",E$1-1," Budget Authority Amount:")</f>
        <v>2012/2013 Budget Authority Amount:</v>
      </c>
      <c r="C31" s="236">
        <f>inputOth!B48</f>
        <v>0</v>
      </c>
      <c r="D31" s="236">
        <f>inputPrYr!D49</f>
        <v>0</v>
      </c>
      <c r="E31" s="375" t="str">
        <f>IF(E30&lt;0,"See Tab E","")</f>
        <v/>
      </c>
    </row>
    <row r="32" spans="2:5" x14ac:dyDescent="0.2">
      <c r="B32" s="244"/>
      <c r="C32" s="277" t="str">
        <f>IF(C29&gt;C31,"See Tab A","")</f>
        <v/>
      </c>
      <c r="D32" s="277" t="str">
        <f>IF(D29&gt;D31,"See Tab C","")</f>
        <v/>
      </c>
      <c r="E32" s="111"/>
    </row>
    <row r="33" spans="2:5" x14ac:dyDescent="0.2">
      <c r="B33" s="244"/>
      <c r="C33" s="277" t="str">
        <f>IF(C30&lt;0,"See Tab B","")</f>
        <v/>
      </c>
      <c r="D33" s="277" t="str">
        <f>IF(D30&lt;0,"See Tab D","")</f>
        <v/>
      </c>
      <c r="E33" s="111"/>
    </row>
    <row r="34" spans="2:5" x14ac:dyDescent="0.2">
      <c r="B34" s="51"/>
      <c r="C34" s="111"/>
      <c r="D34" s="111"/>
      <c r="E34" s="111"/>
    </row>
    <row r="35" spans="2:5" x14ac:dyDescent="0.2">
      <c r="B35" s="50" t="s">
        <v>75</v>
      </c>
      <c r="C35" s="283"/>
      <c r="D35" s="283"/>
      <c r="E35" s="283"/>
    </row>
    <row r="36" spans="2:5" x14ac:dyDescent="0.2">
      <c r="B36" s="51"/>
      <c r="C36" s="279" t="str">
        <f t="shared" ref="C36:E37" si="0">C5</f>
        <v xml:space="preserve">Prior Year </v>
      </c>
      <c r="D36" s="180" t="str">
        <f t="shared" si="0"/>
        <v xml:space="preserve">Current Year </v>
      </c>
      <c r="E36" s="180" t="str">
        <f t="shared" si="0"/>
        <v xml:space="preserve">Proposed Budget </v>
      </c>
    </row>
    <row r="37" spans="2:5" x14ac:dyDescent="0.2">
      <c r="B37" s="378">
        <f>inputPrYr!B50</f>
        <v>0</v>
      </c>
      <c r="C37" s="272" t="str">
        <f t="shared" si="0"/>
        <v>Actual for 2012</v>
      </c>
      <c r="D37" s="272" t="str">
        <f t="shared" si="0"/>
        <v>Estimate for 2013</v>
      </c>
      <c r="E37" s="272" t="str">
        <f t="shared" si="0"/>
        <v>Year for 2014</v>
      </c>
    </row>
    <row r="38" spans="2:5" x14ac:dyDescent="0.2">
      <c r="B38" s="114" t="s">
        <v>197</v>
      </c>
      <c r="C38" s="78"/>
      <c r="D38" s="222">
        <f>C61</f>
        <v>0</v>
      </c>
      <c r="E38" s="222">
        <f>D61</f>
        <v>0</v>
      </c>
    </row>
    <row r="39" spans="2:5" x14ac:dyDescent="0.2">
      <c r="B39" s="114" t="s">
        <v>199</v>
      </c>
      <c r="C39" s="74"/>
      <c r="D39" s="74"/>
      <c r="E39" s="74"/>
    </row>
    <row r="40" spans="2:5" x14ac:dyDescent="0.2">
      <c r="B40" s="274"/>
      <c r="C40" s="78"/>
      <c r="D40" s="78"/>
      <c r="E40" s="78"/>
    </row>
    <row r="41" spans="2:5" x14ac:dyDescent="0.2">
      <c r="B41" s="274"/>
      <c r="C41" s="78"/>
      <c r="D41" s="78"/>
      <c r="E41" s="78"/>
    </row>
    <row r="42" spans="2:5" x14ac:dyDescent="0.2">
      <c r="B42" s="274"/>
      <c r="C42" s="78"/>
      <c r="D42" s="78"/>
      <c r="E42" s="78"/>
    </row>
    <row r="43" spans="2:5" x14ac:dyDescent="0.2">
      <c r="B43" s="265" t="s">
        <v>81</v>
      </c>
      <c r="C43" s="78"/>
      <c r="D43" s="78"/>
      <c r="E43" s="78"/>
    </row>
    <row r="44" spans="2:5" x14ac:dyDescent="0.2">
      <c r="B44" s="266" t="s">
        <v>38</v>
      </c>
      <c r="C44" s="78"/>
      <c r="D44" s="261"/>
      <c r="E44" s="261"/>
    </row>
    <row r="45" spans="2:5" x14ac:dyDescent="0.2">
      <c r="B45" s="266" t="s">
        <v>285</v>
      </c>
      <c r="C45" s="376" t="str">
        <f>IF(C46*0.1&lt;C44,"Exceed 10% Rule","")</f>
        <v/>
      </c>
      <c r="D45" s="267" t="str">
        <f>IF(D46*0.1&lt;D44,"Exceed 10% Rule","")</f>
        <v/>
      </c>
      <c r="E45" s="267" t="str">
        <f>IF(E46*0.1&lt;E44,"Exceed 10% Rule","")</f>
        <v/>
      </c>
    </row>
    <row r="46" spans="2:5" x14ac:dyDescent="0.2">
      <c r="B46" s="268" t="s">
        <v>82</v>
      </c>
      <c r="C46" s="298">
        <f>SUM(C40:C44)</f>
        <v>0</v>
      </c>
      <c r="D46" s="298">
        <f>SUM(D40:D44)</f>
        <v>0</v>
      </c>
      <c r="E46" s="298">
        <f>SUM(E40:E44)</f>
        <v>0</v>
      </c>
    </row>
    <row r="47" spans="2:5" x14ac:dyDescent="0.2">
      <c r="B47" s="268" t="s">
        <v>83</v>
      </c>
      <c r="C47" s="298">
        <f>C38+C46</f>
        <v>0</v>
      </c>
      <c r="D47" s="298">
        <f>D38+D46</f>
        <v>0</v>
      </c>
      <c r="E47" s="298">
        <f>E38+E46</f>
        <v>0</v>
      </c>
    </row>
    <row r="48" spans="2:5" x14ac:dyDescent="0.2">
      <c r="B48" s="114" t="s">
        <v>86</v>
      </c>
      <c r="C48" s="222"/>
      <c r="D48" s="222"/>
      <c r="E48" s="222"/>
    </row>
    <row r="49" spans="2:5" x14ac:dyDescent="0.2">
      <c r="B49" s="274"/>
      <c r="C49" s="78"/>
      <c r="D49" s="78"/>
      <c r="E49" s="78"/>
    </row>
    <row r="50" spans="2:5" x14ac:dyDescent="0.2">
      <c r="B50" s="274"/>
      <c r="C50" s="78"/>
      <c r="D50" s="78"/>
      <c r="E50" s="78"/>
    </row>
    <row r="51" spans="2:5" x14ac:dyDescent="0.2">
      <c r="B51" s="274"/>
      <c r="C51" s="78"/>
      <c r="D51" s="78"/>
      <c r="E51" s="78"/>
    </row>
    <row r="52" spans="2:5" x14ac:dyDescent="0.2">
      <c r="B52" s="274"/>
      <c r="C52" s="78"/>
      <c r="D52" s="78"/>
      <c r="E52" s="78"/>
    </row>
    <row r="53" spans="2:5" x14ac:dyDescent="0.2">
      <c r="B53" s="274"/>
      <c r="C53" s="78"/>
      <c r="D53" s="78"/>
      <c r="E53" s="78"/>
    </row>
    <row r="54" spans="2:5" x14ac:dyDescent="0.2">
      <c r="B54" s="274"/>
      <c r="C54" s="78"/>
      <c r="D54" s="78"/>
      <c r="E54" s="78"/>
    </row>
    <row r="55" spans="2:5" x14ac:dyDescent="0.2">
      <c r="B55" s="274"/>
      <c r="C55" s="78"/>
      <c r="D55" s="78"/>
      <c r="E55" s="78"/>
    </row>
    <row r="56" spans="2:5" x14ac:dyDescent="0.2">
      <c r="B56" s="274"/>
      <c r="C56" s="78"/>
      <c r="D56" s="78"/>
      <c r="E56" s="78"/>
    </row>
    <row r="57" spans="2:5" x14ac:dyDescent="0.2">
      <c r="B57" s="274"/>
      <c r="C57" s="78"/>
      <c r="D57" s="78"/>
      <c r="E57" s="78"/>
    </row>
    <row r="58" spans="2:5" x14ac:dyDescent="0.2">
      <c r="B58" s="266" t="s">
        <v>38</v>
      </c>
      <c r="C58" s="78"/>
      <c r="D58" s="261"/>
      <c r="E58" s="261"/>
    </row>
    <row r="59" spans="2:5" x14ac:dyDescent="0.2">
      <c r="B59" s="266" t="s">
        <v>284</v>
      </c>
      <c r="C59" s="376" t="str">
        <f>IF(C60*0.1&lt;C58,"Exceed 10% Rule","")</f>
        <v/>
      </c>
      <c r="D59" s="267" t="str">
        <f>IF(D60*0.1&lt;D58,"Exceed 10% Rule","")</f>
        <v/>
      </c>
      <c r="E59" s="267" t="str">
        <f>IF(E60*0.1&lt;E58,"Exceed 10% Rule","")</f>
        <v/>
      </c>
    </row>
    <row r="60" spans="2:5" x14ac:dyDescent="0.2">
      <c r="B60" s="268" t="s">
        <v>87</v>
      </c>
      <c r="C60" s="298">
        <f>SUM(C49:C58)</f>
        <v>0</v>
      </c>
      <c r="D60" s="298">
        <f>SUM(D49:D58)</f>
        <v>0</v>
      </c>
      <c r="E60" s="298">
        <f>SUM(E49:E58)</f>
        <v>0</v>
      </c>
    </row>
    <row r="61" spans="2:5" x14ac:dyDescent="0.2">
      <c r="B61" s="114" t="s">
        <v>198</v>
      </c>
      <c r="C61" s="86">
        <f>C47-C60</f>
        <v>0</v>
      </c>
      <c r="D61" s="86">
        <f>D47-D60</f>
        <v>0</v>
      </c>
      <c r="E61" s="86">
        <f>E47-E60</f>
        <v>0</v>
      </c>
    </row>
    <row r="62" spans="2:5" x14ac:dyDescent="0.2">
      <c r="B62" s="244" t="str">
        <f>CONCATENATE("",E$1-2,"/",E$1-1," Budget Authority Amount:")</f>
        <v>2012/2013 Budget Authority Amount:</v>
      </c>
      <c r="C62" s="236">
        <f>inputOth!B49</f>
        <v>0</v>
      </c>
      <c r="D62" s="236">
        <f>inputPrYr!D50</f>
        <v>0</v>
      </c>
      <c r="E62" s="374" t="str">
        <f>IF(E61&lt;0,"See Tab E","")</f>
        <v/>
      </c>
    </row>
    <row r="63" spans="2:5" x14ac:dyDescent="0.2">
      <c r="B63" s="244"/>
      <c r="C63" s="277" t="str">
        <f>IF(C60&gt;C62,"See Tab A","")</f>
        <v/>
      </c>
      <c r="D63" s="277" t="str">
        <f>IF(D60&gt;D62,"See Tab C","")</f>
        <v/>
      </c>
      <c r="E63" s="51"/>
    </row>
    <row r="64" spans="2:5" x14ac:dyDescent="0.2">
      <c r="B64" s="244"/>
      <c r="C64" s="277" t="str">
        <f>IF(C61&lt;0,"See Tab B","")</f>
        <v/>
      </c>
      <c r="D64" s="277" t="str">
        <f>IF(D61&lt;0,"See Tab D","")</f>
        <v/>
      </c>
      <c r="E64" s="51"/>
    </row>
    <row r="65" spans="2:5" x14ac:dyDescent="0.2">
      <c r="B65" s="51"/>
      <c r="C65" s="51"/>
      <c r="D65" s="51"/>
      <c r="E65" s="51"/>
    </row>
    <row r="66" spans="2:5" x14ac:dyDescent="0.2">
      <c r="B66" s="244" t="s">
        <v>108</v>
      </c>
      <c r="C66" s="295">
        <v>15</v>
      </c>
      <c r="D66" s="51"/>
      <c r="E66" s="51"/>
    </row>
  </sheetData>
  <sheetProtection sheet="1"/>
  <phoneticPr fontId="0" type="noConversion"/>
  <conditionalFormatting sqref="C27">
    <cfRule type="cellIs" dxfId="18" priority="3" stopIfTrue="1" operator="greaterThan">
      <formula>$C$29*0.1</formula>
    </cfRule>
  </conditionalFormatting>
  <conditionalFormatting sqref="D27">
    <cfRule type="cellIs" dxfId="17" priority="4" stopIfTrue="1" operator="greaterThan">
      <formula>$D$29*0.1</formula>
    </cfRule>
  </conditionalFormatting>
  <conditionalFormatting sqref="E27">
    <cfRule type="cellIs" dxfId="16" priority="5" stopIfTrue="1" operator="greaterThan">
      <formula>$E$29*0.1</formula>
    </cfRule>
  </conditionalFormatting>
  <conditionalFormatting sqref="C13">
    <cfRule type="cellIs" dxfId="15" priority="6" stopIfTrue="1" operator="greaterThan">
      <formula>$C$15*0.1</formula>
    </cfRule>
  </conditionalFormatting>
  <conditionalFormatting sqref="D13">
    <cfRule type="cellIs" dxfId="14" priority="7" stopIfTrue="1" operator="greaterThan">
      <formula>$D$15*0.1</formula>
    </cfRule>
  </conditionalFormatting>
  <conditionalFormatting sqref="E13">
    <cfRule type="cellIs" dxfId="13" priority="8" stopIfTrue="1" operator="greaterThan">
      <formula>$E$15*0.1</formula>
    </cfRule>
  </conditionalFormatting>
  <conditionalFormatting sqref="C44">
    <cfRule type="cellIs" dxfId="12" priority="9" stopIfTrue="1" operator="greaterThan">
      <formula>$C$46*0.1</formula>
    </cfRule>
  </conditionalFormatting>
  <conditionalFormatting sqref="D44">
    <cfRule type="cellIs" dxfId="11" priority="10" stopIfTrue="1" operator="greaterThan">
      <formula>$D$46*0.1</formula>
    </cfRule>
  </conditionalFormatting>
  <conditionalFormatting sqref="E44">
    <cfRule type="cellIs" dxfId="10" priority="11" stopIfTrue="1" operator="greaterThan">
      <formula>$E$46*0.1</formula>
    </cfRule>
  </conditionalFormatting>
  <conditionalFormatting sqref="C58">
    <cfRule type="cellIs" dxfId="9" priority="12" stopIfTrue="1" operator="greaterThan">
      <formula>$C$60*0.1</formula>
    </cfRule>
  </conditionalFormatting>
  <conditionalFormatting sqref="D58">
    <cfRule type="cellIs" dxfId="8" priority="13" stopIfTrue="1" operator="greaterThan">
      <formula>$D$60*0.1</formula>
    </cfRule>
  </conditionalFormatting>
  <conditionalFormatting sqref="E58">
    <cfRule type="cellIs" dxfId="7" priority="14" stopIfTrue="1" operator="greaterThan">
      <formula>$E$60*0.1</formula>
    </cfRule>
  </conditionalFormatting>
  <conditionalFormatting sqref="E30 C30 E61 C61">
    <cfRule type="cellIs" dxfId="6" priority="15" stopIfTrue="1" operator="lessThan">
      <formula>0</formula>
    </cfRule>
  </conditionalFormatting>
  <conditionalFormatting sqref="D29">
    <cfRule type="cellIs" dxfId="5" priority="16" stopIfTrue="1" operator="greaterThan">
      <formula>$D$31</formula>
    </cfRule>
  </conditionalFormatting>
  <conditionalFormatting sqref="C29">
    <cfRule type="cellIs" dxfId="4" priority="17" stopIfTrue="1" operator="greaterThan">
      <formula>$C$31</formula>
    </cfRule>
  </conditionalFormatting>
  <conditionalFormatting sqref="D60">
    <cfRule type="cellIs" dxfId="3" priority="18" stopIfTrue="1" operator="greaterThan">
      <formula>$D$62</formula>
    </cfRule>
  </conditionalFormatting>
  <conditionalFormatting sqref="C60">
    <cfRule type="cellIs" dxfId="2" priority="19" stopIfTrue="1" operator="greaterThan">
      <formula>$C$62</formula>
    </cfRule>
  </conditionalFormatting>
  <conditionalFormatting sqref="D30">
    <cfRule type="cellIs" dxfId="1" priority="2" stopIfTrue="1" operator="lessThan">
      <formula>0</formula>
    </cfRule>
  </conditionalFormatting>
  <conditionalFormatting sqref="D61">
    <cfRule type="cellIs" dxfId="0" priority="1" stopIfTrue="1" operator="lessThan">
      <formula>0</formula>
    </cfRule>
  </conditionalFormatting>
  <pageMargins left="1.1200000000000001" right="0.5" top="0.74" bottom="0.34" header="0.5" footer="0"/>
  <pageSetup scale="70" orientation="portrait" blackAndWhite="1" r:id="rId1"/>
  <headerFooter alignWithMargins="0">
    <oddHeader xml:space="preserve">&amp;RState of Kansas
County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opLeftCell="A7" zoomScaleNormal="100" workbookViewId="0">
      <selection activeCell="E24" sqref="E24"/>
    </sheetView>
  </sheetViews>
  <sheetFormatPr defaultRowHeight="15.75" x14ac:dyDescent="0.2"/>
  <cols>
    <col min="1" max="1" width="15.77734375" style="48" customWidth="1"/>
    <col min="2" max="2" width="20.77734375" style="48" customWidth="1"/>
    <col min="3" max="3" width="9.77734375" style="48" customWidth="1"/>
    <col min="4" max="4" width="15.33203125" style="48" customWidth="1"/>
    <col min="5" max="5" width="15.77734375" style="48" customWidth="1"/>
    <col min="6" max="16384" width="8.88671875" style="48"/>
  </cols>
  <sheetData>
    <row r="1" spans="1:5" x14ac:dyDescent="0.2">
      <c r="A1" s="110" t="str">
        <f>inputPrYr!C2</f>
        <v>Edwards County</v>
      </c>
      <c r="B1" s="91"/>
      <c r="C1" s="91"/>
      <c r="D1" s="91"/>
      <c r="E1" s="91">
        <f>inputPrYr!C4</f>
        <v>2014</v>
      </c>
    </row>
    <row r="2" spans="1:5" x14ac:dyDescent="0.2">
      <c r="A2" s="110"/>
      <c r="B2" s="91"/>
      <c r="C2" s="91"/>
      <c r="D2" s="91"/>
      <c r="E2" s="91"/>
    </row>
    <row r="3" spans="1:5" x14ac:dyDescent="0.2">
      <c r="A3" s="528" t="s">
        <v>30</v>
      </c>
      <c r="B3" s="529"/>
      <c r="C3" s="529"/>
      <c r="D3" s="529"/>
      <c r="E3" s="529"/>
    </row>
    <row r="4" spans="1:5" x14ac:dyDescent="0.2">
      <c r="A4" s="91"/>
      <c r="B4" s="91"/>
      <c r="C4" s="91"/>
      <c r="D4" s="91"/>
      <c r="E4" s="91"/>
    </row>
    <row r="5" spans="1:5" x14ac:dyDescent="0.2">
      <c r="A5" s="90" t="str">
        <f>CONCATENATE("From the County Clerks ",E1," Budget Information:")</f>
        <v>From the County Clerks 2014 Budget Information:</v>
      </c>
      <c r="B5" s="92"/>
      <c r="C5" s="61"/>
      <c r="D5" s="51"/>
      <c r="E5" s="111"/>
    </row>
    <row r="6" spans="1:5" x14ac:dyDescent="0.2">
      <c r="A6" s="112" t="str">
        <f>CONCATENATE("Total Assessed Valuation for ",E1-1,"")</f>
        <v>Total Assessed Valuation for 2013</v>
      </c>
      <c r="B6" s="98"/>
      <c r="C6" s="98"/>
      <c r="D6" s="98"/>
      <c r="E6" s="78">
        <v>45324466</v>
      </c>
    </row>
    <row r="7" spans="1:5" x14ac:dyDescent="0.2">
      <c r="A7" s="112" t="str">
        <f>CONCATENATE("New Improvements for ",E1-1,"")</f>
        <v>New Improvements for 2013</v>
      </c>
      <c r="B7" s="98"/>
      <c r="C7" s="98"/>
      <c r="D7" s="98"/>
      <c r="E7" s="113">
        <v>358908</v>
      </c>
    </row>
    <row r="8" spans="1:5" x14ac:dyDescent="0.2">
      <c r="A8" s="112" t="str">
        <f>CONCATENATE("Personal Property excluding oil, gas, and mobile homes- ",E1-1,"")</f>
        <v>Personal Property excluding oil, gas, and mobile homes- 2013</v>
      </c>
      <c r="B8" s="98"/>
      <c r="C8" s="98"/>
      <c r="D8" s="98"/>
      <c r="E8" s="113">
        <v>1449396</v>
      </c>
    </row>
    <row r="9" spans="1:5" x14ac:dyDescent="0.2">
      <c r="A9" s="112" t="str">
        <f>CONCATENATE("Property that has changed in use for ",E1-1,"")</f>
        <v>Property that has changed in use for 2013</v>
      </c>
      <c r="B9" s="98"/>
      <c r="C9" s="98"/>
      <c r="D9" s="98"/>
      <c r="E9" s="113">
        <v>54485</v>
      </c>
    </row>
    <row r="10" spans="1:5" x14ac:dyDescent="0.2">
      <c r="A10" s="112" t="str">
        <f>CONCATENATE("Personal Property excluding oil, gas, and mobile homes- ",E1-2,"")</f>
        <v>Personal Property excluding oil, gas, and mobile homes- 2012</v>
      </c>
      <c r="B10" s="98"/>
      <c r="C10" s="98"/>
      <c r="D10" s="98"/>
      <c r="E10" s="113">
        <v>1452257</v>
      </c>
    </row>
    <row r="11" spans="1:5" x14ac:dyDescent="0.2">
      <c r="A11" s="112" t="str">
        <f>CONCATENATE("Gross earnings (intangible) tax esitmate for ",E1,"")</f>
        <v>Gross earnings (intangible) tax esitmate for 2014</v>
      </c>
      <c r="B11" s="98"/>
      <c r="C11" s="98"/>
      <c r="D11" s="98"/>
      <c r="E11" s="78"/>
    </row>
    <row r="12" spans="1:5" x14ac:dyDescent="0.2">
      <c r="A12" s="114" t="s">
        <v>243</v>
      </c>
      <c r="B12" s="98"/>
      <c r="C12" s="98"/>
      <c r="D12" s="81"/>
      <c r="E12" s="78">
        <v>431236</v>
      </c>
    </row>
    <row r="13" spans="1:5" x14ac:dyDescent="0.2">
      <c r="A13" s="51"/>
      <c r="B13" s="51"/>
      <c r="C13" s="51"/>
      <c r="D13" s="67"/>
      <c r="E13" s="67"/>
    </row>
    <row r="14" spans="1:5" x14ac:dyDescent="0.2">
      <c r="A14" s="90" t="str">
        <f>CONCATENATE("From the County Treasurer's ",E1," Budget Information:")</f>
        <v>From the County Treasurer's 2014 Budget Information:</v>
      </c>
      <c r="B14" s="92"/>
      <c r="C14" s="92"/>
      <c r="D14" s="111"/>
      <c r="E14" s="111"/>
    </row>
    <row r="15" spans="1:5" x14ac:dyDescent="0.2">
      <c r="A15" s="79" t="s">
        <v>48</v>
      </c>
      <c r="B15" s="80"/>
      <c r="C15" s="80"/>
      <c r="D15" s="115"/>
      <c r="E15" s="78">
        <v>295007</v>
      </c>
    </row>
    <row r="16" spans="1:5" x14ac:dyDescent="0.2">
      <c r="A16" s="112" t="s">
        <v>49</v>
      </c>
      <c r="B16" s="98"/>
      <c r="C16" s="98"/>
      <c r="D16" s="116"/>
      <c r="E16" s="78">
        <v>5092</v>
      </c>
    </row>
    <row r="17" spans="1:5" x14ac:dyDescent="0.2">
      <c r="A17" s="112" t="s">
        <v>160</v>
      </c>
      <c r="B17" s="98"/>
      <c r="C17" s="98"/>
      <c r="D17" s="116"/>
      <c r="E17" s="78">
        <v>41442</v>
      </c>
    </row>
    <row r="18" spans="1:5" x14ac:dyDescent="0.2">
      <c r="A18" s="112" t="s">
        <v>244</v>
      </c>
      <c r="B18" s="98"/>
      <c r="C18" s="98"/>
      <c r="D18" s="117"/>
      <c r="E18" s="78">
        <v>0</v>
      </c>
    </row>
    <row r="19" spans="1:5" x14ac:dyDescent="0.2">
      <c r="A19" s="112" t="s">
        <v>245</v>
      </c>
      <c r="B19" s="98"/>
      <c r="C19" s="98"/>
      <c r="D19" s="117"/>
      <c r="E19" s="78">
        <v>0</v>
      </c>
    </row>
    <row r="20" spans="1:5" x14ac:dyDescent="0.2">
      <c r="A20" s="51"/>
      <c r="B20" s="51"/>
      <c r="C20" s="51"/>
      <c r="D20" s="51"/>
      <c r="E20" s="51"/>
    </row>
    <row r="21" spans="1:5" x14ac:dyDescent="0.2">
      <c r="A21" s="118" t="s">
        <v>246</v>
      </c>
      <c r="B21" s="51"/>
      <c r="C21" s="51"/>
      <c r="D21" s="51"/>
      <c r="E21" s="51"/>
    </row>
    <row r="22" spans="1:5" x14ac:dyDescent="0.2">
      <c r="A22" s="485" t="str">
        <f>CONCATENATE("Actual Delinquency for ",E1-3," Tax - (rate .01213 = 1.213%, key in 1.2)")</f>
        <v>Actual Delinquency for 2011 Tax - (rate .01213 = 1.213%, key in 1.2)</v>
      </c>
      <c r="B22" s="80"/>
      <c r="C22" s="80"/>
      <c r="D22" s="85"/>
      <c r="E22" s="484">
        <v>6.7000000000000002E-3</v>
      </c>
    </row>
    <row r="23" spans="1:5" x14ac:dyDescent="0.2">
      <c r="A23" s="487" t="s">
        <v>315</v>
      </c>
      <c r="B23" s="80"/>
      <c r="C23" s="80"/>
      <c r="D23" s="80"/>
      <c r="E23" s="486">
        <v>0.01</v>
      </c>
    </row>
    <row r="24" spans="1:5" x14ac:dyDescent="0.2">
      <c r="A24" s="49" t="s">
        <v>247</v>
      </c>
      <c r="B24" s="49"/>
      <c r="C24" s="49"/>
      <c r="D24" s="49"/>
      <c r="E24" s="49"/>
    </row>
    <row r="25" spans="1:5" x14ac:dyDescent="0.2">
      <c r="A25" s="120"/>
      <c r="B25" s="120"/>
      <c r="C25" s="120"/>
      <c r="D25" s="120"/>
      <c r="E25" s="120"/>
    </row>
    <row r="26" spans="1:5" x14ac:dyDescent="0.2">
      <c r="A26" s="533" t="str">
        <f>CONCATENATE("From the ",E1-2," Budget Certificate Page")</f>
        <v>From the 2012 Budget Certificate Page</v>
      </c>
      <c r="B26" s="534"/>
      <c r="C26" s="120"/>
      <c r="D26" s="120"/>
      <c r="E26" s="120"/>
    </row>
    <row r="27" spans="1:5" x14ac:dyDescent="0.2">
      <c r="A27" s="121"/>
      <c r="B27" s="535" t="str">
        <f>CONCATENATE("",E1-2,"                         Expenditure Amt Budget Authority")</f>
        <v>2012                         Expenditure Amt Budget Authority</v>
      </c>
      <c r="C27" s="538" t="str">
        <f>CONCATENATE("Note: If the ",E1-2," budget was amended, then the")</f>
        <v>Note: If the 2012 budget was amended, then the</v>
      </c>
      <c r="D27" s="539"/>
      <c r="E27" s="539"/>
    </row>
    <row r="28" spans="1:5" x14ac:dyDescent="0.2">
      <c r="A28" s="122" t="s">
        <v>34</v>
      </c>
      <c r="B28" s="536"/>
      <c r="C28" s="123" t="s">
        <v>35</v>
      </c>
      <c r="D28" s="124"/>
      <c r="E28" s="124"/>
    </row>
    <row r="29" spans="1:5" x14ac:dyDescent="0.2">
      <c r="A29" s="125"/>
      <c r="B29" s="537"/>
      <c r="C29" s="123" t="s">
        <v>36</v>
      </c>
      <c r="D29" s="124"/>
      <c r="E29" s="124"/>
    </row>
    <row r="30" spans="1:5" x14ac:dyDescent="0.2">
      <c r="A30" s="126" t="str">
        <f>inputPrYr!B16</f>
        <v>General</v>
      </c>
      <c r="B30" s="127">
        <v>1937065</v>
      </c>
      <c r="C30" s="123"/>
      <c r="D30" s="124"/>
      <c r="E30" s="124"/>
    </row>
    <row r="31" spans="1:5" x14ac:dyDescent="0.2">
      <c r="A31" s="126" t="str">
        <f>inputPrYr!B17</f>
        <v>Debt Service</v>
      </c>
      <c r="B31" s="71"/>
      <c r="C31" s="123"/>
      <c r="D31" s="124"/>
      <c r="E31" s="124"/>
    </row>
    <row r="32" spans="1:5" x14ac:dyDescent="0.2">
      <c r="A32" s="126" t="str">
        <f>inputPrYr!B18</f>
        <v>Road &amp; Bridge</v>
      </c>
      <c r="B32" s="71">
        <v>1141676</v>
      </c>
      <c r="C32" s="120"/>
      <c r="D32" s="120"/>
      <c r="E32" s="120"/>
    </row>
    <row r="33" spans="1:5" x14ac:dyDescent="0.2">
      <c r="A33" s="126" t="str">
        <f>inputPrYr!B19</f>
        <v>Noxious Weed</v>
      </c>
      <c r="B33" s="71">
        <v>82536</v>
      </c>
      <c r="C33" s="120"/>
      <c r="D33" s="120"/>
      <c r="E33" s="120"/>
    </row>
    <row r="34" spans="1:5" x14ac:dyDescent="0.2">
      <c r="A34" s="126" t="str">
        <f>inputPrYr!B20</f>
        <v>Employee Benefits</v>
      </c>
      <c r="B34" s="71">
        <v>902379</v>
      </c>
      <c r="C34" s="120"/>
      <c r="D34" s="120"/>
      <c r="E34" s="120"/>
    </row>
    <row r="35" spans="1:5" x14ac:dyDescent="0.2">
      <c r="A35" s="126" t="str">
        <f>inputPrYr!B21</f>
        <v>County Health</v>
      </c>
      <c r="B35" s="71">
        <v>170690</v>
      </c>
      <c r="C35" s="120"/>
      <c r="D35" s="120"/>
      <c r="E35" s="120"/>
    </row>
    <row r="36" spans="1:5" x14ac:dyDescent="0.2">
      <c r="A36" s="126" t="str">
        <f>inputPrYr!B22</f>
        <v>Hospital Maintenance</v>
      </c>
      <c r="B36" s="71">
        <v>231807</v>
      </c>
      <c r="C36" s="120"/>
      <c r="D36" s="120"/>
      <c r="E36" s="120"/>
    </row>
    <row r="37" spans="1:5" x14ac:dyDescent="0.2">
      <c r="A37" s="126">
        <f>inputPrYr!B23</f>
        <v>0</v>
      </c>
      <c r="B37" s="71"/>
      <c r="C37" s="120"/>
      <c r="D37" s="120"/>
      <c r="E37" s="120"/>
    </row>
    <row r="38" spans="1:5" x14ac:dyDescent="0.2">
      <c r="A38" s="126">
        <f>inputPrYr!B24</f>
        <v>0</v>
      </c>
      <c r="B38" s="71"/>
      <c r="C38" s="120"/>
      <c r="D38" s="120"/>
      <c r="E38" s="120"/>
    </row>
    <row r="39" spans="1:5" x14ac:dyDescent="0.2">
      <c r="A39" s="126">
        <f>inputPrYr!B38</f>
        <v>0</v>
      </c>
      <c r="B39" s="71"/>
      <c r="C39" s="120"/>
      <c r="D39" s="120"/>
      <c r="E39" s="120"/>
    </row>
    <row r="40" spans="1:5" x14ac:dyDescent="0.2">
      <c r="A40" s="126">
        <f>inputPrYr!B39</f>
        <v>0</v>
      </c>
      <c r="B40" s="71"/>
      <c r="C40" s="120"/>
      <c r="D40" s="120"/>
      <c r="E40" s="120"/>
    </row>
    <row r="41" spans="1:5" x14ac:dyDescent="0.2">
      <c r="A41" s="126">
        <f>inputPrYr!B40</f>
        <v>0</v>
      </c>
      <c r="B41" s="71"/>
      <c r="C41" s="120"/>
      <c r="D41" s="120"/>
      <c r="E41" s="120"/>
    </row>
    <row r="42" spans="1:5" x14ac:dyDescent="0.2">
      <c r="A42" s="126" t="str">
        <f>inputPrYr!B43</f>
        <v>Special Drug and Alcohol</v>
      </c>
      <c r="B42" s="71">
        <v>11000</v>
      </c>
      <c r="C42" s="120"/>
      <c r="D42" s="120"/>
      <c r="E42" s="120"/>
    </row>
    <row r="43" spans="1:5" x14ac:dyDescent="0.2">
      <c r="A43" s="126" t="str">
        <f>inputPrYr!B44</f>
        <v>Special Parks and Recreation</v>
      </c>
      <c r="B43" s="71">
        <v>7000</v>
      </c>
      <c r="C43" s="120"/>
      <c r="D43" s="120"/>
      <c r="E43" s="120"/>
    </row>
    <row r="44" spans="1:5" x14ac:dyDescent="0.2">
      <c r="A44" s="126" t="str">
        <f>inputPrYr!B45</f>
        <v>Noxious Weed Capital Outlay</v>
      </c>
      <c r="B44" s="71">
        <v>19139</v>
      </c>
      <c r="C44" s="120"/>
      <c r="D44" s="120"/>
      <c r="E44" s="120"/>
    </row>
    <row r="45" spans="1:5" x14ac:dyDescent="0.2">
      <c r="A45" s="126" t="str">
        <f>inputPrYr!B46</f>
        <v>911 Emergency Telephone Tax</v>
      </c>
      <c r="B45" s="71">
        <v>55000</v>
      </c>
      <c r="C45" s="120"/>
      <c r="D45" s="120"/>
      <c r="E45" s="120"/>
    </row>
    <row r="46" spans="1:5" x14ac:dyDescent="0.2">
      <c r="A46" s="126" t="str">
        <f>inputPrYr!B47</f>
        <v>911 Wireless Phone Tax</v>
      </c>
      <c r="B46" s="71">
        <v>13000</v>
      </c>
      <c r="C46" s="120"/>
      <c r="D46" s="120"/>
      <c r="E46" s="120"/>
    </row>
    <row r="47" spans="1:5" x14ac:dyDescent="0.2">
      <c r="A47" s="126" t="str">
        <f>inputPrYr!B48</f>
        <v>Edwards Co 911</v>
      </c>
      <c r="B47" s="71">
        <v>0</v>
      </c>
      <c r="C47" s="120"/>
      <c r="D47" s="120"/>
      <c r="E47" s="120"/>
    </row>
    <row r="48" spans="1:5" x14ac:dyDescent="0.2">
      <c r="A48" s="126">
        <f>inputPrYr!B49</f>
        <v>0</v>
      </c>
      <c r="B48" s="71"/>
      <c r="C48" s="120"/>
      <c r="D48" s="120"/>
      <c r="E48" s="120"/>
    </row>
    <row r="49" spans="1:5" x14ac:dyDescent="0.2">
      <c r="A49" s="126">
        <f>inputPrYr!B50</f>
        <v>0</v>
      </c>
      <c r="B49" s="71"/>
      <c r="C49" s="120"/>
      <c r="D49" s="120"/>
      <c r="E49" s="120"/>
    </row>
    <row r="50" spans="1:5" x14ac:dyDescent="0.2">
      <c r="A50" s="126">
        <f>inputPrYr!B51</f>
        <v>0</v>
      </c>
      <c r="B50" s="71"/>
      <c r="C50" s="120"/>
      <c r="D50" s="120"/>
      <c r="E50" s="120"/>
    </row>
    <row r="51" spans="1:5" x14ac:dyDescent="0.2">
      <c r="A51" s="126">
        <f>inputPrYr!B57</f>
        <v>0</v>
      </c>
      <c r="B51" s="71"/>
      <c r="C51" s="120"/>
      <c r="D51" s="120"/>
      <c r="E51" s="120"/>
    </row>
    <row r="52" spans="1:5" x14ac:dyDescent="0.2">
      <c r="A52" s="126">
        <f>inputPrYr!B58</f>
        <v>0</v>
      </c>
      <c r="B52" s="71"/>
      <c r="C52" s="120"/>
      <c r="D52" s="120"/>
      <c r="E52" s="120"/>
    </row>
  </sheetData>
  <mergeCells count="4">
    <mergeCell ref="A3:E3"/>
    <mergeCell ref="A26:B26"/>
    <mergeCell ref="B27:B29"/>
    <mergeCell ref="C27:E27"/>
  </mergeCells>
  <phoneticPr fontId="8" type="noConversion"/>
  <pageMargins left="0.75" right="0.75" top="1" bottom="1" header="0.5" footer="0.5"/>
  <pageSetup scale="80" orientation="portrait" r:id="rId1"/>
  <headerFooter alignWithMargins="0"/>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topLeftCell="A7" zoomScaleNormal="100" workbookViewId="0">
      <selection activeCell="G11" sqref="G11"/>
    </sheetView>
  </sheetViews>
  <sheetFormatPr defaultRowHeight="15.75" x14ac:dyDescent="0.2"/>
  <cols>
    <col min="1" max="1" width="11.5546875" style="48" customWidth="1"/>
    <col min="2" max="2" width="7.44140625" style="48" customWidth="1"/>
    <col min="3" max="3" width="11.5546875" style="48" customWidth="1"/>
    <col min="4" max="4" width="7.44140625" style="48" customWidth="1"/>
    <col min="5" max="5" width="11.5546875" style="48" customWidth="1"/>
    <col min="6" max="6" width="7.44140625" style="48" customWidth="1"/>
    <col min="7" max="7" width="11.5546875" style="48" customWidth="1"/>
    <col min="8" max="8" width="7.44140625" style="48" customWidth="1"/>
    <col min="9" max="9" width="11.5546875" style="48" customWidth="1"/>
    <col min="10" max="16384" width="8.88671875" style="48"/>
  </cols>
  <sheetData>
    <row r="1" spans="1:11" x14ac:dyDescent="0.2">
      <c r="A1" s="110" t="str">
        <f>inputPrYr!$C$2</f>
        <v>Edwards County</v>
      </c>
      <c r="B1" s="301"/>
      <c r="C1" s="91"/>
      <c r="D1" s="91"/>
      <c r="E1" s="91"/>
      <c r="F1" s="302" t="s">
        <v>8</v>
      </c>
      <c r="G1" s="91"/>
      <c r="H1" s="91"/>
      <c r="I1" s="91"/>
      <c r="J1" s="91"/>
      <c r="K1" s="91">
        <f>inputPrYr!$C$4</f>
        <v>2014</v>
      </c>
    </row>
    <row r="2" spans="1:11" x14ac:dyDescent="0.2">
      <c r="A2" s="91"/>
      <c r="B2" s="91"/>
      <c r="C2" s="91"/>
      <c r="D2" s="91"/>
      <c r="E2" s="91"/>
      <c r="F2" s="303" t="str">
        <f>CONCATENATE("(Only the actual budget year for ",K1-2," is to be shown)")</f>
        <v>(Only the actual budget year for 2012 is to be shown)</v>
      </c>
      <c r="G2" s="91"/>
      <c r="H2" s="91"/>
      <c r="I2" s="91"/>
      <c r="J2" s="91"/>
      <c r="K2" s="91"/>
    </row>
    <row r="3" spans="1:11" x14ac:dyDescent="0.2">
      <c r="A3" s="91" t="s">
        <v>9</v>
      </c>
      <c r="B3" s="91"/>
      <c r="C3" s="91"/>
      <c r="D3" s="91"/>
      <c r="E3" s="91"/>
      <c r="F3" s="301"/>
      <c r="G3" s="91"/>
      <c r="H3" s="91"/>
      <c r="I3" s="91"/>
      <c r="J3" s="91"/>
      <c r="K3" s="91"/>
    </row>
    <row r="4" spans="1:11" x14ac:dyDescent="0.2">
      <c r="A4" s="91" t="s">
        <v>10</v>
      </c>
      <c r="B4" s="91"/>
      <c r="C4" s="91" t="s">
        <v>11</v>
      </c>
      <c r="D4" s="91"/>
      <c r="E4" s="91" t="s">
        <v>12</v>
      </c>
      <c r="F4" s="301"/>
      <c r="G4" s="91" t="s">
        <v>13</v>
      </c>
      <c r="H4" s="91"/>
      <c r="I4" s="91" t="s">
        <v>14</v>
      </c>
      <c r="J4" s="91"/>
      <c r="K4" s="91"/>
    </row>
    <row r="5" spans="1:11" s="509" customFormat="1" ht="31.5" customHeight="1" x14ac:dyDescent="0.2">
      <c r="A5" s="590" t="str">
        <f>IF(inputPrYr!B62&gt;" ",(inputPrYr!B62)," ")</f>
        <v>Economic Development</v>
      </c>
      <c r="B5" s="591"/>
      <c r="C5" s="590" t="str">
        <f>IF(inputPrYr!B63&gt;" ",(inputPrYr!B63)," ")</f>
        <v>Special Law Enforcement Trust</v>
      </c>
      <c r="D5" s="591"/>
      <c r="E5" s="590" t="str">
        <f>IF(inputPrYr!B64&gt;" ",(inputPrYr!B64)," ")</f>
        <v>Micro-Loan</v>
      </c>
      <c r="F5" s="591"/>
      <c r="G5" s="590" t="str">
        <f>IF(inputPrYr!B65&gt;" ",(inputPrYr!B65)," ")</f>
        <v>Special Highway Improvement</v>
      </c>
      <c r="H5" s="591"/>
      <c r="I5" s="590" t="str">
        <f>IF(inputPrYr!B66&gt;" ",(inputPrYr!B66)," ")</f>
        <v>Special Machinery</v>
      </c>
      <c r="J5" s="591"/>
      <c r="K5" s="508"/>
    </row>
    <row r="6" spans="1:11" x14ac:dyDescent="0.2">
      <c r="A6" s="305" t="s">
        <v>15</v>
      </c>
      <c r="B6" s="306"/>
      <c r="C6" s="307" t="s">
        <v>15</v>
      </c>
      <c r="D6" s="308"/>
      <c r="E6" s="307" t="s">
        <v>15</v>
      </c>
      <c r="F6" s="304"/>
      <c r="G6" s="307" t="s">
        <v>15</v>
      </c>
      <c r="H6" s="309"/>
      <c r="I6" s="307" t="s">
        <v>15</v>
      </c>
      <c r="J6" s="91"/>
      <c r="K6" s="310" t="s">
        <v>47</v>
      </c>
    </row>
    <row r="7" spans="1:11" x14ac:dyDescent="0.2">
      <c r="A7" s="311" t="s">
        <v>40</v>
      </c>
      <c r="B7" s="510">
        <v>-1605</v>
      </c>
      <c r="C7" s="312" t="s">
        <v>40</v>
      </c>
      <c r="D7" s="510">
        <v>5486</v>
      </c>
      <c r="E7" s="312" t="s">
        <v>40</v>
      </c>
      <c r="F7" s="510">
        <v>28695</v>
      </c>
      <c r="G7" s="312" t="s">
        <v>40</v>
      </c>
      <c r="H7" s="510">
        <v>50179</v>
      </c>
      <c r="I7" s="312" t="s">
        <v>40</v>
      </c>
      <c r="J7" s="510">
        <v>160669</v>
      </c>
      <c r="K7" s="513">
        <f>SUM(B7+D7+F7+H7+J7)</f>
        <v>243424</v>
      </c>
    </row>
    <row r="8" spans="1:11" x14ac:dyDescent="0.2">
      <c r="A8" s="313" t="s">
        <v>199</v>
      </c>
      <c r="B8" s="511"/>
      <c r="C8" s="313" t="s">
        <v>199</v>
      </c>
      <c r="D8" s="511"/>
      <c r="E8" s="313" t="s">
        <v>199</v>
      </c>
      <c r="F8" s="514"/>
      <c r="G8" s="313" t="s">
        <v>199</v>
      </c>
      <c r="H8" s="514"/>
      <c r="I8" s="313" t="s">
        <v>199</v>
      </c>
      <c r="J8" s="514"/>
      <c r="K8" s="514"/>
    </row>
    <row r="9" spans="1:11" x14ac:dyDescent="0.2">
      <c r="A9" s="314" t="s">
        <v>428</v>
      </c>
      <c r="B9" s="510"/>
      <c r="C9" s="314" t="s">
        <v>428</v>
      </c>
      <c r="D9" s="510">
        <v>9556</v>
      </c>
      <c r="E9" s="314" t="s">
        <v>428</v>
      </c>
      <c r="F9" s="510"/>
      <c r="G9" s="314" t="s">
        <v>460</v>
      </c>
      <c r="H9" s="510">
        <v>70807</v>
      </c>
      <c r="I9" s="314" t="s">
        <v>428</v>
      </c>
      <c r="J9" s="510"/>
      <c r="K9" s="514"/>
    </row>
    <row r="10" spans="1:11" x14ac:dyDescent="0.2">
      <c r="A10" s="314" t="s">
        <v>429</v>
      </c>
      <c r="B10" s="510"/>
      <c r="C10" s="314" t="s">
        <v>429</v>
      </c>
      <c r="D10" s="510"/>
      <c r="E10" s="314" t="s">
        <v>429</v>
      </c>
      <c r="F10" s="510"/>
      <c r="G10" s="314" t="s">
        <v>429</v>
      </c>
      <c r="H10" s="510"/>
      <c r="I10" s="314" t="s">
        <v>429</v>
      </c>
      <c r="J10" s="510"/>
      <c r="K10" s="514"/>
    </row>
    <row r="11" spans="1:11" x14ac:dyDescent="0.2">
      <c r="A11" s="314" t="s">
        <v>430</v>
      </c>
      <c r="B11" s="510"/>
      <c r="C11" s="314" t="s">
        <v>430</v>
      </c>
      <c r="D11" s="510"/>
      <c r="E11" s="314" t="s">
        <v>430</v>
      </c>
      <c r="F11" s="510"/>
      <c r="G11" s="314" t="s">
        <v>430</v>
      </c>
      <c r="H11" s="510"/>
      <c r="I11" s="314" t="s">
        <v>430</v>
      </c>
      <c r="J11" s="510"/>
      <c r="K11" s="514"/>
    </row>
    <row r="12" spans="1:11" x14ac:dyDescent="0.2">
      <c r="A12" s="314" t="s">
        <v>139</v>
      </c>
      <c r="B12" s="510"/>
      <c r="C12" s="314" t="s">
        <v>139</v>
      </c>
      <c r="D12" s="510"/>
      <c r="E12" s="314" t="s">
        <v>139</v>
      </c>
      <c r="F12" s="510">
        <v>1633</v>
      </c>
      <c r="G12" s="314" t="s">
        <v>139</v>
      </c>
      <c r="H12" s="510"/>
      <c r="I12" s="314" t="s">
        <v>139</v>
      </c>
      <c r="J12" s="510"/>
      <c r="K12" s="514"/>
    </row>
    <row r="13" spans="1:11" x14ac:dyDescent="0.2">
      <c r="A13" s="316" t="s">
        <v>107</v>
      </c>
      <c r="B13" s="510"/>
      <c r="C13" s="316" t="s">
        <v>107</v>
      </c>
      <c r="D13" s="510"/>
      <c r="E13" s="316" t="s">
        <v>107</v>
      </c>
      <c r="F13" s="510">
        <v>23902</v>
      </c>
      <c r="G13" s="316" t="s">
        <v>107</v>
      </c>
      <c r="H13" s="510"/>
      <c r="I13" s="316" t="s">
        <v>107</v>
      </c>
      <c r="J13" s="510">
        <v>12902</v>
      </c>
      <c r="K13" s="514"/>
    </row>
    <row r="14" spans="1:11" x14ac:dyDescent="0.2">
      <c r="A14" s="314" t="s">
        <v>431</v>
      </c>
      <c r="B14" s="510"/>
      <c r="C14" s="314" t="s">
        <v>431</v>
      </c>
      <c r="D14" s="510"/>
      <c r="E14" s="314" t="s">
        <v>431</v>
      </c>
      <c r="F14" s="510"/>
      <c r="G14" s="314" t="s">
        <v>431</v>
      </c>
      <c r="H14" s="510"/>
      <c r="I14" s="314" t="s">
        <v>431</v>
      </c>
      <c r="J14" s="510"/>
      <c r="K14" s="514"/>
    </row>
    <row r="15" spans="1:11" x14ac:dyDescent="0.2">
      <c r="A15" s="314" t="s">
        <v>437</v>
      </c>
      <c r="B15" s="510">
        <v>40000</v>
      </c>
      <c r="C15" s="315"/>
      <c r="D15" s="510"/>
      <c r="E15" s="315"/>
      <c r="F15" s="510"/>
      <c r="G15" s="315" t="s">
        <v>438</v>
      </c>
      <c r="H15" s="510">
        <v>20000</v>
      </c>
      <c r="I15" s="315" t="s">
        <v>438</v>
      </c>
      <c r="J15" s="510">
        <v>80000</v>
      </c>
      <c r="K15" s="514"/>
    </row>
    <row r="16" spans="1:11" x14ac:dyDescent="0.2">
      <c r="A16" s="314"/>
      <c r="B16" s="510"/>
      <c r="C16" s="314"/>
      <c r="D16" s="510"/>
      <c r="E16" s="314"/>
      <c r="F16" s="510"/>
      <c r="G16" s="315"/>
      <c r="H16" s="510"/>
      <c r="I16" s="314"/>
      <c r="J16" s="510"/>
      <c r="K16" s="514"/>
    </row>
    <row r="17" spans="1:12" x14ac:dyDescent="0.2">
      <c r="A17" s="313" t="s">
        <v>82</v>
      </c>
      <c r="B17" s="512">
        <f>SUM(B9:B16)</f>
        <v>40000</v>
      </c>
      <c r="C17" s="313" t="s">
        <v>82</v>
      </c>
      <c r="D17" s="513">
        <f>SUM(D9:D16)</f>
        <v>9556</v>
      </c>
      <c r="E17" s="313" t="s">
        <v>82</v>
      </c>
      <c r="F17" s="515">
        <f>SUM(F9:F16)</f>
        <v>25535</v>
      </c>
      <c r="G17" s="313" t="s">
        <v>82</v>
      </c>
      <c r="H17" s="513">
        <f>SUM(H9:H16)</f>
        <v>90807</v>
      </c>
      <c r="I17" s="313" t="s">
        <v>82</v>
      </c>
      <c r="J17" s="513">
        <f>SUM(J9:J16)</f>
        <v>92902</v>
      </c>
      <c r="K17" s="513">
        <f>SUM(B17+D17+F17+H17+J17)</f>
        <v>258800</v>
      </c>
    </row>
    <row r="18" spans="1:12" x14ac:dyDescent="0.2">
      <c r="A18" s="313" t="s">
        <v>83</v>
      </c>
      <c r="B18" s="512">
        <f>SUM(B7+B17)</f>
        <v>38395</v>
      </c>
      <c r="C18" s="313" t="s">
        <v>83</v>
      </c>
      <c r="D18" s="513">
        <f>SUM(D7+D17)</f>
        <v>15042</v>
      </c>
      <c r="E18" s="313" t="s">
        <v>83</v>
      </c>
      <c r="F18" s="513">
        <f>SUM(F7+F17)</f>
        <v>54230</v>
      </c>
      <c r="G18" s="313" t="s">
        <v>83</v>
      </c>
      <c r="H18" s="513">
        <f>SUM(H7+H17)</f>
        <v>140986</v>
      </c>
      <c r="I18" s="313" t="s">
        <v>83</v>
      </c>
      <c r="J18" s="513">
        <f>SUM(J7+J17)</f>
        <v>253571</v>
      </c>
      <c r="K18" s="513">
        <f>SUM(B18+D18+F18+H18+J18)</f>
        <v>502224</v>
      </c>
    </row>
    <row r="19" spans="1:12" x14ac:dyDescent="0.2">
      <c r="A19" s="313" t="s">
        <v>86</v>
      </c>
      <c r="B19" s="511"/>
      <c r="C19" s="313" t="s">
        <v>86</v>
      </c>
      <c r="D19" s="511"/>
      <c r="E19" s="313" t="s">
        <v>86</v>
      </c>
      <c r="F19" s="514"/>
      <c r="G19" s="313" t="s">
        <v>86</v>
      </c>
      <c r="H19" s="514"/>
      <c r="I19" s="313" t="s">
        <v>86</v>
      </c>
      <c r="J19" s="514"/>
      <c r="K19" s="514"/>
    </row>
    <row r="20" spans="1:12" x14ac:dyDescent="0.2">
      <c r="A20" s="314" t="s">
        <v>432</v>
      </c>
      <c r="B20" s="510">
        <v>65683</v>
      </c>
      <c r="C20" s="314" t="s">
        <v>432</v>
      </c>
      <c r="D20" s="510"/>
      <c r="E20" s="314" t="s">
        <v>432</v>
      </c>
      <c r="F20" s="510"/>
      <c r="G20" s="314" t="s">
        <v>432</v>
      </c>
      <c r="H20" s="510"/>
      <c r="I20" s="314" t="s">
        <v>432</v>
      </c>
      <c r="J20" s="510"/>
      <c r="K20" s="514"/>
    </row>
    <row r="21" spans="1:12" x14ac:dyDescent="0.2">
      <c r="A21" s="314" t="s">
        <v>426</v>
      </c>
      <c r="B21" s="510"/>
      <c r="C21" s="314" t="s">
        <v>426</v>
      </c>
      <c r="D21" s="510"/>
      <c r="E21" s="314" t="s">
        <v>426</v>
      </c>
      <c r="F21" s="510"/>
      <c r="G21" s="314" t="s">
        <v>426</v>
      </c>
      <c r="H21" s="510">
        <v>70698</v>
      </c>
      <c r="I21" s="314" t="s">
        <v>426</v>
      </c>
      <c r="J21" s="510">
        <v>13036</v>
      </c>
      <c r="K21" s="514"/>
    </row>
    <row r="22" spans="1:12" x14ac:dyDescent="0.2">
      <c r="A22" s="314" t="s">
        <v>387</v>
      </c>
      <c r="B22" s="510"/>
      <c r="C22" s="314" t="s">
        <v>387</v>
      </c>
      <c r="D22" s="510"/>
      <c r="E22" s="314" t="s">
        <v>387</v>
      </c>
      <c r="F22" s="510">
        <v>45671</v>
      </c>
      <c r="G22" s="314" t="s">
        <v>387</v>
      </c>
      <c r="H22" s="510">
        <v>3509</v>
      </c>
      <c r="I22" s="314" t="s">
        <v>387</v>
      </c>
      <c r="J22" s="510"/>
      <c r="K22" s="514"/>
    </row>
    <row r="23" spans="1:12" x14ac:dyDescent="0.2">
      <c r="A23" s="314" t="s">
        <v>427</v>
      </c>
      <c r="B23" s="510"/>
      <c r="C23" s="314" t="s">
        <v>427</v>
      </c>
      <c r="D23" s="510"/>
      <c r="E23" s="314" t="s">
        <v>427</v>
      </c>
      <c r="F23" s="510"/>
      <c r="G23" s="314" t="s">
        <v>427</v>
      </c>
      <c r="H23" s="510"/>
      <c r="I23" s="314" t="s">
        <v>427</v>
      </c>
      <c r="J23" s="510">
        <v>50001</v>
      </c>
      <c r="K23" s="514"/>
    </row>
    <row r="24" spans="1:12" x14ac:dyDescent="0.2">
      <c r="A24" s="314" t="s">
        <v>433</v>
      </c>
      <c r="B24" s="510"/>
      <c r="C24" s="314" t="s">
        <v>433</v>
      </c>
      <c r="D24" s="510"/>
      <c r="E24" s="314" t="s">
        <v>433</v>
      </c>
      <c r="F24" s="510"/>
      <c r="G24" s="314" t="s">
        <v>433</v>
      </c>
      <c r="H24" s="510"/>
      <c r="I24" s="314" t="s">
        <v>433</v>
      </c>
      <c r="J24" s="510"/>
      <c r="K24" s="514"/>
    </row>
    <row r="25" spans="1:12" x14ac:dyDescent="0.2">
      <c r="A25" s="314" t="s">
        <v>459</v>
      </c>
      <c r="B25" s="510">
        <v>-26235</v>
      </c>
      <c r="C25" s="315"/>
      <c r="D25" s="510"/>
      <c r="E25" s="315"/>
      <c r="F25" s="510"/>
      <c r="G25" s="315"/>
      <c r="H25" s="510"/>
      <c r="I25" s="315"/>
      <c r="J25" s="510"/>
      <c r="K25" s="514"/>
    </row>
    <row r="26" spans="1:12" x14ac:dyDescent="0.2">
      <c r="A26" s="314"/>
      <c r="B26" s="510"/>
      <c r="C26" s="315"/>
      <c r="D26" s="510"/>
      <c r="E26" s="315"/>
      <c r="F26" s="510"/>
      <c r="G26" s="315"/>
      <c r="H26" s="510"/>
      <c r="I26" s="315"/>
      <c r="J26" s="510"/>
      <c r="K26" s="514"/>
    </row>
    <row r="27" spans="1:12" x14ac:dyDescent="0.2">
      <c r="A27" s="314"/>
      <c r="B27" s="510"/>
      <c r="C27" s="314"/>
      <c r="D27" s="510"/>
      <c r="E27" s="314"/>
      <c r="F27" s="510"/>
      <c r="G27" s="315"/>
      <c r="H27" s="510"/>
      <c r="I27" s="315"/>
      <c r="J27" s="510"/>
      <c r="K27" s="514"/>
    </row>
    <row r="28" spans="1:12" x14ac:dyDescent="0.2">
      <c r="A28" s="313" t="s">
        <v>87</v>
      </c>
      <c r="B28" s="513">
        <f>SUM(B20:B27)</f>
        <v>39448</v>
      </c>
      <c r="C28" s="313" t="s">
        <v>87</v>
      </c>
      <c r="D28" s="513">
        <f>SUM(D20:D27)</f>
        <v>0</v>
      </c>
      <c r="E28" s="313" t="s">
        <v>87</v>
      </c>
      <c r="F28" s="515">
        <f>SUM(F20:F27)</f>
        <v>45671</v>
      </c>
      <c r="G28" s="313" t="s">
        <v>87</v>
      </c>
      <c r="H28" s="515">
        <f>SUM(H20:H27)</f>
        <v>74207</v>
      </c>
      <c r="I28" s="313" t="s">
        <v>87</v>
      </c>
      <c r="J28" s="513">
        <f>SUM(J20:J27)</f>
        <v>63037</v>
      </c>
      <c r="K28" s="513">
        <f>SUM(B28+D28+F28+H28+J28)</f>
        <v>222363</v>
      </c>
    </row>
    <row r="29" spans="1:12" x14ac:dyDescent="0.2">
      <c r="A29" s="313" t="s">
        <v>16</v>
      </c>
      <c r="B29" s="513">
        <f>B18-B28</f>
        <v>-1053</v>
      </c>
      <c r="C29" s="313" t="s">
        <v>16</v>
      </c>
      <c r="D29" s="513">
        <f>D18-D28</f>
        <v>15042</v>
      </c>
      <c r="E29" s="313" t="s">
        <v>16</v>
      </c>
      <c r="F29" s="513">
        <f>F18-F28</f>
        <v>8559</v>
      </c>
      <c r="G29" s="313" t="s">
        <v>16</v>
      </c>
      <c r="H29" s="513">
        <f>H18-H28</f>
        <v>66779</v>
      </c>
      <c r="I29" s="313" t="s">
        <v>16</v>
      </c>
      <c r="J29" s="513">
        <f>J18-J28</f>
        <v>190534</v>
      </c>
      <c r="K29" s="516">
        <f>SUM(B29+D29+F29+H29+J29)</f>
        <v>279861</v>
      </c>
      <c r="L29" s="48" t="s">
        <v>31</v>
      </c>
    </row>
    <row r="30" spans="1:12" x14ac:dyDescent="0.2">
      <c r="A30" s="313"/>
      <c r="B30" s="343" t="str">
        <f>IF(B29&lt;0,"See Tab B","")</f>
        <v>See Tab B</v>
      </c>
      <c r="C30" s="313"/>
      <c r="D30" s="343" t="str">
        <f>IF(D29&lt;0,"See Tab B","")</f>
        <v/>
      </c>
      <c r="E30" s="313"/>
      <c r="F30" s="343" t="str">
        <f>IF(F29&lt;0,"See Tab B","")</f>
        <v/>
      </c>
      <c r="G30" s="91"/>
      <c r="H30" s="343" t="str">
        <f>IF(H29&lt;0,"See Tab B","")</f>
        <v/>
      </c>
      <c r="I30" s="91"/>
      <c r="J30" s="517" t="str">
        <f>IF(J29&lt;0,"See Tab B","")</f>
        <v/>
      </c>
      <c r="K30" s="516">
        <f>SUM(K7+K17-K28)</f>
        <v>279861</v>
      </c>
      <c r="L30" s="48" t="s">
        <v>31</v>
      </c>
    </row>
    <row r="31" spans="1:12" x14ac:dyDescent="0.2">
      <c r="A31" s="91"/>
      <c r="B31" s="317"/>
      <c r="C31" s="91"/>
      <c r="D31" s="301"/>
      <c r="E31" s="91"/>
      <c r="F31" s="91"/>
      <c r="G31" s="49" t="s">
        <v>32</v>
      </c>
      <c r="H31" s="49"/>
      <c r="I31" s="49"/>
      <c r="J31" s="49"/>
      <c r="K31" s="91"/>
    </row>
    <row r="32" spans="1:12" x14ac:dyDescent="0.2">
      <c r="A32" s="91"/>
      <c r="B32" s="317"/>
      <c r="C32" s="91"/>
      <c r="D32" s="91"/>
      <c r="E32" s="91"/>
      <c r="F32" s="91"/>
      <c r="G32" s="91"/>
      <c r="H32" s="91"/>
      <c r="I32" s="91"/>
      <c r="J32" s="91"/>
      <c r="K32" s="91"/>
    </row>
    <row r="33" spans="1:11" x14ac:dyDescent="0.2">
      <c r="A33" s="91"/>
      <c r="B33" s="317"/>
      <c r="C33" s="91"/>
      <c r="D33" s="91"/>
      <c r="E33" s="278" t="s">
        <v>108</v>
      </c>
      <c r="F33" s="295">
        <v>16</v>
      </c>
      <c r="G33" s="91"/>
      <c r="H33" s="91"/>
      <c r="I33" s="91"/>
      <c r="J33" s="91"/>
      <c r="K33" s="91"/>
    </row>
    <row r="34" spans="1:11" x14ac:dyDescent="0.2">
      <c r="B34" s="318"/>
    </row>
    <row r="35" spans="1:11" x14ac:dyDescent="0.2">
      <c r="B35" s="318"/>
    </row>
    <row r="36" spans="1:11" x14ac:dyDescent="0.2">
      <c r="B36" s="318"/>
    </row>
    <row r="37" spans="1:11" x14ac:dyDescent="0.2">
      <c r="B37" s="318"/>
    </row>
    <row r="38" spans="1:11" x14ac:dyDescent="0.2">
      <c r="B38" s="318"/>
    </row>
    <row r="39" spans="1:11" x14ac:dyDescent="0.2">
      <c r="B39" s="318"/>
    </row>
    <row r="40" spans="1:11" x14ac:dyDescent="0.2">
      <c r="B40" s="318"/>
    </row>
    <row r="41" spans="1:11" x14ac:dyDescent="0.2">
      <c r="B41" s="318"/>
    </row>
  </sheetData>
  <mergeCells count="5">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County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Normal="100" workbookViewId="0"/>
  </sheetViews>
  <sheetFormatPr defaultRowHeight="15.75" x14ac:dyDescent="0.2"/>
  <cols>
    <col min="1" max="1" width="11.5546875" style="48" customWidth="1"/>
    <col min="2" max="2" width="7.44140625" style="48" customWidth="1"/>
    <col min="3" max="3" width="11.5546875" style="48" customWidth="1"/>
    <col min="4" max="4" width="7.44140625" style="48" customWidth="1"/>
    <col min="5" max="5" width="11.5546875" style="48" customWidth="1"/>
    <col min="6" max="6" width="7.44140625" style="48" customWidth="1"/>
    <col min="7" max="7" width="11.5546875" style="48" customWidth="1"/>
    <col min="8" max="8" width="7.44140625" style="48" customWidth="1"/>
    <col min="9" max="9" width="11.5546875" style="48" customWidth="1"/>
    <col min="10" max="16384" width="8.88671875" style="48"/>
  </cols>
  <sheetData>
    <row r="1" spans="1:11" x14ac:dyDescent="0.2">
      <c r="A1" s="110" t="str">
        <f>inputPrYr!$C$2</f>
        <v>Edwards County</v>
      </c>
      <c r="B1" s="301"/>
      <c r="C1" s="91"/>
      <c r="D1" s="91"/>
      <c r="E1" s="91"/>
      <c r="F1" s="302" t="s">
        <v>17</v>
      </c>
      <c r="G1" s="91"/>
      <c r="H1" s="91"/>
      <c r="I1" s="91"/>
      <c r="J1" s="91"/>
      <c r="K1" s="91">
        <f>inputPrYr!$C$4</f>
        <v>2014</v>
      </c>
    </row>
    <row r="2" spans="1:11" x14ac:dyDescent="0.2">
      <c r="A2" s="91"/>
      <c r="B2" s="91"/>
      <c r="C2" s="91"/>
      <c r="D2" s="91"/>
      <c r="E2" s="91"/>
      <c r="F2" s="303" t="str">
        <f>CONCATENATE("(Only the actual budget year for ",K1-2," is to be shown)")</f>
        <v>(Only the actual budget year for 2012 is to be shown)</v>
      </c>
      <c r="G2" s="91"/>
      <c r="H2" s="91"/>
      <c r="I2" s="91"/>
      <c r="J2" s="91"/>
      <c r="K2" s="91"/>
    </row>
    <row r="3" spans="1:11" x14ac:dyDescent="0.2">
      <c r="A3" s="91" t="s">
        <v>18</v>
      </c>
      <c r="B3" s="91"/>
      <c r="C3" s="91"/>
      <c r="D3" s="91"/>
      <c r="E3" s="91"/>
      <c r="F3" s="301"/>
      <c r="G3" s="91"/>
      <c r="H3" s="91"/>
      <c r="I3" s="91"/>
      <c r="J3" s="91"/>
      <c r="K3" s="91"/>
    </row>
    <row r="4" spans="1:11" x14ac:dyDescent="0.2">
      <c r="A4" s="91" t="s">
        <v>10</v>
      </c>
      <c r="B4" s="91"/>
      <c r="C4" s="91" t="s">
        <v>11</v>
      </c>
      <c r="D4" s="91"/>
      <c r="E4" s="91" t="s">
        <v>12</v>
      </c>
      <c r="F4" s="301"/>
      <c r="G4" s="91" t="s">
        <v>13</v>
      </c>
      <c r="H4" s="91"/>
      <c r="I4" s="91" t="s">
        <v>14</v>
      </c>
      <c r="J4" s="91"/>
      <c r="K4" s="91"/>
    </row>
    <row r="5" spans="1:11" s="509" customFormat="1" ht="31.5" customHeight="1" x14ac:dyDescent="0.2">
      <c r="A5" s="590" t="str">
        <f>IF(inputPrYr!B68&gt;" ",(inputPrYr!B68)," ")</f>
        <v>Capital Improvement Reserve</v>
      </c>
      <c r="B5" s="591"/>
      <c r="C5" s="590" t="str">
        <f>IF(inputPrYr!B69&gt;" ",(inputPrYr!B69)," ")</f>
        <v>Equipment Reserve</v>
      </c>
      <c r="D5" s="591"/>
      <c r="E5" s="590" t="str">
        <f>IF(inputPrYr!B70&gt;" ",(inputPrYr!B70)," ")</f>
        <v>Retainage Contracts</v>
      </c>
      <c r="F5" s="591"/>
      <c r="G5" s="590" t="str">
        <f>IF(inputPrYr!B71&gt;" ",(inputPrYr!B71)," ")</f>
        <v>Deeds Technology</v>
      </c>
      <c r="H5" s="591"/>
      <c r="I5" s="590" t="str">
        <f>IF(inputPrYr!B72&gt;" ",(inputPrYr!B72)," ")</f>
        <v>Concealed Carry Handgun</v>
      </c>
      <c r="J5" s="591"/>
      <c r="K5" s="508"/>
    </row>
    <row r="6" spans="1:11" x14ac:dyDescent="0.2">
      <c r="A6" s="305" t="s">
        <v>15</v>
      </c>
      <c r="B6" s="306"/>
      <c r="C6" s="307" t="s">
        <v>15</v>
      </c>
      <c r="D6" s="308"/>
      <c r="E6" s="307" t="s">
        <v>15</v>
      </c>
      <c r="F6" s="304"/>
      <c r="G6" s="307" t="s">
        <v>15</v>
      </c>
      <c r="H6" s="309"/>
      <c r="I6" s="307" t="s">
        <v>15</v>
      </c>
      <c r="J6" s="91"/>
      <c r="K6" s="310" t="s">
        <v>47</v>
      </c>
    </row>
    <row r="7" spans="1:11" x14ac:dyDescent="0.2">
      <c r="A7" s="311" t="s">
        <v>40</v>
      </c>
      <c r="B7" s="510">
        <v>498910</v>
      </c>
      <c r="C7" s="312" t="s">
        <v>40</v>
      </c>
      <c r="D7" s="510">
        <v>507038</v>
      </c>
      <c r="E7" s="312" t="s">
        <v>40</v>
      </c>
      <c r="F7" s="510">
        <v>534</v>
      </c>
      <c r="G7" s="312" t="s">
        <v>40</v>
      </c>
      <c r="H7" s="510">
        <v>26167</v>
      </c>
      <c r="I7" s="312" t="s">
        <v>40</v>
      </c>
      <c r="J7" s="510">
        <v>2542</v>
      </c>
      <c r="K7" s="513">
        <f>SUM(B7+D7+F7+H7+J7)</f>
        <v>1035191</v>
      </c>
    </row>
    <row r="8" spans="1:11" x14ac:dyDescent="0.2">
      <c r="A8" s="313" t="s">
        <v>199</v>
      </c>
      <c r="B8" s="511"/>
      <c r="C8" s="313" t="s">
        <v>199</v>
      </c>
      <c r="D8" s="511"/>
      <c r="E8" s="313" t="s">
        <v>199</v>
      </c>
      <c r="F8" s="514"/>
      <c r="G8" s="313" t="s">
        <v>199</v>
      </c>
      <c r="H8" s="514"/>
      <c r="I8" s="313" t="s">
        <v>199</v>
      </c>
      <c r="J8" s="514"/>
      <c r="K8" s="514"/>
    </row>
    <row r="9" spans="1:11" x14ac:dyDescent="0.2">
      <c r="A9" s="314" t="s">
        <v>428</v>
      </c>
      <c r="B9" s="510"/>
      <c r="C9" s="314" t="s">
        <v>428</v>
      </c>
      <c r="D9" s="510"/>
      <c r="E9" s="314" t="s">
        <v>428</v>
      </c>
      <c r="F9" s="510"/>
      <c r="G9" s="314" t="s">
        <v>428</v>
      </c>
      <c r="H9" s="510"/>
      <c r="I9" s="314" t="s">
        <v>428</v>
      </c>
      <c r="J9" s="510"/>
      <c r="K9" s="514"/>
    </row>
    <row r="10" spans="1:11" x14ac:dyDescent="0.2">
      <c r="A10" s="314" t="s">
        <v>429</v>
      </c>
      <c r="B10" s="510"/>
      <c r="C10" s="314" t="s">
        <v>429</v>
      </c>
      <c r="D10" s="510"/>
      <c r="E10" s="314" t="s">
        <v>429</v>
      </c>
      <c r="F10" s="510"/>
      <c r="G10" s="314" t="s">
        <v>429</v>
      </c>
      <c r="H10" s="510"/>
      <c r="I10" s="314" t="s">
        <v>429</v>
      </c>
      <c r="J10" s="510"/>
      <c r="K10" s="514"/>
    </row>
    <row r="11" spans="1:11" x14ac:dyDescent="0.2">
      <c r="A11" s="314" t="s">
        <v>430</v>
      </c>
      <c r="B11" s="510"/>
      <c r="C11" s="314" t="s">
        <v>430</v>
      </c>
      <c r="D11" s="510"/>
      <c r="E11" s="314" t="s">
        <v>430</v>
      </c>
      <c r="F11" s="510"/>
      <c r="G11" s="314" t="s">
        <v>430</v>
      </c>
      <c r="H11" s="510">
        <v>11194</v>
      </c>
      <c r="I11" s="314" t="s">
        <v>430</v>
      </c>
      <c r="J11" s="510">
        <v>358</v>
      </c>
      <c r="K11" s="514"/>
    </row>
    <row r="12" spans="1:11" x14ac:dyDescent="0.2">
      <c r="A12" s="314" t="s">
        <v>139</v>
      </c>
      <c r="B12" s="510"/>
      <c r="C12" s="314" t="s">
        <v>139</v>
      </c>
      <c r="D12" s="510"/>
      <c r="E12" s="314" t="s">
        <v>139</v>
      </c>
      <c r="F12" s="510">
        <v>1</v>
      </c>
      <c r="G12" s="314" t="s">
        <v>139</v>
      </c>
      <c r="H12" s="510">
        <v>13</v>
      </c>
      <c r="I12" s="314" t="s">
        <v>139</v>
      </c>
      <c r="J12" s="510"/>
      <c r="K12" s="514"/>
    </row>
    <row r="13" spans="1:11" x14ac:dyDescent="0.2">
      <c r="A13" s="316" t="s">
        <v>107</v>
      </c>
      <c r="B13" s="510">
        <v>24396</v>
      </c>
      <c r="C13" s="316" t="s">
        <v>107</v>
      </c>
      <c r="D13" s="510"/>
      <c r="E13" s="316" t="s">
        <v>107</v>
      </c>
      <c r="F13" s="510">
        <v>1452</v>
      </c>
      <c r="G13" s="316" t="s">
        <v>107</v>
      </c>
      <c r="H13" s="510"/>
      <c r="I13" s="316" t="s">
        <v>107</v>
      </c>
      <c r="J13" s="510"/>
      <c r="K13" s="514"/>
    </row>
    <row r="14" spans="1:11" x14ac:dyDescent="0.2">
      <c r="A14" s="314" t="s">
        <v>431</v>
      </c>
      <c r="B14" s="510"/>
      <c r="C14" s="314" t="s">
        <v>431</v>
      </c>
      <c r="D14" s="510"/>
      <c r="E14" s="314" t="s">
        <v>431</v>
      </c>
      <c r="F14" s="510"/>
      <c r="G14" s="314" t="s">
        <v>431</v>
      </c>
      <c r="H14" s="510"/>
      <c r="I14" s="314" t="s">
        <v>431</v>
      </c>
      <c r="J14" s="510"/>
      <c r="K14" s="514"/>
    </row>
    <row r="15" spans="1:11" x14ac:dyDescent="0.2">
      <c r="A15" s="314" t="s">
        <v>437</v>
      </c>
      <c r="B15" s="510">
        <v>61000</v>
      </c>
      <c r="C15" s="315" t="s">
        <v>437</v>
      </c>
      <c r="D15" s="510">
        <v>39000</v>
      </c>
      <c r="E15" s="315"/>
      <c r="F15" s="510"/>
      <c r="G15" s="315"/>
      <c r="H15" s="510"/>
      <c r="I15" s="315"/>
      <c r="J15" s="510"/>
      <c r="K15" s="514"/>
    </row>
    <row r="16" spans="1:11" x14ac:dyDescent="0.2">
      <c r="A16" s="314" t="s">
        <v>439</v>
      </c>
      <c r="B16" s="510">
        <v>10000</v>
      </c>
      <c r="C16" s="314"/>
      <c r="D16" s="510"/>
      <c r="E16" s="314"/>
      <c r="F16" s="510"/>
      <c r="G16" s="315"/>
      <c r="H16" s="510"/>
      <c r="I16" s="314"/>
      <c r="J16" s="510"/>
      <c r="K16" s="514"/>
    </row>
    <row r="17" spans="1:12" x14ac:dyDescent="0.2">
      <c r="A17" s="313" t="s">
        <v>82</v>
      </c>
      <c r="B17" s="513">
        <f>SUM(B9:B16)</f>
        <v>95396</v>
      </c>
      <c r="C17" s="313" t="s">
        <v>82</v>
      </c>
      <c r="D17" s="513">
        <f>SUM(D9:D16)</f>
        <v>39000</v>
      </c>
      <c r="E17" s="313" t="s">
        <v>82</v>
      </c>
      <c r="F17" s="515">
        <f>SUM(F9:F16)</f>
        <v>1453</v>
      </c>
      <c r="G17" s="313" t="s">
        <v>82</v>
      </c>
      <c r="H17" s="513">
        <f>SUM(H9:H16)</f>
        <v>11207</v>
      </c>
      <c r="I17" s="313" t="s">
        <v>82</v>
      </c>
      <c r="J17" s="513">
        <f>SUM(J9:J16)</f>
        <v>358</v>
      </c>
      <c r="K17" s="513">
        <f>SUM(B17+D17+F17+H17+J17)</f>
        <v>147414</v>
      </c>
    </row>
    <row r="18" spans="1:12" x14ac:dyDescent="0.2">
      <c r="A18" s="313" t="s">
        <v>83</v>
      </c>
      <c r="B18" s="513">
        <f>SUM(B7+B17)</f>
        <v>594306</v>
      </c>
      <c r="C18" s="313" t="s">
        <v>83</v>
      </c>
      <c r="D18" s="513">
        <f>SUM(D7+D17)</f>
        <v>546038</v>
      </c>
      <c r="E18" s="313" t="s">
        <v>83</v>
      </c>
      <c r="F18" s="513">
        <f>SUM(F7+F17)</f>
        <v>1987</v>
      </c>
      <c r="G18" s="313" t="s">
        <v>83</v>
      </c>
      <c r="H18" s="513">
        <f>SUM(H7+H17)</f>
        <v>37374</v>
      </c>
      <c r="I18" s="313" t="s">
        <v>83</v>
      </c>
      <c r="J18" s="513">
        <f>SUM(J7+J17)</f>
        <v>2900</v>
      </c>
      <c r="K18" s="513">
        <f>SUM(B18+D18+F18+H18+J18)</f>
        <v>1182605</v>
      </c>
    </row>
    <row r="19" spans="1:12" x14ac:dyDescent="0.2">
      <c r="A19" s="313" t="s">
        <v>86</v>
      </c>
      <c r="B19" s="511"/>
      <c r="C19" s="313" t="s">
        <v>86</v>
      </c>
      <c r="D19" s="511"/>
      <c r="E19" s="313" t="s">
        <v>86</v>
      </c>
      <c r="F19" s="514"/>
      <c r="G19" s="313" t="s">
        <v>86</v>
      </c>
      <c r="H19" s="514"/>
      <c r="I19" s="313" t="s">
        <v>86</v>
      </c>
      <c r="J19" s="514"/>
      <c r="K19" s="514"/>
    </row>
    <row r="20" spans="1:12" x14ac:dyDescent="0.2">
      <c r="A20" s="314" t="s">
        <v>432</v>
      </c>
      <c r="B20" s="510"/>
      <c r="C20" s="314" t="s">
        <v>432</v>
      </c>
      <c r="D20" s="510"/>
      <c r="E20" s="314" t="s">
        <v>432</v>
      </c>
      <c r="F20" s="510"/>
      <c r="G20" s="314" t="s">
        <v>432</v>
      </c>
      <c r="H20" s="510"/>
      <c r="I20" s="314" t="s">
        <v>432</v>
      </c>
      <c r="J20" s="510"/>
      <c r="K20" s="514"/>
    </row>
    <row r="21" spans="1:12" x14ac:dyDescent="0.2">
      <c r="A21" s="314" t="s">
        <v>426</v>
      </c>
      <c r="B21" s="510"/>
      <c r="C21" s="314" t="s">
        <v>426</v>
      </c>
      <c r="D21" s="510"/>
      <c r="E21" s="314" t="s">
        <v>426</v>
      </c>
      <c r="F21" s="510"/>
      <c r="G21" s="314" t="s">
        <v>426</v>
      </c>
      <c r="H21" s="510"/>
      <c r="I21" s="314" t="s">
        <v>426</v>
      </c>
      <c r="J21" s="510"/>
      <c r="K21" s="514"/>
    </row>
    <row r="22" spans="1:12" x14ac:dyDescent="0.2">
      <c r="A22" s="314" t="s">
        <v>387</v>
      </c>
      <c r="B22" s="510"/>
      <c r="C22" s="314" t="s">
        <v>387</v>
      </c>
      <c r="D22" s="510"/>
      <c r="E22" s="314" t="s">
        <v>387</v>
      </c>
      <c r="F22" s="510">
        <v>1379</v>
      </c>
      <c r="G22" s="314" t="s">
        <v>387</v>
      </c>
      <c r="H22" s="510">
        <v>10800</v>
      </c>
      <c r="I22" s="314" t="s">
        <v>387</v>
      </c>
      <c r="J22" s="510"/>
      <c r="K22" s="514"/>
    </row>
    <row r="23" spans="1:12" x14ac:dyDescent="0.2">
      <c r="A23" s="314" t="s">
        <v>427</v>
      </c>
      <c r="B23" s="510">
        <v>38503</v>
      </c>
      <c r="C23" s="314" t="s">
        <v>427</v>
      </c>
      <c r="D23" s="510">
        <v>20068</v>
      </c>
      <c r="E23" s="314" t="s">
        <v>427</v>
      </c>
      <c r="F23" s="510"/>
      <c r="G23" s="314" t="s">
        <v>427</v>
      </c>
      <c r="H23" s="510"/>
      <c r="I23" s="314" t="s">
        <v>427</v>
      </c>
      <c r="J23" s="510"/>
      <c r="K23" s="514"/>
    </row>
    <row r="24" spans="1:12" x14ac:dyDescent="0.2">
      <c r="A24" s="314" t="s">
        <v>433</v>
      </c>
      <c r="B24" s="510"/>
      <c r="C24" s="314" t="s">
        <v>433</v>
      </c>
      <c r="D24" s="510"/>
      <c r="E24" s="314" t="s">
        <v>433</v>
      </c>
      <c r="F24" s="510"/>
      <c r="G24" s="314" t="s">
        <v>433</v>
      </c>
      <c r="H24" s="510"/>
      <c r="I24" s="314" t="s">
        <v>433</v>
      </c>
      <c r="J24" s="510"/>
      <c r="K24" s="514"/>
    </row>
    <row r="25" spans="1:12" x14ac:dyDescent="0.2">
      <c r="A25" s="314"/>
      <c r="B25" s="510"/>
      <c r="C25" s="315"/>
      <c r="D25" s="510"/>
      <c r="E25" s="315"/>
      <c r="F25" s="510"/>
      <c r="G25" s="315"/>
      <c r="H25" s="510"/>
      <c r="I25" s="315"/>
      <c r="J25" s="510"/>
      <c r="K25" s="514"/>
    </row>
    <row r="26" spans="1:12" x14ac:dyDescent="0.2">
      <c r="A26" s="314"/>
      <c r="B26" s="510"/>
      <c r="C26" s="315"/>
      <c r="D26" s="510"/>
      <c r="E26" s="315"/>
      <c r="F26" s="510"/>
      <c r="G26" s="315"/>
      <c r="H26" s="510"/>
      <c r="I26" s="315"/>
      <c r="J26" s="510"/>
      <c r="K26" s="514"/>
    </row>
    <row r="27" spans="1:12" x14ac:dyDescent="0.2">
      <c r="A27" s="314"/>
      <c r="B27" s="510"/>
      <c r="C27" s="314"/>
      <c r="D27" s="510"/>
      <c r="E27" s="314"/>
      <c r="F27" s="510"/>
      <c r="G27" s="315"/>
      <c r="H27" s="510"/>
      <c r="I27" s="315"/>
      <c r="J27" s="510"/>
      <c r="K27" s="514"/>
    </row>
    <row r="28" spans="1:12" x14ac:dyDescent="0.2">
      <c r="A28" s="313" t="s">
        <v>87</v>
      </c>
      <c r="B28" s="513">
        <f>SUM(B20:B27)</f>
        <v>38503</v>
      </c>
      <c r="C28" s="313" t="s">
        <v>87</v>
      </c>
      <c r="D28" s="513">
        <f>SUM(D20:D27)</f>
        <v>20068</v>
      </c>
      <c r="E28" s="313" t="s">
        <v>87</v>
      </c>
      <c r="F28" s="515">
        <f>SUM(F20:F27)</f>
        <v>1379</v>
      </c>
      <c r="G28" s="313" t="s">
        <v>87</v>
      </c>
      <c r="H28" s="515">
        <f>SUM(H20:H27)</f>
        <v>10800</v>
      </c>
      <c r="I28" s="313" t="s">
        <v>87</v>
      </c>
      <c r="J28" s="513">
        <f>SUM(J20:J27)</f>
        <v>0</v>
      </c>
      <c r="K28" s="513">
        <f>SUM(B28+D28+F28+H28+J28)</f>
        <v>70750</v>
      </c>
    </row>
    <row r="29" spans="1:12" x14ac:dyDescent="0.2">
      <c r="A29" s="313" t="s">
        <v>16</v>
      </c>
      <c r="B29" s="513">
        <f>B18-B28</f>
        <v>555803</v>
      </c>
      <c r="C29" s="313" t="s">
        <v>16</v>
      </c>
      <c r="D29" s="513">
        <f>D18-D28</f>
        <v>525970</v>
      </c>
      <c r="E29" s="313" t="s">
        <v>16</v>
      </c>
      <c r="F29" s="513">
        <f>F18-F28</f>
        <v>608</v>
      </c>
      <c r="G29" s="313" t="s">
        <v>16</v>
      </c>
      <c r="H29" s="513">
        <f>H18-H28</f>
        <v>26574</v>
      </c>
      <c r="I29" s="313" t="s">
        <v>16</v>
      </c>
      <c r="J29" s="513">
        <f>J18-J28</f>
        <v>2900</v>
      </c>
      <c r="K29" s="516">
        <f>SUM(B29+D29+F29+H29+J29)</f>
        <v>1111855</v>
      </c>
      <c r="L29" s="48" t="s">
        <v>31</v>
      </c>
    </row>
    <row r="30" spans="1:12" x14ac:dyDescent="0.2">
      <c r="A30" s="313"/>
      <c r="B30" s="343" t="str">
        <f>IF(B29&lt;0,"See Tab B","")</f>
        <v/>
      </c>
      <c r="C30" s="313"/>
      <c r="D30" s="343" t="str">
        <f>IF(D29&lt;0,"See Tab B","")</f>
        <v/>
      </c>
      <c r="E30" s="313"/>
      <c r="F30" s="343" t="str">
        <f>IF(F29&lt;0,"See Tab B","")</f>
        <v/>
      </c>
      <c r="G30" s="91"/>
      <c r="H30" s="343" t="str">
        <f>IF(H29&lt;0,"See Tab B","")</f>
        <v/>
      </c>
      <c r="I30" s="91"/>
      <c r="J30" s="517" t="str">
        <f>IF(J29&lt;0,"See Tab B","")</f>
        <v/>
      </c>
      <c r="K30" s="516">
        <f>SUM(K7+K17-K28)</f>
        <v>1111855</v>
      </c>
      <c r="L30" s="48" t="s">
        <v>31</v>
      </c>
    </row>
    <row r="31" spans="1:12" x14ac:dyDescent="0.2">
      <c r="A31" s="91"/>
      <c r="B31" s="317"/>
      <c r="C31" s="91"/>
      <c r="D31" s="301"/>
      <c r="E31" s="91"/>
      <c r="F31" s="91"/>
      <c r="G31" s="49" t="s">
        <v>32</v>
      </c>
      <c r="H31" s="49"/>
      <c r="I31" s="49"/>
      <c r="J31" s="49"/>
      <c r="K31" s="91"/>
    </row>
    <row r="32" spans="1:12" x14ac:dyDescent="0.2">
      <c r="A32" s="91"/>
      <c r="B32" s="317"/>
      <c r="C32" s="91"/>
      <c r="D32" s="91"/>
      <c r="E32" s="91"/>
      <c r="F32" s="91"/>
      <c r="G32" s="91"/>
      <c r="H32" s="91"/>
      <c r="I32" s="91"/>
      <c r="J32" s="91"/>
      <c r="K32" s="91"/>
    </row>
    <row r="33" spans="1:11" x14ac:dyDescent="0.2">
      <c r="A33" s="91"/>
      <c r="B33" s="317"/>
      <c r="C33" s="91"/>
      <c r="D33" s="91"/>
      <c r="E33" s="278" t="s">
        <v>108</v>
      </c>
      <c r="F33" s="295">
        <v>17</v>
      </c>
      <c r="G33" s="91"/>
      <c r="H33" s="91"/>
      <c r="I33" s="91"/>
      <c r="J33" s="91"/>
      <c r="K33" s="91"/>
    </row>
    <row r="34" spans="1:11" x14ac:dyDescent="0.2">
      <c r="B34" s="318"/>
    </row>
    <row r="35" spans="1:11" x14ac:dyDescent="0.2">
      <c r="B35" s="318"/>
    </row>
    <row r="36" spans="1:11" x14ac:dyDescent="0.2">
      <c r="B36" s="318"/>
    </row>
    <row r="37" spans="1:11" x14ac:dyDescent="0.2">
      <c r="B37" s="318"/>
    </row>
    <row r="38" spans="1:11" x14ac:dyDescent="0.2">
      <c r="B38" s="318"/>
    </row>
    <row r="39" spans="1:11" x14ac:dyDescent="0.2">
      <c r="B39" s="318"/>
    </row>
    <row r="40" spans="1:11" x14ac:dyDescent="0.2">
      <c r="B40" s="318"/>
    </row>
    <row r="41" spans="1:11" x14ac:dyDescent="0.2">
      <c r="B41" s="318"/>
    </row>
  </sheetData>
  <mergeCells count="5">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County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Normal="100" workbookViewId="0">
      <selection activeCell="J23" sqref="J23"/>
    </sheetView>
  </sheetViews>
  <sheetFormatPr defaultRowHeight="15.75" x14ac:dyDescent="0.2"/>
  <cols>
    <col min="1" max="1" width="11.5546875" style="48" customWidth="1"/>
    <col min="2" max="2" width="7.44140625" style="48" customWidth="1"/>
    <col min="3" max="3" width="11.5546875" style="48" customWidth="1"/>
    <col min="4" max="4" width="7.44140625" style="48" customWidth="1"/>
    <col min="5" max="5" width="11.5546875" style="48" customWidth="1"/>
    <col min="6" max="6" width="7.44140625" style="48" customWidth="1"/>
    <col min="7" max="7" width="11.5546875" style="48" customWidth="1"/>
    <col min="8" max="8" width="7.44140625" style="48" customWidth="1"/>
    <col min="9" max="9" width="11.5546875" style="48" customWidth="1"/>
    <col min="10" max="16384" width="8.88671875" style="48"/>
  </cols>
  <sheetData>
    <row r="1" spans="1:11" x14ac:dyDescent="0.2">
      <c r="A1" s="110" t="str">
        <f>inputPrYr!$C$2</f>
        <v>Edwards County</v>
      </c>
      <c r="B1" s="301"/>
      <c r="C1" s="91"/>
      <c r="D1" s="91"/>
      <c r="E1" s="91"/>
      <c r="F1" s="302" t="s">
        <v>19</v>
      </c>
      <c r="G1" s="91"/>
      <c r="H1" s="91"/>
      <c r="I1" s="91"/>
      <c r="J1" s="91"/>
      <c r="K1" s="91">
        <f>inputPrYr!$C$4</f>
        <v>2014</v>
      </c>
    </row>
    <row r="2" spans="1:11" x14ac:dyDescent="0.2">
      <c r="A2" s="91"/>
      <c r="B2" s="91"/>
      <c r="C2" s="91"/>
      <c r="D2" s="91"/>
      <c r="E2" s="91"/>
      <c r="F2" s="303" t="str">
        <f>CONCATENATE("(Only the actual budget year for ",K1-2," is to be shown)")</f>
        <v>(Only the actual budget year for 2012 is to be shown)</v>
      </c>
      <c r="G2" s="91"/>
      <c r="H2" s="91"/>
      <c r="I2" s="91"/>
      <c r="J2" s="91"/>
      <c r="K2" s="91"/>
    </row>
    <row r="3" spans="1:11" x14ac:dyDescent="0.2">
      <c r="A3" s="91" t="s">
        <v>20</v>
      </c>
      <c r="B3" s="91"/>
      <c r="C3" s="91"/>
      <c r="D3" s="91"/>
      <c r="E3" s="91"/>
      <c r="F3" s="301"/>
      <c r="G3" s="91"/>
      <c r="H3" s="91"/>
      <c r="I3" s="91"/>
      <c r="J3" s="91"/>
      <c r="K3" s="91"/>
    </row>
    <row r="4" spans="1:11" x14ac:dyDescent="0.2">
      <c r="A4" s="91" t="s">
        <v>10</v>
      </c>
      <c r="B4" s="91"/>
      <c r="C4" s="91" t="s">
        <v>11</v>
      </c>
      <c r="D4" s="91"/>
      <c r="E4" s="91" t="s">
        <v>12</v>
      </c>
      <c r="F4" s="301"/>
      <c r="G4" s="91" t="s">
        <v>13</v>
      </c>
      <c r="H4" s="91"/>
      <c r="I4" s="91" t="s">
        <v>14</v>
      </c>
      <c r="J4" s="91"/>
      <c r="K4" s="91"/>
    </row>
    <row r="5" spans="1:11" s="509" customFormat="1" ht="31.5" customHeight="1" x14ac:dyDescent="0.2">
      <c r="A5" s="590" t="str">
        <f>IF(inputPrYr!B74&gt;" ",(inputPrYr!B74)," ")</f>
        <v>Bioterrorism Grant</v>
      </c>
      <c r="B5" s="591"/>
      <c r="C5" s="590" t="str">
        <f>IF(inputPrYr!B75&gt;" ",(inputPrYr!B75)," ")</f>
        <v>Emergency Preparedness</v>
      </c>
      <c r="D5" s="591"/>
      <c r="E5" s="590" t="str">
        <f>IF(inputPrYr!B76&gt;" ",(inputPrYr!B76)," ")</f>
        <v>Special Motor Vehicle</v>
      </c>
      <c r="F5" s="591"/>
      <c r="G5" s="590" t="str">
        <f>IF(inputPrYr!B77&gt;" ",(inputPrYr!B77)," ")</f>
        <v>Offender Registration</v>
      </c>
      <c r="H5" s="591"/>
      <c r="I5" s="590" t="str">
        <f>IF(inputPrYr!B78&gt;" ",(inputPrYr!B78)," ")</f>
        <v>Prosecutor Training</v>
      </c>
      <c r="J5" s="591"/>
      <c r="K5" s="508"/>
    </row>
    <row r="6" spans="1:11" x14ac:dyDescent="0.2">
      <c r="A6" s="305" t="s">
        <v>15</v>
      </c>
      <c r="B6" s="306"/>
      <c r="C6" s="307" t="s">
        <v>15</v>
      </c>
      <c r="D6" s="308"/>
      <c r="E6" s="307" t="s">
        <v>15</v>
      </c>
      <c r="F6" s="304"/>
      <c r="G6" s="307" t="s">
        <v>15</v>
      </c>
      <c r="H6" s="309"/>
      <c r="I6" s="307" t="s">
        <v>15</v>
      </c>
      <c r="J6" s="91"/>
      <c r="K6" s="310" t="s">
        <v>47</v>
      </c>
    </row>
    <row r="7" spans="1:11" x14ac:dyDescent="0.2">
      <c r="A7" s="311" t="s">
        <v>40</v>
      </c>
      <c r="B7" s="510">
        <v>8418</v>
      </c>
      <c r="C7" s="312" t="s">
        <v>40</v>
      </c>
      <c r="D7" s="510">
        <v>23672</v>
      </c>
      <c r="E7" s="312" t="s">
        <v>40</v>
      </c>
      <c r="F7" s="510">
        <v>13030</v>
      </c>
      <c r="G7" s="312" t="s">
        <v>40</v>
      </c>
      <c r="H7" s="510">
        <v>2180</v>
      </c>
      <c r="I7" s="312" t="s">
        <v>40</v>
      </c>
      <c r="J7" s="510">
        <v>922</v>
      </c>
      <c r="K7" s="513">
        <f>SUM(B7+D7+F7+H7+J7)</f>
        <v>48222</v>
      </c>
    </row>
    <row r="8" spans="1:11" x14ac:dyDescent="0.2">
      <c r="A8" s="313" t="s">
        <v>199</v>
      </c>
      <c r="B8" s="511"/>
      <c r="C8" s="313" t="s">
        <v>199</v>
      </c>
      <c r="D8" s="511"/>
      <c r="E8" s="313" t="s">
        <v>199</v>
      </c>
      <c r="F8" s="514"/>
      <c r="G8" s="313" t="s">
        <v>199</v>
      </c>
      <c r="H8" s="514"/>
      <c r="I8" s="313" t="s">
        <v>199</v>
      </c>
      <c r="J8" s="514"/>
      <c r="K8" s="514"/>
    </row>
    <row r="9" spans="1:11" x14ac:dyDescent="0.2">
      <c r="A9" s="314" t="s">
        <v>428</v>
      </c>
      <c r="B9" s="510">
        <v>8444</v>
      </c>
      <c r="C9" s="314" t="s">
        <v>428</v>
      </c>
      <c r="D9" s="510"/>
      <c r="E9" s="314" t="s">
        <v>428</v>
      </c>
      <c r="F9" s="510"/>
      <c r="G9" s="314" t="s">
        <v>428</v>
      </c>
      <c r="H9" s="510"/>
      <c r="I9" s="314" t="s">
        <v>428</v>
      </c>
      <c r="J9" s="510"/>
      <c r="K9" s="514"/>
    </row>
    <row r="10" spans="1:11" x14ac:dyDescent="0.2">
      <c r="A10" s="314" t="s">
        <v>429</v>
      </c>
      <c r="B10" s="510"/>
      <c r="C10" s="314" t="s">
        <v>429</v>
      </c>
      <c r="D10" s="510"/>
      <c r="E10" s="314" t="s">
        <v>429</v>
      </c>
      <c r="F10" s="510"/>
      <c r="G10" s="314" t="s">
        <v>429</v>
      </c>
      <c r="H10" s="510"/>
      <c r="I10" s="314" t="s">
        <v>429</v>
      </c>
      <c r="J10" s="510"/>
      <c r="K10" s="514"/>
    </row>
    <row r="11" spans="1:11" x14ac:dyDescent="0.2">
      <c r="A11" s="314" t="s">
        <v>430</v>
      </c>
      <c r="B11" s="510"/>
      <c r="C11" s="314" t="s">
        <v>430</v>
      </c>
      <c r="D11" s="510"/>
      <c r="E11" s="314" t="s">
        <v>430</v>
      </c>
      <c r="F11" s="510">
        <v>35037</v>
      </c>
      <c r="G11" s="314" t="s">
        <v>430</v>
      </c>
      <c r="H11" s="510">
        <v>1000</v>
      </c>
      <c r="I11" s="314" t="s">
        <v>430</v>
      </c>
      <c r="J11" s="510">
        <v>574</v>
      </c>
      <c r="K11" s="514"/>
    </row>
    <row r="12" spans="1:11" x14ac:dyDescent="0.2">
      <c r="A12" s="314" t="s">
        <v>139</v>
      </c>
      <c r="B12" s="510"/>
      <c r="C12" s="314" t="s">
        <v>139</v>
      </c>
      <c r="D12" s="510"/>
      <c r="E12" s="314" t="s">
        <v>139</v>
      </c>
      <c r="F12" s="510"/>
      <c r="G12" s="314" t="s">
        <v>139</v>
      </c>
      <c r="H12" s="510"/>
      <c r="I12" s="314" t="s">
        <v>139</v>
      </c>
      <c r="J12" s="510"/>
      <c r="K12" s="514"/>
    </row>
    <row r="13" spans="1:11" x14ac:dyDescent="0.2">
      <c r="A13" s="316" t="s">
        <v>107</v>
      </c>
      <c r="B13" s="510"/>
      <c r="C13" s="316" t="s">
        <v>107</v>
      </c>
      <c r="D13" s="510">
        <v>15</v>
      </c>
      <c r="E13" s="316" t="s">
        <v>107</v>
      </c>
      <c r="F13" s="510"/>
      <c r="G13" s="316" t="s">
        <v>107</v>
      </c>
      <c r="H13" s="510"/>
      <c r="I13" s="316" t="s">
        <v>107</v>
      </c>
      <c r="J13" s="510"/>
      <c r="K13" s="514"/>
    </row>
    <row r="14" spans="1:11" x14ac:dyDescent="0.2">
      <c r="A14" s="314" t="s">
        <v>431</v>
      </c>
      <c r="B14" s="510"/>
      <c r="C14" s="314" t="s">
        <v>431</v>
      </c>
      <c r="D14" s="510"/>
      <c r="E14" s="314" t="s">
        <v>431</v>
      </c>
      <c r="F14" s="510"/>
      <c r="G14" s="314" t="s">
        <v>431</v>
      </c>
      <c r="H14" s="510"/>
      <c r="I14" s="314" t="s">
        <v>431</v>
      </c>
      <c r="J14" s="510"/>
      <c r="K14" s="514"/>
    </row>
    <row r="15" spans="1:11" x14ac:dyDescent="0.2">
      <c r="A15" s="314"/>
      <c r="B15" s="510"/>
      <c r="C15" s="315"/>
      <c r="D15" s="510"/>
      <c r="E15" s="315"/>
      <c r="F15" s="510"/>
      <c r="G15" s="315"/>
      <c r="H15" s="510"/>
      <c r="I15" s="315"/>
      <c r="J15" s="510"/>
      <c r="K15" s="514"/>
    </row>
    <row r="16" spans="1:11" x14ac:dyDescent="0.2">
      <c r="A16" s="314"/>
      <c r="B16" s="510"/>
      <c r="C16" s="314"/>
      <c r="D16" s="510"/>
      <c r="E16" s="314"/>
      <c r="F16" s="510"/>
      <c r="G16" s="315"/>
      <c r="H16" s="510"/>
      <c r="I16" s="314"/>
      <c r="J16" s="510"/>
      <c r="K16" s="514"/>
    </row>
    <row r="17" spans="1:12" x14ac:dyDescent="0.2">
      <c r="A17" s="313" t="s">
        <v>82</v>
      </c>
      <c r="B17" s="513">
        <f>SUM(B9:B16)</f>
        <v>8444</v>
      </c>
      <c r="C17" s="313" t="s">
        <v>82</v>
      </c>
      <c r="D17" s="513">
        <f>SUM(D9:D16)</f>
        <v>15</v>
      </c>
      <c r="E17" s="313" t="s">
        <v>82</v>
      </c>
      <c r="F17" s="515">
        <f>SUM(F9:F16)</f>
        <v>35037</v>
      </c>
      <c r="G17" s="313" t="s">
        <v>82</v>
      </c>
      <c r="H17" s="513">
        <f>SUM(H9:H16)</f>
        <v>1000</v>
      </c>
      <c r="I17" s="313" t="s">
        <v>82</v>
      </c>
      <c r="J17" s="513">
        <f>SUM(J9:J16)</f>
        <v>574</v>
      </c>
      <c r="K17" s="513">
        <f>SUM(B17+D17+F17+H17+J17)</f>
        <v>45070</v>
      </c>
    </row>
    <row r="18" spans="1:12" x14ac:dyDescent="0.2">
      <c r="A18" s="313" t="s">
        <v>83</v>
      </c>
      <c r="B18" s="513">
        <f>SUM(B7+B17)</f>
        <v>16862</v>
      </c>
      <c r="C18" s="313" t="s">
        <v>83</v>
      </c>
      <c r="D18" s="513">
        <f>SUM(D7+D17)</f>
        <v>23687</v>
      </c>
      <c r="E18" s="313" t="s">
        <v>83</v>
      </c>
      <c r="F18" s="513">
        <f>SUM(F7+F17)</f>
        <v>48067</v>
      </c>
      <c r="G18" s="313" t="s">
        <v>83</v>
      </c>
      <c r="H18" s="513">
        <f>SUM(H7+H17)</f>
        <v>3180</v>
      </c>
      <c r="I18" s="313" t="s">
        <v>83</v>
      </c>
      <c r="J18" s="513">
        <f>SUM(J7+J17)</f>
        <v>1496</v>
      </c>
      <c r="K18" s="513">
        <f>SUM(B18+D18+F18+H18+J18)</f>
        <v>93292</v>
      </c>
    </row>
    <row r="19" spans="1:12" x14ac:dyDescent="0.2">
      <c r="A19" s="313" t="s">
        <v>86</v>
      </c>
      <c r="B19" s="511"/>
      <c r="C19" s="313" t="s">
        <v>86</v>
      </c>
      <c r="D19" s="511"/>
      <c r="E19" s="313" t="s">
        <v>86</v>
      </c>
      <c r="F19" s="514"/>
      <c r="G19" s="313" t="s">
        <v>86</v>
      </c>
      <c r="H19" s="514"/>
      <c r="I19" s="313" t="s">
        <v>86</v>
      </c>
      <c r="J19" s="514"/>
      <c r="K19" s="514"/>
    </row>
    <row r="20" spans="1:12" x14ac:dyDescent="0.2">
      <c r="A20" s="314" t="s">
        <v>432</v>
      </c>
      <c r="B20" s="510">
        <v>4813</v>
      </c>
      <c r="C20" s="314" t="s">
        <v>432</v>
      </c>
      <c r="D20" s="510"/>
      <c r="E20" s="314" t="s">
        <v>432</v>
      </c>
      <c r="F20" s="510">
        <v>8778</v>
      </c>
      <c r="G20" s="314" t="s">
        <v>432</v>
      </c>
      <c r="H20" s="510"/>
      <c r="I20" s="314" t="s">
        <v>432</v>
      </c>
      <c r="J20" s="510"/>
      <c r="K20" s="514"/>
    </row>
    <row r="21" spans="1:12" x14ac:dyDescent="0.2">
      <c r="A21" s="314" t="s">
        <v>426</v>
      </c>
      <c r="B21" s="510">
        <v>233</v>
      </c>
      <c r="C21" s="314" t="s">
        <v>426</v>
      </c>
      <c r="D21" s="510"/>
      <c r="E21" s="314" t="s">
        <v>426</v>
      </c>
      <c r="F21" s="510">
        <v>6895</v>
      </c>
      <c r="G21" s="314" t="s">
        <v>426</v>
      </c>
      <c r="H21" s="510"/>
      <c r="I21" s="314" t="s">
        <v>426</v>
      </c>
      <c r="J21" s="510"/>
      <c r="K21" s="514"/>
    </row>
    <row r="22" spans="1:12" x14ac:dyDescent="0.2">
      <c r="A22" s="314" t="s">
        <v>387</v>
      </c>
      <c r="B22" s="510">
        <v>2235</v>
      </c>
      <c r="C22" s="314" t="s">
        <v>387</v>
      </c>
      <c r="D22" s="510">
        <v>4037</v>
      </c>
      <c r="E22" s="314" t="s">
        <v>387</v>
      </c>
      <c r="F22" s="510">
        <v>2283</v>
      </c>
      <c r="G22" s="314" t="s">
        <v>387</v>
      </c>
      <c r="H22" s="510"/>
      <c r="I22" s="314" t="s">
        <v>387</v>
      </c>
      <c r="J22" s="510">
        <v>280</v>
      </c>
      <c r="K22" s="514"/>
    </row>
    <row r="23" spans="1:12" x14ac:dyDescent="0.2">
      <c r="A23" s="314" t="s">
        <v>427</v>
      </c>
      <c r="B23" s="510"/>
      <c r="C23" s="314" t="s">
        <v>427</v>
      </c>
      <c r="D23" s="510">
        <v>3812</v>
      </c>
      <c r="E23" s="314" t="s">
        <v>427</v>
      </c>
      <c r="F23" s="510">
        <v>1645</v>
      </c>
      <c r="G23" s="314" t="s">
        <v>427</v>
      </c>
      <c r="H23" s="510"/>
      <c r="I23" s="314" t="s">
        <v>427</v>
      </c>
      <c r="J23" s="510"/>
      <c r="K23" s="514"/>
    </row>
    <row r="24" spans="1:12" x14ac:dyDescent="0.2">
      <c r="A24" s="314" t="s">
        <v>433</v>
      </c>
      <c r="B24" s="510"/>
      <c r="C24" s="314" t="s">
        <v>433</v>
      </c>
      <c r="D24" s="510"/>
      <c r="E24" s="314" t="s">
        <v>433</v>
      </c>
      <c r="F24" s="510"/>
      <c r="G24" s="314" t="s">
        <v>433</v>
      </c>
      <c r="H24" s="510"/>
      <c r="I24" s="314" t="s">
        <v>433</v>
      </c>
      <c r="J24" s="510"/>
      <c r="K24" s="514"/>
    </row>
    <row r="25" spans="1:12" x14ac:dyDescent="0.2">
      <c r="A25" s="314"/>
      <c r="B25" s="510"/>
      <c r="C25" s="315"/>
      <c r="D25" s="510"/>
      <c r="E25" s="315" t="s">
        <v>461</v>
      </c>
      <c r="F25" s="510">
        <v>13030</v>
      </c>
      <c r="G25" s="315"/>
      <c r="H25" s="510"/>
      <c r="I25" s="315"/>
      <c r="J25" s="510"/>
      <c r="K25" s="514"/>
    </row>
    <row r="26" spans="1:12" x14ac:dyDescent="0.2">
      <c r="A26" s="314"/>
      <c r="B26" s="510"/>
      <c r="C26" s="315"/>
      <c r="D26" s="510"/>
      <c r="E26" s="315"/>
      <c r="F26" s="510"/>
      <c r="G26" s="315"/>
      <c r="H26" s="510"/>
      <c r="I26" s="315"/>
      <c r="J26" s="510"/>
      <c r="K26" s="514"/>
    </row>
    <row r="27" spans="1:12" x14ac:dyDescent="0.2">
      <c r="A27" s="314"/>
      <c r="B27" s="510"/>
      <c r="C27" s="314"/>
      <c r="D27" s="510"/>
      <c r="E27" s="314"/>
      <c r="F27" s="510"/>
      <c r="G27" s="315"/>
      <c r="H27" s="510"/>
      <c r="I27" s="315"/>
      <c r="J27" s="510"/>
      <c r="K27" s="514"/>
    </row>
    <row r="28" spans="1:12" x14ac:dyDescent="0.2">
      <c r="A28" s="313" t="s">
        <v>87</v>
      </c>
      <c r="B28" s="513">
        <f>SUM(B20:B27)</f>
        <v>7281</v>
      </c>
      <c r="C28" s="313" t="s">
        <v>87</v>
      </c>
      <c r="D28" s="513">
        <f>SUM(D20:D27)</f>
        <v>7849</v>
      </c>
      <c r="E28" s="313" t="s">
        <v>87</v>
      </c>
      <c r="F28" s="515">
        <f>SUM(F20:F27)</f>
        <v>32631</v>
      </c>
      <c r="G28" s="313" t="s">
        <v>87</v>
      </c>
      <c r="H28" s="515">
        <f>SUM(H20:H27)</f>
        <v>0</v>
      </c>
      <c r="I28" s="313" t="s">
        <v>87</v>
      </c>
      <c r="J28" s="513">
        <f>SUM(J20:J27)</f>
        <v>280</v>
      </c>
      <c r="K28" s="513">
        <f>SUM(B28+D28+F28+H28+J28)</f>
        <v>48041</v>
      </c>
    </row>
    <row r="29" spans="1:12" x14ac:dyDescent="0.2">
      <c r="A29" s="313" t="s">
        <v>16</v>
      </c>
      <c r="B29" s="513">
        <f>B18-B28</f>
        <v>9581</v>
      </c>
      <c r="C29" s="313" t="s">
        <v>16</v>
      </c>
      <c r="D29" s="513">
        <f>D18-D28</f>
        <v>15838</v>
      </c>
      <c r="E29" s="313" t="s">
        <v>16</v>
      </c>
      <c r="F29" s="513">
        <f>F18-F28</f>
        <v>15436</v>
      </c>
      <c r="G29" s="313" t="s">
        <v>16</v>
      </c>
      <c r="H29" s="513">
        <f>H18-H28</f>
        <v>3180</v>
      </c>
      <c r="I29" s="313" t="s">
        <v>16</v>
      </c>
      <c r="J29" s="513">
        <f>J18-J28</f>
        <v>1216</v>
      </c>
      <c r="K29" s="516">
        <f>SUM(B29+D29+F29+H29+J29)</f>
        <v>45251</v>
      </c>
      <c r="L29" s="48" t="s">
        <v>31</v>
      </c>
    </row>
    <row r="30" spans="1:12" x14ac:dyDescent="0.2">
      <c r="A30" s="313"/>
      <c r="B30" s="343" t="str">
        <f>IF(B29&lt;0,"See Tab B","")</f>
        <v/>
      </c>
      <c r="C30" s="313"/>
      <c r="D30" s="343" t="str">
        <f>IF(D29&lt;0,"See Tab B","")</f>
        <v/>
      </c>
      <c r="E30" s="313"/>
      <c r="F30" s="343" t="str">
        <f>IF(F29&lt;0,"See Tab B","")</f>
        <v/>
      </c>
      <c r="G30" s="91"/>
      <c r="H30" s="343" t="str">
        <f>IF(H29&lt;0,"See Tab B","")</f>
        <v/>
      </c>
      <c r="I30" s="91"/>
      <c r="J30" s="517" t="str">
        <f>IF(J29&lt;0,"See Tab B","")</f>
        <v/>
      </c>
      <c r="K30" s="516">
        <f>SUM(K7+K17-K28)</f>
        <v>45251</v>
      </c>
      <c r="L30" s="48" t="s">
        <v>31</v>
      </c>
    </row>
    <row r="31" spans="1:12" x14ac:dyDescent="0.2">
      <c r="A31" s="91"/>
      <c r="B31" s="317"/>
      <c r="C31" s="91"/>
      <c r="D31" s="301"/>
      <c r="E31" s="91"/>
      <c r="F31" s="91"/>
      <c r="G31" s="49" t="s">
        <v>32</v>
      </c>
      <c r="H31" s="49"/>
      <c r="I31" s="49"/>
      <c r="J31" s="49"/>
      <c r="K31" s="91"/>
    </row>
    <row r="32" spans="1:12" x14ac:dyDescent="0.2">
      <c r="A32" s="91"/>
      <c r="B32" s="317"/>
      <c r="C32" s="91"/>
      <c r="D32" s="91"/>
      <c r="E32" s="91"/>
      <c r="F32" s="91"/>
      <c r="G32" s="91"/>
      <c r="H32" s="91"/>
      <c r="I32" s="91"/>
      <c r="J32" s="91"/>
      <c r="K32" s="91"/>
    </row>
    <row r="33" spans="1:11" x14ac:dyDescent="0.2">
      <c r="A33" s="91"/>
      <c r="B33" s="317"/>
      <c r="C33" s="91"/>
      <c r="D33" s="91"/>
      <c r="E33" s="278" t="s">
        <v>108</v>
      </c>
      <c r="F33" s="295">
        <v>18</v>
      </c>
      <c r="G33" s="91"/>
      <c r="H33" s="91"/>
      <c r="I33" s="91"/>
      <c r="J33" s="91"/>
      <c r="K33" s="91"/>
    </row>
    <row r="34" spans="1:11" x14ac:dyDescent="0.2">
      <c r="B34" s="318"/>
    </row>
    <row r="35" spans="1:11" x14ac:dyDescent="0.2">
      <c r="B35" s="318"/>
    </row>
    <row r="36" spans="1:11" x14ac:dyDescent="0.2">
      <c r="B36" s="318"/>
    </row>
    <row r="37" spans="1:11" x14ac:dyDescent="0.2">
      <c r="B37" s="318"/>
    </row>
    <row r="38" spans="1:11" x14ac:dyDescent="0.2">
      <c r="B38" s="318"/>
    </row>
    <row r="39" spans="1:11" x14ac:dyDescent="0.2">
      <c r="B39" s="318"/>
    </row>
    <row r="40" spans="1:11" x14ac:dyDescent="0.2">
      <c r="B40" s="318"/>
    </row>
    <row r="41" spans="1:11" x14ac:dyDescent="0.2">
      <c r="B41" s="318"/>
    </row>
  </sheetData>
  <mergeCells count="5">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County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M54"/>
  <sheetViews>
    <sheetView zoomScale="90" zoomScaleNormal="90" workbookViewId="0">
      <selection activeCell="A6" sqref="A6:H6"/>
    </sheetView>
  </sheetViews>
  <sheetFormatPr defaultRowHeight="15.75" x14ac:dyDescent="0.2"/>
  <cols>
    <col min="1" max="1" width="23.5546875" style="48" customWidth="1"/>
    <col min="2" max="2" width="15.6640625" style="48" customWidth="1"/>
    <col min="3" max="3" width="9.44140625" style="48" customWidth="1"/>
    <col min="4" max="4" width="16.77734375" style="48" customWidth="1"/>
    <col min="5" max="5" width="9.77734375" style="48" customWidth="1"/>
    <col min="6" max="6" width="15.77734375" style="48" customWidth="1"/>
    <col min="7" max="7" width="13.6640625" style="48" customWidth="1"/>
    <col min="8" max="8" width="9.77734375" style="48" customWidth="1"/>
    <col min="9" max="9" width="8.88671875" style="48"/>
    <col min="10" max="10" width="12.44140625" style="48" customWidth="1"/>
    <col min="11" max="11" width="12.33203125" style="48" customWidth="1"/>
    <col min="12" max="12" width="10.5546875" style="48" customWidth="1"/>
    <col min="13" max="13" width="12.109375" style="48" customWidth="1"/>
    <col min="14" max="16384" width="8.88671875" style="48"/>
  </cols>
  <sheetData>
    <row r="1" spans="1:9" x14ac:dyDescent="0.2">
      <c r="A1" s="51"/>
      <c r="B1" s="51"/>
      <c r="C1" s="51"/>
      <c r="D1" s="51"/>
      <c r="E1" s="51"/>
      <c r="F1" s="51"/>
      <c r="G1" s="51"/>
      <c r="H1" s="243">
        <f>inputPrYr!C4</f>
        <v>2014</v>
      </c>
    </row>
    <row r="2" spans="1:9" x14ac:dyDescent="0.2">
      <c r="A2" s="530" t="s">
        <v>150</v>
      </c>
      <c r="B2" s="530"/>
      <c r="C2" s="530"/>
      <c r="D2" s="530"/>
      <c r="E2" s="530"/>
      <c r="F2" s="530"/>
      <c r="G2" s="530"/>
      <c r="H2" s="530"/>
      <c r="I2" s="319"/>
    </row>
    <row r="3" spans="1:9" x14ac:dyDescent="0.2">
      <c r="A3" s="51"/>
      <c r="B3" s="51"/>
      <c r="C3" s="51"/>
      <c r="D3" s="51"/>
      <c r="E3" s="51"/>
      <c r="F3" s="51"/>
      <c r="G3" s="51"/>
      <c r="H3" s="51"/>
    </row>
    <row r="4" spans="1:9" x14ac:dyDescent="0.2">
      <c r="A4" s="577" t="s">
        <v>180</v>
      </c>
      <c r="B4" s="577"/>
      <c r="C4" s="577"/>
      <c r="D4" s="577"/>
      <c r="E4" s="577"/>
      <c r="F4" s="577"/>
      <c r="G4" s="577"/>
      <c r="H4" s="577"/>
    </row>
    <row r="5" spans="1:9" x14ac:dyDescent="0.2">
      <c r="A5" s="598" t="str">
        <f>inputPrYr!C2</f>
        <v>Edwards County</v>
      </c>
      <c r="B5" s="598"/>
      <c r="C5" s="598"/>
      <c r="D5" s="598"/>
      <c r="E5" s="598"/>
      <c r="F5" s="598"/>
      <c r="G5" s="598"/>
      <c r="H5" s="598"/>
    </row>
    <row r="6" spans="1:9" x14ac:dyDescent="0.2">
      <c r="A6" s="592" t="str">
        <f>CONCATENATE("will meet on ",inputBudSum!B5," at ",inputBudSum!B7," at ",inputBudSum!B9," for the purpose of hearing and")</f>
        <v>will meet on July 29, 2013 at 10:00 a.m. at Edwards County Courthouse for the purpose of hearing and</v>
      </c>
      <c r="B6" s="592"/>
      <c r="C6" s="592"/>
      <c r="D6" s="592"/>
      <c r="E6" s="592"/>
      <c r="F6" s="592"/>
      <c r="G6" s="592"/>
      <c r="H6" s="592"/>
    </row>
    <row r="7" spans="1:9" x14ac:dyDescent="0.2">
      <c r="A7" s="577" t="s">
        <v>272</v>
      </c>
      <c r="B7" s="577"/>
      <c r="C7" s="577"/>
      <c r="D7" s="577"/>
      <c r="E7" s="577"/>
      <c r="F7" s="577"/>
      <c r="G7" s="577"/>
      <c r="H7" s="577"/>
    </row>
    <row r="8" spans="1:9" x14ac:dyDescent="0.2">
      <c r="A8" s="592" t="str">
        <f>CONCATENATE("Detailed budget information is available at ",inputBudSum!B12," and will be available at this hearing.")</f>
        <v>Detailed budget information is available at Edwards County Clerk's Office and will be available at this hearing.</v>
      </c>
      <c r="B8" s="592"/>
      <c r="C8" s="592"/>
      <c r="D8" s="592"/>
      <c r="E8" s="592"/>
      <c r="F8" s="592"/>
      <c r="G8" s="592"/>
      <c r="H8" s="592"/>
    </row>
    <row r="9" spans="1:9" x14ac:dyDescent="0.2">
      <c r="A9" s="58" t="s">
        <v>151</v>
      </c>
      <c r="B9" s="59"/>
      <c r="C9" s="59"/>
      <c r="D9" s="176"/>
      <c r="E9" s="59"/>
      <c r="F9" s="59"/>
      <c r="G9" s="59"/>
      <c r="H9" s="59"/>
    </row>
    <row r="10" spans="1:9" x14ac:dyDescent="0.2">
      <c r="A10" s="577" t="str">
        <f>CONCATENATE("Proposed Budget ",H1," Expenditures and Amount of ",H1-1," Ad Valorem Tax establish the maximum limits of the ",H1," budget.")</f>
        <v>Proposed Budget 2014 Expenditures and Amount of 2013 Ad Valorem Tax establish the maximum limits of the 2014 budget.</v>
      </c>
      <c r="B10" s="577"/>
      <c r="C10" s="577"/>
      <c r="D10" s="577"/>
      <c r="E10" s="577"/>
      <c r="F10" s="577"/>
      <c r="G10" s="577"/>
      <c r="H10" s="577"/>
    </row>
    <row r="11" spans="1:9" x14ac:dyDescent="0.2">
      <c r="A11" s="577" t="s">
        <v>204</v>
      </c>
      <c r="B11" s="577"/>
      <c r="C11" s="577"/>
      <c r="D11" s="577"/>
      <c r="E11" s="577"/>
      <c r="F11" s="577"/>
      <c r="G11" s="577"/>
      <c r="H11" s="577"/>
    </row>
    <row r="12" spans="1:9" x14ac:dyDescent="0.2">
      <c r="A12" s="51"/>
      <c r="B12" s="51"/>
      <c r="C12" s="51"/>
      <c r="D12" s="51"/>
      <c r="E12" s="51"/>
      <c r="F12" s="51"/>
      <c r="G12" s="51"/>
      <c r="H12" s="51"/>
      <c r="I12" s="109"/>
    </row>
    <row r="13" spans="1:9" x14ac:dyDescent="0.2">
      <c r="A13" s="51"/>
      <c r="B13" s="320" t="str">
        <f>CONCATENATE("Prior Year Actual for ",H1-2,"")</f>
        <v>Prior Year Actual for 2012</v>
      </c>
      <c r="C13" s="179"/>
      <c r="D13" s="321" t="str">
        <f>CONCATENATE("Current Year Estimate for ",H1-1,"")</f>
        <v>Current Year Estimate for 2013</v>
      </c>
      <c r="E13" s="179"/>
      <c r="F13" s="177" t="str">
        <f>CONCATENATE("Proposed Budget Year for ",H1,"")</f>
        <v>Proposed Budget Year for 2014</v>
      </c>
      <c r="G13" s="178"/>
      <c r="H13" s="179"/>
    </row>
    <row r="14" spans="1:9" ht="18.75" customHeight="1" x14ac:dyDescent="0.25">
      <c r="A14" s="50"/>
      <c r="B14" s="279"/>
      <c r="C14" s="180" t="s">
        <v>110</v>
      </c>
      <c r="D14" s="180"/>
      <c r="E14" s="180" t="s">
        <v>110</v>
      </c>
      <c r="F14" s="396" t="s">
        <v>282</v>
      </c>
      <c r="G14" s="559" t="str">
        <f>CONCATENATE("Amount of ",H1-1,"       Ad Valorem Tax")</f>
        <v>Amount of 2013       Ad Valorem Tax</v>
      </c>
      <c r="H14" s="180" t="s">
        <v>111</v>
      </c>
    </row>
    <row r="15" spans="1:9" x14ac:dyDescent="0.25">
      <c r="A15" s="79" t="s">
        <v>112</v>
      </c>
      <c r="B15" s="220" t="s">
        <v>56</v>
      </c>
      <c r="C15" s="220" t="s">
        <v>113</v>
      </c>
      <c r="D15" s="220" t="s">
        <v>56</v>
      </c>
      <c r="E15" s="220" t="s">
        <v>113</v>
      </c>
      <c r="F15" s="397" t="s">
        <v>283</v>
      </c>
      <c r="G15" s="537"/>
      <c r="H15" s="220" t="s">
        <v>113</v>
      </c>
    </row>
    <row r="16" spans="1:9" x14ac:dyDescent="0.2">
      <c r="A16" s="93" t="str">
        <f>inputPrYr!B16</f>
        <v>General</v>
      </c>
      <c r="B16" s="93">
        <f>IF(general!$C$110&lt;&gt;0,general!$C$110,"  ")</f>
        <v>1901457</v>
      </c>
      <c r="C16" s="322">
        <f>IF(inputPrYr!D96&lt;&gt;0,inputPrYr!D96,"  ")</f>
        <v>29.611000000000001</v>
      </c>
      <c r="D16" s="93">
        <f>IF(general!$D$110&lt;&gt;0,general!$D$110,"  ")</f>
        <v>1854428</v>
      </c>
      <c r="E16" s="322">
        <f>IF(inputPrYr!F16&lt;&gt;0,inputPrYr!F16,"  ")</f>
        <v>31.303000000000001</v>
      </c>
      <c r="F16" s="93">
        <f>IF(general!$E$110&lt;&gt;0,general!$E$110,"  ")</f>
        <v>2162798</v>
      </c>
      <c r="G16" s="93">
        <f>IF(general!$E$117&lt;&gt;0,general!$E$117,"  ")</f>
        <v>1523874.87</v>
      </c>
      <c r="H16" s="322">
        <f>IF(general!E117&lt;&gt;0,ROUND(G16/$F$38*1000,3),"  ")</f>
        <v>33.621000000000002</v>
      </c>
    </row>
    <row r="17" spans="1:13" x14ac:dyDescent="0.2">
      <c r="A17" s="93" t="str">
        <f>inputPrYr!B18</f>
        <v>Road &amp; Bridge</v>
      </c>
      <c r="B17" s="93">
        <f>IF(road!$C$97&lt;&gt;0,road!$C$97,"  ")</f>
        <v>1122328</v>
      </c>
      <c r="C17" s="322">
        <f>IF(inputPrYr!D98&lt;&gt;0,inputPrYr!D98,"  ")</f>
        <v>18.279</v>
      </c>
      <c r="D17" s="93">
        <f>IF(road!$D$97&lt;&gt;0,road!$D$97,"  ")</f>
        <v>1116117</v>
      </c>
      <c r="E17" s="322">
        <f>IF(inputPrYr!F18&lt;&gt;0,inputPrYr!F18,"  ")</f>
        <v>18.443000000000001</v>
      </c>
      <c r="F17" s="93">
        <f>IF(road!$E$97&lt;&gt;0,road!$E$97,"  ")</f>
        <v>1154640</v>
      </c>
      <c r="G17" s="93">
        <f>IF(road!$E$104&lt;&gt;0,road!$E$104,"  ")</f>
        <v>802183.41</v>
      </c>
      <c r="H17" s="322">
        <f>IF(road!E104&lt;&gt;0,ROUND(G17/$F$38*1000,3),"  ")</f>
        <v>17.699000000000002</v>
      </c>
    </row>
    <row r="18" spans="1:13" x14ac:dyDescent="0.2">
      <c r="A18" s="93" t="str">
        <f>IF((inputPrYr!$B19&gt;" "),(inputPrYr!$B19),"  ")</f>
        <v>Noxious Weed</v>
      </c>
      <c r="B18" s="93">
        <f>IF('NoxWeed  EmpBenefits'!$C$30&lt;&gt;0,'NoxWeed  EmpBenefits'!$C$30,"  ")</f>
        <v>75210</v>
      </c>
      <c r="C18" s="322">
        <f>IF(inputPrYr!D99&lt;&gt;0,inputPrYr!D99,"  ")</f>
        <v>1.512</v>
      </c>
      <c r="D18" s="93">
        <f>IF('NoxWeed  EmpBenefits'!$D$30&lt;&gt;0,'NoxWeed  EmpBenefits'!$D$30,"  ")</f>
        <v>73646</v>
      </c>
      <c r="E18" s="322">
        <f>IF(inputPrYr!F19&lt;&gt;0,inputPrYr!F19,"  ")</f>
        <v>1.5069999999999999</v>
      </c>
      <c r="F18" s="93">
        <f>IF('NoxWeed  EmpBenefits'!$E$30&lt;&gt;0,'NoxWeed  EmpBenefits'!$E$30,"  ")</f>
        <v>88566</v>
      </c>
      <c r="G18" s="93">
        <f>IF('NoxWeed  EmpBenefits'!$E$37&lt;&gt;0,'NoxWeed  EmpBenefits'!$E$37,"  ")</f>
        <v>67992</v>
      </c>
      <c r="H18" s="322">
        <f>IF('NoxWeed  EmpBenefits'!E37&lt;&gt;0,ROUND(G18/$F$38*1000,3),"  ")</f>
        <v>1.5</v>
      </c>
    </row>
    <row r="19" spans="1:13" x14ac:dyDescent="0.2">
      <c r="A19" s="93" t="str">
        <f>IF((inputPrYr!$B20&gt;" "),(inputPrYr!$B20),"  ")</f>
        <v>Employee Benefits</v>
      </c>
      <c r="B19" s="93">
        <f>IF('NoxWeed  EmpBenefits'!$C$68&lt;&gt;0,'NoxWeed  EmpBenefits'!$C$68,"  ")</f>
        <v>871661</v>
      </c>
      <c r="C19" s="322">
        <f>IF(inputPrYr!D100&lt;&gt;0,inputPrYr!D100,"  ")</f>
        <v>18.286999999999999</v>
      </c>
      <c r="D19" s="93">
        <f>IF('NoxWeed  EmpBenefits'!$D$68&lt;&gt;0,'NoxWeed  EmpBenefits'!$D$68,"  ")</f>
        <v>914384</v>
      </c>
      <c r="E19" s="322">
        <f>IF(inputPrYr!F20&lt;&gt;0,inputPrYr!F20,"  ")</f>
        <v>18.484999999999999</v>
      </c>
      <c r="F19" s="93">
        <f>IF('NoxWeed  EmpBenefits'!$E$68&lt;&gt;0,'NoxWeed  EmpBenefits'!$E$68,"  ")</f>
        <v>943557</v>
      </c>
      <c r="G19" s="93">
        <f>IF('NoxWeed  EmpBenefits'!$E$75&lt;&gt;0,'NoxWeed  EmpBenefits'!$E$75,"  ")</f>
        <v>828687</v>
      </c>
      <c r="H19" s="322">
        <f>IF('NoxWeed  EmpBenefits'!E75&lt;&gt;0,ROUND(G19/$F$38*1000,3),"  ")</f>
        <v>18.283000000000001</v>
      </c>
    </row>
    <row r="20" spans="1:13" x14ac:dyDescent="0.2">
      <c r="A20" s="93" t="str">
        <f>IF((inputPrYr!$B21&gt;" "),(inputPrYr!$B21),"  ")</f>
        <v>County Health</v>
      </c>
      <c r="B20" s="93">
        <f>IF('Health  Hospital'!$C$33&lt;&gt;0,'Health  Hospital'!$C$33,"  ")</f>
        <v>168127</v>
      </c>
      <c r="C20" s="322">
        <f>IF(inputPrYr!D101&lt;&gt;0,inputPrYr!D101,"  ")</f>
        <v>3.0030000000000001</v>
      </c>
      <c r="D20" s="93">
        <f>IF('Health  Hospital'!$D$33&lt;&gt;0,'Health  Hospital'!$D$33,"  ")</f>
        <v>175532</v>
      </c>
      <c r="E20" s="322">
        <f>IF(inputPrYr!F21&lt;&gt;0,inputPrYr!F21,"  ")</f>
        <v>3.0150000000000001</v>
      </c>
      <c r="F20" s="93">
        <f>IF('Health  Hospital'!$E$33&lt;&gt;0,'Health  Hospital'!$E$33,"  ")</f>
        <v>184816</v>
      </c>
      <c r="G20" s="93">
        <f>IF('Health  Hospital'!$E$40&lt;&gt;0,'Health  Hospital'!$E$40,"  ")</f>
        <v>130570</v>
      </c>
      <c r="H20" s="322">
        <f>IF('Health  Hospital'!$E$40&lt;&gt;0,ROUND(G20/$F$38*1000,3),"  ")</f>
        <v>2.8809999999999998</v>
      </c>
    </row>
    <row r="21" spans="1:13" x14ac:dyDescent="0.2">
      <c r="A21" s="93" t="str">
        <f>IF((inputPrYr!$B22&gt;" "),(inputPrYr!$B22),"  ")</f>
        <v>Hospital Maintenance</v>
      </c>
      <c r="B21" s="93">
        <f>IF('Health  Hospital'!$C$62&lt;&gt;0,'Health  Hospital'!$C$62,"  ")</f>
        <v>231819</v>
      </c>
      <c r="C21" s="322">
        <f>IF(inputPrYr!D102&lt;&gt;0,inputPrYr!D102,"  ")</f>
        <v>4.9000000000000004</v>
      </c>
      <c r="D21" s="93">
        <f>IF('Health  Hospital'!$D$62&lt;&gt;0,'Health  Hospital'!$D$62,"  ")</f>
        <v>231889</v>
      </c>
      <c r="E21" s="322">
        <f>IF(inputPrYr!F22&lt;&gt;0,inputPrYr!F22,"  ")</f>
        <v>4.8380000000000001</v>
      </c>
      <c r="F21" s="93">
        <f>IF('Health  Hospital'!$E$62&lt;&gt;0,'Health  Hospital'!$E$62,"  ")</f>
        <v>232210</v>
      </c>
      <c r="G21" s="93">
        <f>IF('Health  Hospital'!$E$69&lt;&gt;0,'Health  Hospital'!$E$69,"  ")</f>
        <v>209591</v>
      </c>
      <c r="H21" s="322">
        <f>IF('Health  Hospital'!$E$69&lt;&gt;0,ROUND(G21/$F$38*1000,3),"  ")</f>
        <v>4.6239999999999997</v>
      </c>
    </row>
    <row r="22" spans="1:13" x14ac:dyDescent="0.2">
      <c r="A22" s="93" t="str">
        <f>IF((inputPrYr!$B43&gt;" "),(inputPrYr!$B43),"  ")</f>
        <v>Special Drug and Alcohol</v>
      </c>
      <c r="B22" s="93">
        <f>IF('SpDrug  SpParks'!$C$29&lt;&gt;0,'SpDrug  SpParks'!$C$29,"  ")</f>
        <v>7659</v>
      </c>
      <c r="C22" s="74"/>
      <c r="D22" s="93">
        <f>IF('SpDrug  SpParks'!$D$29&lt;&gt;0,'SpDrug  SpParks'!$D$29,"  ")</f>
        <v>3325</v>
      </c>
      <c r="E22" s="74"/>
      <c r="F22" s="93">
        <f>IF('SpDrug  SpParks'!$E$29&lt;&gt;0,'SpDrug  SpParks'!$E$29,"  ")</f>
        <v>12000</v>
      </c>
      <c r="G22" s="93"/>
      <c r="H22" s="70"/>
    </row>
    <row r="23" spans="1:13" x14ac:dyDescent="0.2">
      <c r="A23" s="93" t="str">
        <f>IF((inputPrYr!$B44&gt;" "),(inputPrYr!$B44),"  ")</f>
        <v>Special Parks and Recreation</v>
      </c>
      <c r="B23" s="93" t="str">
        <f>IF('SpDrug  SpParks'!$C$60&lt;&gt;0,'SpDrug  SpParks'!$C$60,"  ")</f>
        <v xml:space="preserve">  </v>
      </c>
      <c r="C23" s="74"/>
      <c r="D23" s="93" t="str">
        <f>IF('SpDrug  SpParks'!$D$60&lt;&gt;0,'SpDrug  SpParks'!$D$60,"  ")</f>
        <v xml:space="preserve">  </v>
      </c>
      <c r="E23" s="74"/>
      <c r="F23" s="93" t="str">
        <f>IF('SpDrug  SpParks'!$E$60&lt;&gt;0,'SpDrug  SpParks'!$E$60,"  ")</f>
        <v xml:space="preserve">  </v>
      </c>
      <c r="G23" s="93"/>
      <c r="H23" s="70"/>
    </row>
    <row r="24" spans="1:13" x14ac:dyDescent="0.2">
      <c r="A24" s="93" t="str">
        <f>IF((inputPrYr!$B45&gt;" "),(inputPrYr!$B45),"  ")</f>
        <v>Noxious Weed Capital Outlay</v>
      </c>
      <c r="B24" s="93">
        <f>IF('NoxWeedCO  911Emergency'!$C$29&lt;&gt;0,'NoxWeedCO  911Emergency'!$C$29,"  ")</f>
        <v>48045</v>
      </c>
      <c r="C24" s="74"/>
      <c r="D24" s="93">
        <f>IF('NoxWeedCO  911Emergency'!$D$29&lt;&gt;0,'NoxWeedCO  911Emergency'!$D$29,"  ")</f>
        <v>2000</v>
      </c>
      <c r="E24" s="74"/>
      <c r="F24" s="93">
        <f>IF('NoxWeedCO  911Emergency'!$E$29&lt;&gt;0,'NoxWeedCO  911Emergency'!$E$29,"  ")</f>
        <v>16664</v>
      </c>
      <c r="G24" s="93"/>
      <c r="H24" s="70"/>
    </row>
    <row r="25" spans="1:13" x14ac:dyDescent="0.2">
      <c r="A25" s="93" t="str">
        <f>IF((inputPrYr!$B46&gt;" "),(inputPrYr!$B46),"  ")</f>
        <v>911 Emergency Telephone Tax</v>
      </c>
      <c r="B25" s="93">
        <f>IF('NoxWeedCO  911Emergency'!$C$60&lt;&gt;0,'NoxWeedCO  911Emergency'!$C$60,"  ")</f>
        <v>35164</v>
      </c>
      <c r="C25" s="74"/>
      <c r="D25" s="93">
        <f>IF('NoxWeedCO  911Emergency'!$D$60&lt;&gt;0,'NoxWeedCO  911Emergency'!$D$60,"  ")</f>
        <v>1442</v>
      </c>
      <c r="E25" s="74"/>
      <c r="F25" s="93" t="str">
        <f>IF('NoxWeedCO  911Emergency'!$E$60&lt;&gt;0,'NoxWeedCO  911Emergency'!$E$60,"  ")</f>
        <v xml:space="preserve">  </v>
      </c>
      <c r="G25" s="93"/>
      <c r="H25" s="70"/>
    </row>
    <row r="26" spans="1:13" x14ac:dyDescent="0.2">
      <c r="A26" s="93" t="str">
        <f>IF((inputPrYr!$B47&gt;" "),(inputPrYr!$B47),"  ")</f>
        <v>911 Wireless Phone Tax</v>
      </c>
      <c r="B26" s="93">
        <f>IF('911Wireless  EdwardCo911'!$C$29&lt;&gt;0,'911Wireless  EdwardCo911'!$C$29,"  ")</f>
        <v>4820</v>
      </c>
      <c r="C26" s="74"/>
      <c r="D26" s="93">
        <f>IF('911Wireless  EdwardCo911'!$D$29&lt;&gt;0,'911Wireless  EdwardCo911'!$D$29,"  ")</f>
        <v>6942</v>
      </c>
      <c r="E26" s="74"/>
      <c r="F26" s="93" t="str">
        <f>IF('911Wireless  EdwardCo911'!$E$29&lt;&gt;0,'911Wireless  EdwardCo911'!$E$29,"  ")</f>
        <v xml:space="preserve">  </v>
      </c>
      <c r="G26" s="93"/>
      <c r="H26" s="70"/>
    </row>
    <row r="27" spans="1:13" x14ac:dyDescent="0.2">
      <c r="A27" s="93" t="str">
        <f>IF((inputPrYr!$B48&gt;" "),(inputPrYr!$B48),"  ")</f>
        <v>Edwards Co 911</v>
      </c>
      <c r="B27" s="93" t="str">
        <f>IF('911Wireless  EdwardCo911'!$C$60&lt;&gt;0,'911Wireless  EdwardCo911'!$C$60,"  ")</f>
        <v xml:space="preserve">  </v>
      </c>
      <c r="C27" s="74"/>
      <c r="D27" s="93">
        <f>IF('911Wireless  EdwardCo911'!$D$60&lt;&gt;0,'911Wireless  EdwardCo911'!$D$60,"  ")</f>
        <v>50000</v>
      </c>
      <c r="E27" s="74"/>
      <c r="F27" s="93">
        <f>IF('911Wireless  EdwardCo911'!$E$60&lt;&gt;0,'911Wireless  EdwardCo911'!$E$60,"  ")</f>
        <v>70000</v>
      </c>
      <c r="G27" s="93"/>
      <c r="H27" s="70"/>
    </row>
    <row r="28" spans="1:13" x14ac:dyDescent="0.2">
      <c r="A28" s="93" t="str">
        <f>IF((inputPrYr!$B49&gt;" "),(inputPrYr!$B49),"  ")</f>
        <v xml:space="preserve">  </v>
      </c>
      <c r="B28" s="93" t="str">
        <f>IF('Blank Page 2'!$C$29&lt;&gt;0,'Blank Page 2'!$C$29,"  ")</f>
        <v xml:space="preserve">  </v>
      </c>
      <c r="C28" s="74"/>
      <c r="D28" s="93" t="str">
        <f>IF('Blank Page 2'!$D$29&lt;&gt;0,'Blank Page 2'!$D$29,"  ")</f>
        <v xml:space="preserve">  </v>
      </c>
      <c r="E28" s="74"/>
      <c r="F28" s="93" t="str">
        <f>IF('Blank Page 2'!$E$29&lt;&gt;0,'Blank Page 2'!$E$29,"  ")</f>
        <v xml:space="preserve">  </v>
      </c>
      <c r="G28" s="93"/>
      <c r="H28" s="70"/>
    </row>
    <row r="29" spans="1:13" x14ac:dyDescent="0.2">
      <c r="A29" s="157" t="str">
        <f>IF((inputPrYr!$B62&gt;"  "),(nonbudA!$A3),"  ")</f>
        <v>Non-Budgeted Funds-A</v>
      </c>
      <c r="B29" s="93">
        <f>IF(nonbudA!$K$28&lt;&gt;0,nonbudA!$K$28,"  ")</f>
        <v>222363</v>
      </c>
      <c r="C29" s="74"/>
      <c r="D29" s="93"/>
      <c r="E29" s="74"/>
      <c r="F29" s="93"/>
      <c r="G29" s="93"/>
      <c r="H29" s="70"/>
    </row>
    <row r="30" spans="1:13" x14ac:dyDescent="0.2">
      <c r="A30" s="157" t="str">
        <f>IF((inputPrYr!$B68&gt;"  "),(nonbudB!$A3),"  ")</f>
        <v>Non-Budgeted Funds-B</v>
      </c>
      <c r="B30" s="93">
        <f>IF(nonbudB!$K$28&lt;&gt;0,nonbudB!$K$28,"  ")</f>
        <v>70750</v>
      </c>
      <c r="C30" s="74"/>
      <c r="D30" s="93"/>
      <c r="E30" s="74"/>
      <c r="F30" s="93"/>
      <c r="G30" s="93"/>
      <c r="H30" s="70"/>
    </row>
    <row r="31" spans="1:13" x14ac:dyDescent="0.25">
      <c r="A31" s="157" t="str">
        <f>IF((inputPrYr!$B74&gt;"  "),(nonbudC!$A3),"  ")</f>
        <v>Non-Budgeted Funds-C</v>
      </c>
      <c r="B31" s="93">
        <f>IF(nonbudC!$K$28&lt;&gt;0,nonbudC!$K$28,"  ")</f>
        <v>48041</v>
      </c>
      <c r="C31" s="74"/>
      <c r="D31" s="93"/>
      <c r="E31" s="74"/>
      <c r="F31" s="93"/>
      <c r="G31" s="93"/>
      <c r="H31" s="70"/>
      <c r="J31" s="593" t="str">
        <f>CONCATENATE("Estimated Value Of One Mill For ",H1,"")</f>
        <v>Estimated Value Of One Mill For 2014</v>
      </c>
      <c r="K31" s="600"/>
      <c r="L31" s="600"/>
      <c r="M31" s="601"/>
    </row>
    <row r="32" spans="1:13" x14ac:dyDescent="0.25">
      <c r="A32" s="157"/>
      <c r="B32" s="93"/>
      <c r="C32" s="74"/>
      <c r="D32" s="93"/>
      <c r="E32" s="74"/>
      <c r="F32" s="93"/>
      <c r="G32" s="93"/>
      <c r="H32" s="70"/>
      <c r="J32" s="402"/>
      <c r="K32" s="403"/>
      <c r="L32" s="403"/>
      <c r="M32" s="404"/>
    </row>
    <row r="33" spans="1:13" x14ac:dyDescent="0.25">
      <c r="A33" s="157"/>
      <c r="B33" s="93"/>
      <c r="C33" s="74"/>
      <c r="D33" s="93"/>
      <c r="E33" s="74"/>
      <c r="F33" s="93"/>
      <c r="G33" s="93"/>
      <c r="H33" s="70"/>
      <c r="J33" s="405" t="s">
        <v>292</v>
      </c>
      <c r="K33" s="406"/>
      <c r="L33" s="406"/>
      <c r="M33" s="407">
        <f>ROUND(F38/1000,0)</f>
        <v>45324</v>
      </c>
    </row>
    <row r="34" spans="1:13" x14ac:dyDescent="0.2">
      <c r="A34" s="69" t="s">
        <v>73</v>
      </c>
      <c r="B34" s="395">
        <f>SUM(B16:B33)</f>
        <v>4807444</v>
      </c>
      <c r="C34" s="393">
        <f>SUM(C16:C21)</f>
        <v>75.591999999999999</v>
      </c>
      <c r="D34" s="395">
        <f>SUM(D16:D33)</f>
        <v>4429705</v>
      </c>
      <c r="E34" s="393">
        <f>SUM(E16:E21)</f>
        <v>77.590999999999994</v>
      </c>
      <c r="F34" s="395">
        <f>SUM(F16:F33)</f>
        <v>4865251</v>
      </c>
      <c r="G34" s="395">
        <f>SUM(G16:G21)</f>
        <v>3562898.2800000003</v>
      </c>
      <c r="H34" s="322">
        <f>SUM(H16:H21)</f>
        <v>78.608000000000004</v>
      </c>
    </row>
    <row r="35" spans="1:13" x14ac:dyDescent="0.25">
      <c r="A35" s="50" t="s">
        <v>114</v>
      </c>
      <c r="B35" s="323">
        <f>transfers!C29</f>
        <v>271030</v>
      </c>
      <c r="C35" s="324"/>
      <c r="D35" s="323">
        <f>transfers!D29</f>
        <v>55000</v>
      </c>
      <c r="E35" s="289"/>
      <c r="F35" s="323">
        <f>transfers!E29</f>
        <v>137000</v>
      </c>
      <c r="G35" s="51"/>
      <c r="H35" s="521"/>
      <c r="I35" s="524"/>
      <c r="J35" s="593" t="str">
        <f>CONCATENATE("Want The Mill Rate The Same As For ",H1-1,"?")</f>
        <v>Want The Mill Rate The Same As For 2013?</v>
      </c>
      <c r="K35" s="600"/>
      <c r="L35" s="600"/>
      <c r="M35" s="601"/>
    </row>
    <row r="36" spans="1:13" ht="16.5" thickBot="1" x14ac:dyDescent="0.3">
      <c r="A36" s="50" t="s">
        <v>115</v>
      </c>
      <c r="B36" s="326">
        <f>B34-B35</f>
        <v>4536414</v>
      </c>
      <c r="C36" s="51"/>
      <c r="D36" s="326">
        <f>D34-D35</f>
        <v>4374705</v>
      </c>
      <c r="E36" s="324"/>
      <c r="F36" s="326">
        <f>F34-F35</f>
        <v>4728251</v>
      </c>
      <c r="G36" s="51"/>
      <c r="H36" s="91"/>
      <c r="J36" s="409"/>
      <c r="K36" s="403"/>
      <c r="L36" s="403"/>
      <c r="M36" s="410"/>
    </row>
    <row r="37" spans="1:13" ht="16.5" thickTop="1" x14ac:dyDescent="0.25">
      <c r="A37" s="50" t="s">
        <v>116</v>
      </c>
      <c r="B37" s="395">
        <f>inputPrYr!F123</f>
        <v>3286986</v>
      </c>
      <c r="C37" s="51"/>
      <c r="D37" s="395">
        <f>inputPrYr!E41</f>
        <v>3360698</v>
      </c>
      <c r="E37" s="51"/>
      <c r="F37" s="394" t="s">
        <v>33</v>
      </c>
      <c r="G37" s="51"/>
      <c r="H37" s="520"/>
      <c r="J37" s="409" t="str">
        <f>CONCATENATE("",H1-1," Mill Rate Was:")</f>
        <v>2013 Mill Rate Was:</v>
      </c>
      <c r="K37" s="403"/>
      <c r="L37" s="403"/>
      <c r="M37" s="411">
        <f>E34</f>
        <v>77.590999999999994</v>
      </c>
    </row>
    <row r="38" spans="1:13" x14ac:dyDescent="0.25">
      <c r="A38" s="50" t="s">
        <v>117</v>
      </c>
      <c r="B38" s="93">
        <f>inputPrYr!F124</f>
        <v>43483633</v>
      </c>
      <c r="C38" s="51"/>
      <c r="D38" s="93">
        <f>inputPrYr!F91</f>
        <v>43313105</v>
      </c>
      <c r="E38" s="51"/>
      <c r="F38" s="93">
        <f>inputOth!E6</f>
        <v>45324466</v>
      </c>
      <c r="G38" s="51"/>
      <c r="H38" s="91"/>
      <c r="J38" s="412" t="str">
        <f>CONCATENATE("",H1," Tax Levy Fund Expenditures Must Be")</f>
        <v>2014 Tax Levy Fund Expenditures Must Be</v>
      </c>
      <c r="K38" s="413"/>
      <c r="L38" s="413"/>
      <c r="M38" s="410"/>
    </row>
    <row r="39" spans="1:13" x14ac:dyDescent="0.25">
      <c r="A39" s="51"/>
      <c r="B39" s="51"/>
      <c r="C39" s="51"/>
      <c r="D39" s="51"/>
      <c r="E39" s="51"/>
      <c r="F39" s="51"/>
      <c r="G39" s="51"/>
      <c r="H39" s="91"/>
      <c r="J39" s="412" t="str">
        <f>IF(M39&gt;0,"Increased By:","")</f>
        <v/>
      </c>
      <c r="K39" s="413"/>
      <c r="L39" s="413"/>
      <c r="M39" s="420">
        <f>IF(M47&lt;0,M47*-1,0)</f>
        <v>0</v>
      </c>
    </row>
    <row r="40" spans="1:13" x14ac:dyDescent="0.2">
      <c r="A40" s="50" t="s">
        <v>118</v>
      </c>
      <c r="B40" s="51"/>
      <c r="C40" s="51"/>
      <c r="D40" s="51"/>
      <c r="E40" s="51"/>
      <c r="F40" s="51"/>
      <c r="G40" s="51"/>
      <c r="H40" s="103"/>
      <c r="J40" s="421" t="str">
        <f>IF(M40&lt;0,"Reduced By:","")</f>
        <v>Reduced By:</v>
      </c>
      <c r="K40" s="422"/>
      <c r="L40" s="422"/>
      <c r="M40" s="423">
        <f>IF(M47&gt;0,M47*-1,0)</f>
        <v>-46127.280000000261</v>
      </c>
    </row>
    <row r="41" spans="1:13" x14ac:dyDescent="0.25">
      <c r="A41" s="50" t="s">
        <v>119</v>
      </c>
      <c r="B41" s="325">
        <f>H1-3</f>
        <v>2011</v>
      </c>
      <c r="C41" s="51"/>
      <c r="D41" s="325">
        <f>H1-2</f>
        <v>2012</v>
      </c>
      <c r="E41" s="51"/>
      <c r="F41" s="325">
        <f>H1-1</f>
        <v>2013</v>
      </c>
      <c r="G41" s="51"/>
      <c r="H41" s="103"/>
      <c r="J41" s="416"/>
      <c r="K41" s="416"/>
      <c r="L41" s="416"/>
      <c r="M41" s="416"/>
    </row>
    <row r="42" spans="1:13" x14ac:dyDescent="0.25">
      <c r="A42" s="50" t="s">
        <v>120</v>
      </c>
      <c r="B42" s="93">
        <f>inputPrYr!D128</f>
        <v>0</v>
      </c>
      <c r="C42" s="51"/>
      <c r="D42" s="93">
        <f>inputPrYr!E128</f>
        <v>0</v>
      </c>
      <c r="E42" s="51"/>
      <c r="F42" s="93">
        <f>debt!G19</f>
        <v>0</v>
      </c>
      <c r="G42" s="51"/>
      <c r="H42" s="103"/>
      <c r="J42" s="416"/>
      <c r="K42" s="416"/>
      <c r="L42" s="416"/>
      <c r="M42" s="416"/>
    </row>
    <row r="43" spans="1:13" x14ac:dyDescent="0.25">
      <c r="A43" s="50" t="s">
        <v>121</v>
      </c>
      <c r="B43" s="93">
        <f>inputPrYr!D129</f>
        <v>0</v>
      </c>
      <c r="C43" s="51"/>
      <c r="D43" s="93">
        <f>inputPrYr!E129</f>
        <v>0</v>
      </c>
      <c r="E43" s="51"/>
      <c r="F43" s="93">
        <f>debt!G27</f>
        <v>0</v>
      </c>
      <c r="G43" s="51"/>
      <c r="H43" s="103"/>
      <c r="J43" s="593" t="str">
        <f>CONCATENATE("Impact On Keeping The Same Mill Rate As For ",H1-1,"")</f>
        <v>Impact On Keeping The Same Mill Rate As For 2013</v>
      </c>
      <c r="K43" s="594"/>
      <c r="L43" s="594"/>
      <c r="M43" s="595"/>
    </row>
    <row r="44" spans="1:13" x14ac:dyDescent="0.25">
      <c r="A44" s="50" t="s">
        <v>107</v>
      </c>
      <c r="B44" s="93">
        <f>inputPrYr!D130</f>
        <v>0</v>
      </c>
      <c r="C44" s="51"/>
      <c r="D44" s="93">
        <f>inputPrYr!E130</f>
        <v>0</v>
      </c>
      <c r="E44" s="51"/>
      <c r="F44" s="93">
        <f>debt!G36</f>
        <v>0</v>
      </c>
      <c r="G44" s="51"/>
      <c r="H44" s="103"/>
      <c r="J44" s="409"/>
      <c r="K44" s="403"/>
      <c r="L44" s="403"/>
      <c r="M44" s="410"/>
    </row>
    <row r="45" spans="1:13" x14ac:dyDescent="0.25">
      <c r="A45" s="50" t="s">
        <v>205</v>
      </c>
      <c r="B45" s="93">
        <f>inputPrYr!D131</f>
        <v>26072</v>
      </c>
      <c r="C45" s="51"/>
      <c r="D45" s="93">
        <f>inputPrYr!E131</f>
        <v>107584</v>
      </c>
      <c r="E45" s="51"/>
      <c r="F45" s="93">
        <f>lpform!G37</f>
        <v>238090</v>
      </c>
      <c r="G45" s="51"/>
      <c r="H45" s="103"/>
      <c r="J45" s="409" t="str">
        <f>CONCATENATE("",H1," Ad Valorem Tax Revenue:")</f>
        <v>2014 Ad Valorem Tax Revenue:</v>
      </c>
      <c r="K45" s="403"/>
      <c r="L45" s="403"/>
      <c r="M45" s="404">
        <f>G34</f>
        <v>3562898.2800000003</v>
      </c>
    </row>
    <row r="46" spans="1:13" ht="16.5" thickBot="1" x14ac:dyDescent="0.3">
      <c r="A46" s="50" t="s">
        <v>122</v>
      </c>
      <c r="B46" s="419">
        <f>SUM(B42:B45)</f>
        <v>26072</v>
      </c>
      <c r="C46" s="51"/>
      <c r="D46" s="419">
        <f>SUM(D42:D45)</f>
        <v>107584</v>
      </c>
      <c r="E46" s="51"/>
      <c r="F46" s="419">
        <f>SUM(F42:F45)</f>
        <v>238090</v>
      </c>
      <c r="G46" s="51"/>
      <c r="H46" s="103"/>
      <c r="J46" s="409" t="str">
        <f>CONCATENATE("",H1-1," Ad Valorem Tax Revenue:")</f>
        <v>2013 Ad Valorem Tax Revenue:</v>
      </c>
      <c r="K46" s="403"/>
      <c r="L46" s="403"/>
      <c r="M46" s="417">
        <f>ROUND(F38*M37/1000,0)</f>
        <v>3516771</v>
      </c>
    </row>
    <row r="47" spans="1:13" ht="16.5" thickTop="1" x14ac:dyDescent="0.25">
      <c r="A47" s="50" t="s">
        <v>123</v>
      </c>
      <c r="B47" s="51"/>
      <c r="C47" s="51"/>
      <c r="D47" s="51"/>
      <c r="E47" s="51"/>
      <c r="F47" s="51"/>
      <c r="G47" s="51"/>
      <c r="H47" s="103"/>
      <c r="J47" s="414" t="s">
        <v>293</v>
      </c>
      <c r="K47" s="415"/>
      <c r="L47" s="415"/>
      <c r="M47" s="407">
        <f>SUM(M45-M46)</f>
        <v>46127.280000000261</v>
      </c>
    </row>
    <row r="48" spans="1:13" x14ac:dyDescent="0.25">
      <c r="A48" s="51"/>
      <c r="B48" s="51"/>
      <c r="C48" s="51"/>
      <c r="D48" s="51"/>
      <c r="E48" s="51"/>
      <c r="F48" s="51"/>
      <c r="G48" s="51"/>
      <c r="H48" s="103"/>
      <c r="J48" s="408"/>
      <c r="K48" s="408"/>
      <c r="L48" s="408"/>
      <c r="M48" s="416"/>
    </row>
    <row r="49" spans="1:13" x14ac:dyDescent="0.25">
      <c r="A49" s="599" t="str">
        <f>inputBudSum!B3</f>
        <v>Gina Schuette</v>
      </c>
      <c r="B49" s="599"/>
      <c r="C49" s="51"/>
      <c r="D49" s="51"/>
      <c r="E49" s="51"/>
      <c r="F49" s="51"/>
      <c r="G49" s="51"/>
      <c r="H49" s="103"/>
      <c r="J49" s="593" t="s">
        <v>294</v>
      </c>
      <c r="K49" s="596"/>
      <c r="L49" s="596"/>
      <c r="M49" s="597"/>
    </row>
    <row r="50" spans="1:13" x14ac:dyDescent="0.25">
      <c r="A50" s="176" t="s">
        <v>124</v>
      </c>
      <c r="B50" s="59"/>
      <c r="C50" s="51"/>
      <c r="D50" s="51"/>
      <c r="E50" s="51"/>
      <c r="F50" s="51"/>
      <c r="G50" s="51"/>
      <c r="H50" s="103"/>
      <c r="J50" s="409"/>
      <c r="K50" s="403"/>
      <c r="L50" s="403"/>
      <c r="M50" s="410"/>
    </row>
    <row r="51" spans="1:13" x14ac:dyDescent="0.25">
      <c r="A51" s="51"/>
      <c r="B51" s="51"/>
      <c r="C51" s="51"/>
      <c r="D51" s="244" t="s">
        <v>84</v>
      </c>
      <c r="E51" s="327">
        <v>18</v>
      </c>
      <c r="F51" s="51"/>
      <c r="G51" s="51"/>
      <c r="H51" s="103"/>
      <c r="J51" s="409" t="str">
        <f>CONCATENATE("Current ",H1," Estimated Mill Rate:")</f>
        <v>Current 2014 Estimated Mill Rate:</v>
      </c>
      <c r="K51" s="403"/>
      <c r="L51" s="403"/>
      <c r="M51" s="411">
        <f>H34</f>
        <v>78.608000000000004</v>
      </c>
    </row>
    <row r="52" spans="1:13" x14ac:dyDescent="0.25">
      <c r="A52" s="109"/>
      <c r="D52" s="109"/>
      <c r="E52" s="109"/>
      <c r="F52" s="109"/>
      <c r="G52" s="109"/>
      <c r="H52" s="109"/>
      <c r="J52" s="409" t="str">
        <f>CONCATENATE("Desired ",H1," Mill Rate:")</f>
        <v>Desired 2014 Mill Rate:</v>
      </c>
      <c r="K52" s="403"/>
      <c r="L52" s="403"/>
      <c r="M52" s="418">
        <v>45</v>
      </c>
    </row>
    <row r="53" spans="1:13" x14ac:dyDescent="0.25">
      <c r="J53" s="409" t="str">
        <f>CONCATENATE("",H1," Ad Valorem Tax:")</f>
        <v>2014 Ad Valorem Tax:</v>
      </c>
      <c r="K53" s="403"/>
      <c r="L53" s="403"/>
      <c r="M53" s="417">
        <f>ROUND(F38*M52/1000,0)</f>
        <v>2039601</v>
      </c>
    </row>
    <row r="54" spans="1:13" x14ac:dyDescent="0.25">
      <c r="J54" s="414" t="str">
        <f>CONCATENATE("",H1," Tax Levy Fund Exp. Changed By:")</f>
        <v>2014 Tax Levy Fund Exp. Changed By:</v>
      </c>
      <c r="K54" s="415"/>
      <c r="L54" s="415"/>
      <c r="M54" s="407">
        <f>IF(M52=0,0,(M53-G34))</f>
        <v>-1523297.2800000003</v>
      </c>
    </row>
  </sheetData>
  <mergeCells count="14">
    <mergeCell ref="A7:H7"/>
    <mergeCell ref="A8:H8"/>
    <mergeCell ref="J43:M43"/>
    <mergeCell ref="J49:M49"/>
    <mergeCell ref="A2:H2"/>
    <mergeCell ref="A4:H4"/>
    <mergeCell ref="A5:H5"/>
    <mergeCell ref="A6:H6"/>
    <mergeCell ref="A10:H10"/>
    <mergeCell ref="A49:B49"/>
    <mergeCell ref="G14:G15"/>
    <mergeCell ref="J31:M31"/>
    <mergeCell ref="J35:M35"/>
    <mergeCell ref="A11:H11"/>
  </mergeCells>
  <phoneticPr fontId="0" type="noConversion"/>
  <pageMargins left="1.1200000000000001" right="0.5" top="0.74" bottom="0.34" header="0.5" footer="0"/>
  <pageSetup scale="64" orientation="portrait" blackAndWhite="1" r:id="rId1"/>
  <headerFooter alignWithMargins="0">
    <oddHeader xml:space="preserve">&amp;RState of Kansas
County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workbookViewId="0">
      <selection activeCell="D37" sqref="D37"/>
    </sheetView>
  </sheetViews>
  <sheetFormatPr defaultRowHeight="15" x14ac:dyDescent="0.2"/>
  <cols>
    <col min="1" max="1" width="9.21875" style="131" customWidth="1"/>
    <col min="2" max="2" width="18.5546875" style="131" customWidth="1"/>
    <col min="3" max="3" width="11.77734375" style="131" customWidth="1"/>
    <col min="4" max="4" width="12.77734375" style="131" customWidth="1"/>
    <col min="5" max="5" width="11.77734375" style="131" customWidth="1"/>
    <col min="6" max="16384" width="8.88671875" style="131"/>
  </cols>
  <sheetData>
    <row r="1" spans="1:6" ht="15.75" x14ac:dyDescent="0.2">
      <c r="A1" s="184" t="str">
        <f>inputPrYr!C2</f>
        <v>Edwards County</v>
      </c>
      <c r="B1" s="51"/>
      <c r="C1" s="51"/>
      <c r="D1" s="51"/>
      <c r="E1" s="51"/>
      <c r="F1" s="282">
        <f>inputPrYr!C4</f>
        <v>2014</v>
      </c>
    </row>
    <row r="2" spans="1:6" ht="15.75" x14ac:dyDescent="0.2">
      <c r="A2" s="51"/>
      <c r="B2" s="51"/>
      <c r="C2" s="51"/>
      <c r="D2" s="51"/>
      <c r="E2" s="51"/>
      <c r="F2" s="51"/>
    </row>
    <row r="3" spans="1:6" ht="15.75" x14ac:dyDescent="0.2">
      <c r="A3" s="51"/>
      <c r="B3" s="558" t="str">
        <f>CONCATENATE("",F1," Neighborhood Revitalization Rebate")</f>
        <v>2014 Neighborhood Revitalization Rebate</v>
      </c>
      <c r="C3" s="603"/>
      <c r="D3" s="603"/>
      <c r="E3" s="603"/>
      <c r="F3" s="51"/>
    </row>
    <row r="4" spans="1:6" ht="15.75" x14ac:dyDescent="0.2">
      <c r="A4" s="51"/>
      <c r="B4" s="51"/>
      <c r="C4" s="51"/>
      <c r="D4" s="51"/>
      <c r="E4" s="51"/>
      <c r="F4" s="51"/>
    </row>
    <row r="5" spans="1:6" ht="51" customHeight="1" x14ac:dyDescent="0.2">
      <c r="A5" s="51"/>
      <c r="B5" s="328" t="str">
        <f>CONCATENATE("Budgeted Funds                       for ",F1,"")</f>
        <v>Budgeted Funds                       for 2014</v>
      </c>
      <c r="C5" s="328" t="str">
        <f>CONCATENATE("",F1-1," Ad Valorem before Rebate**")</f>
        <v>2013 Ad Valorem before Rebate**</v>
      </c>
      <c r="D5" s="329" t="str">
        <f>CONCATENATE("",F1-1," Mil Rate before Rebate")</f>
        <v>2013 Mil Rate before Rebate</v>
      </c>
      <c r="E5" s="330" t="str">
        <f>CONCATENATE("Estimate ",F1," NR Rebate")</f>
        <v>Estimate 2014 NR Rebate</v>
      </c>
      <c r="F5" s="103"/>
    </row>
    <row r="6" spans="1:6" ht="15.75" x14ac:dyDescent="0.2">
      <c r="A6" s="51"/>
      <c r="B6" s="69" t="str">
        <f>inputPrYr!B16</f>
        <v>General</v>
      </c>
      <c r="C6" s="331">
        <v>1344985.69</v>
      </c>
      <c r="D6" s="332">
        <f t="shared" ref="D6:D29" si="0">IF(C6&gt;0,C6/$D$35,"")</f>
        <v>29.674606425589214</v>
      </c>
      <c r="E6" s="236">
        <f t="shared" ref="E6:E29" si="1">IF(C6&gt;0,ROUND(D6*$D$39,0),"")</f>
        <v>12797</v>
      </c>
      <c r="F6" s="103"/>
    </row>
    <row r="7" spans="1:6" ht="15.75" x14ac:dyDescent="0.2">
      <c r="A7" s="51"/>
      <c r="B7" s="69" t="str">
        <f>inputPrYr!B18</f>
        <v>Road &amp; Bridge</v>
      </c>
      <c r="C7" s="331">
        <v>792459.13</v>
      </c>
      <c r="D7" s="332">
        <f t="shared" si="0"/>
        <v>17.484136051376755</v>
      </c>
      <c r="E7" s="236">
        <f t="shared" si="1"/>
        <v>7540</v>
      </c>
      <c r="F7" s="103"/>
    </row>
    <row r="8" spans="1:6" ht="15.75" x14ac:dyDescent="0.2">
      <c r="A8" s="51"/>
      <c r="B8" s="69" t="str">
        <f>inputPrYr!B19</f>
        <v>Noxious Weed</v>
      </c>
      <c r="C8" s="331">
        <v>64772</v>
      </c>
      <c r="D8" s="332">
        <f t="shared" si="0"/>
        <v>1.4290736486558937</v>
      </c>
      <c r="E8" s="236">
        <f t="shared" si="1"/>
        <v>616</v>
      </c>
      <c r="F8" s="103"/>
    </row>
    <row r="9" spans="1:6" ht="15.75" x14ac:dyDescent="0.2">
      <c r="A9" s="51"/>
      <c r="B9" s="69" t="str">
        <f>inputPrYr!B20</f>
        <v>Employee Benefits</v>
      </c>
      <c r="C9" s="331">
        <v>794242</v>
      </c>
      <c r="D9" s="332">
        <f t="shared" si="0"/>
        <v>17.523471760262989</v>
      </c>
      <c r="E9" s="236">
        <f t="shared" si="1"/>
        <v>7557</v>
      </c>
      <c r="F9" s="103"/>
    </row>
    <row r="10" spans="1:6" ht="15.75" x14ac:dyDescent="0.2">
      <c r="A10" s="51"/>
      <c r="B10" s="69" t="str">
        <f>inputPrYr!B21</f>
        <v>County Health</v>
      </c>
      <c r="C10" s="331">
        <v>129524</v>
      </c>
      <c r="D10" s="332">
        <f t="shared" si="0"/>
        <v>2.8577060345289009</v>
      </c>
      <c r="E10" s="236">
        <f t="shared" si="1"/>
        <v>1232</v>
      </c>
      <c r="F10" s="103"/>
    </row>
    <row r="11" spans="1:6" ht="15.75" x14ac:dyDescent="0.2">
      <c r="A11" s="51"/>
      <c r="B11" s="69" t="str">
        <f>inputPrYr!B22</f>
        <v>Hospital Maintenance</v>
      </c>
      <c r="C11" s="333">
        <v>207875</v>
      </c>
      <c r="D11" s="332">
        <f t="shared" si="0"/>
        <v>4.5863750496255156</v>
      </c>
      <c r="E11" s="236">
        <f t="shared" si="1"/>
        <v>1978</v>
      </c>
      <c r="F11" s="103"/>
    </row>
    <row r="12" spans="1:6" ht="15.75" x14ac:dyDescent="0.2">
      <c r="A12" s="51"/>
      <c r="B12" s="69">
        <f>inputPrYr!B23</f>
        <v>0</v>
      </c>
      <c r="C12" s="333"/>
      <c r="D12" s="332" t="str">
        <f t="shared" si="0"/>
        <v/>
      </c>
      <c r="E12" s="236" t="str">
        <f t="shared" si="1"/>
        <v/>
      </c>
      <c r="F12" s="103"/>
    </row>
    <row r="13" spans="1:6" ht="15.75" x14ac:dyDescent="0.2">
      <c r="A13" s="51"/>
      <c r="B13" s="69">
        <f>inputPrYr!B24</f>
        <v>0</v>
      </c>
      <c r="C13" s="333"/>
      <c r="D13" s="332" t="str">
        <f t="shared" si="0"/>
        <v/>
      </c>
      <c r="E13" s="236" t="str">
        <f t="shared" si="1"/>
        <v/>
      </c>
      <c r="F13" s="103"/>
    </row>
    <row r="14" spans="1:6" ht="15.75" x14ac:dyDescent="0.2">
      <c r="A14" s="51"/>
      <c r="B14" s="69">
        <f>inputPrYr!B25</f>
        <v>0</v>
      </c>
      <c r="C14" s="333"/>
      <c r="D14" s="332" t="str">
        <f t="shared" si="0"/>
        <v/>
      </c>
      <c r="E14" s="236" t="str">
        <f t="shared" si="1"/>
        <v/>
      </c>
      <c r="F14" s="103"/>
    </row>
    <row r="15" spans="1:6" ht="15.75" x14ac:dyDescent="0.2">
      <c r="A15" s="51"/>
      <c r="B15" s="69">
        <f>inputPrYr!B26</f>
        <v>0</v>
      </c>
      <c r="C15" s="333"/>
      <c r="D15" s="332" t="str">
        <f t="shared" si="0"/>
        <v/>
      </c>
      <c r="E15" s="236" t="str">
        <f t="shared" si="1"/>
        <v/>
      </c>
      <c r="F15" s="103"/>
    </row>
    <row r="16" spans="1:6" ht="15.75" x14ac:dyDescent="0.2">
      <c r="A16" s="51"/>
      <c r="B16" s="69">
        <f>inputPrYr!B27</f>
        <v>0</v>
      </c>
      <c r="C16" s="333"/>
      <c r="D16" s="332" t="str">
        <f t="shared" si="0"/>
        <v/>
      </c>
      <c r="E16" s="236" t="str">
        <f t="shared" si="1"/>
        <v/>
      </c>
      <c r="F16" s="103"/>
    </row>
    <row r="17" spans="1:6" ht="15.75" x14ac:dyDescent="0.2">
      <c r="A17" s="51"/>
      <c r="B17" s="69">
        <f>inputPrYr!B28</f>
        <v>0</v>
      </c>
      <c r="C17" s="333"/>
      <c r="D17" s="332" t="str">
        <f t="shared" si="0"/>
        <v/>
      </c>
      <c r="E17" s="236" t="str">
        <f t="shared" si="1"/>
        <v/>
      </c>
      <c r="F17" s="103"/>
    </row>
    <row r="18" spans="1:6" ht="15.75" x14ac:dyDescent="0.2">
      <c r="A18" s="51"/>
      <c r="B18" s="69">
        <f>inputPrYr!B29</f>
        <v>0</v>
      </c>
      <c r="C18" s="333"/>
      <c r="D18" s="332" t="str">
        <f t="shared" si="0"/>
        <v/>
      </c>
      <c r="E18" s="236" t="str">
        <f t="shared" si="1"/>
        <v/>
      </c>
      <c r="F18" s="103"/>
    </row>
    <row r="19" spans="1:6" ht="15.75" x14ac:dyDescent="0.2">
      <c r="A19" s="51"/>
      <c r="B19" s="69">
        <f>inputPrYr!B30</f>
        <v>0</v>
      </c>
      <c r="C19" s="333"/>
      <c r="D19" s="332" t="str">
        <f t="shared" si="0"/>
        <v/>
      </c>
      <c r="E19" s="236" t="str">
        <f t="shared" si="1"/>
        <v/>
      </c>
      <c r="F19" s="103"/>
    </row>
    <row r="20" spans="1:6" ht="15.75" x14ac:dyDescent="0.2">
      <c r="A20" s="51"/>
      <c r="B20" s="69">
        <f>inputPrYr!B31</f>
        <v>0</v>
      </c>
      <c r="C20" s="333"/>
      <c r="D20" s="332" t="str">
        <f t="shared" si="0"/>
        <v/>
      </c>
      <c r="E20" s="236" t="str">
        <f t="shared" si="1"/>
        <v/>
      </c>
      <c r="F20" s="103"/>
    </row>
    <row r="21" spans="1:6" ht="15.75" x14ac:dyDescent="0.2">
      <c r="A21" s="51"/>
      <c r="B21" s="69">
        <f>inputPrYr!B32</f>
        <v>0</v>
      </c>
      <c r="C21" s="333"/>
      <c r="D21" s="332" t="str">
        <f t="shared" si="0"/>
        <v/>
      </c>
      <c r="E21" s="236" t="str">
        <f t="shared" si="1"/>
        <v/>
      </c>
      <c r="F21" s="103"/>
    </row>
    <row r="22" spans="1:6" ht="15.75" x14ac:dyDescent="0.2">
      <c r="A22" s="51"/>
      <c r="B22" s="69">
        <f>inputPrYr!B33</f>
        <v>0</v>
      </c>
      <c r="C22" s="333"/>
      <c r="D22" s="332" t="str">
        <f t="shared" si="0"/>
        <v/>
      </c>
      <c r="E22" s="236" t="str">
        <f t="shared" si="1"/>
        <v/>
      </c>
      <c r="F22" s="103"/>
    </row>
    <row r="23" spans="1:6" ht="15.75" x14ac:dyDescent="0.2">
      <c r="A23" s="51"/>
      <c r="B23" s="69">
        <f>inputPrYr!B34</f>
        <v>0</v>
      </c>
      <c r="C23" s="333"/>
      <c r="D23" s="332" t="str">
        <f t="shared" si="0"/>
        <v/>
      </c>
      <c r="E23" s="236" t="str">
        <f t="shared" si="1"/>
        <v/>
      </c>
      <c r="F23" s="103"/>
    </row>
    <row r="24" spans="1:6" ht="15.75" x14ac:dyDescent="0.2">
      <c r="A24" s="51"/>
      <c r="B24" s="69">
        <f>inputPrYr!B35</f>
        <v>0</v>
      </c>
      <c r="C24" s="333"/>
      <c r="D24" s="332" t="str">
        <f t="shared" si="0"/>
        <v/>
      </c>
      <c r="E24" s="236" t="str">
        <f t="shared" si="1"/>
        <v/>
      </c>
      <c r="F24" s="103"/>
    </row>
    <row r="25" spans="1:6" ht="15.75" x14ac:dyDescent="0.2">
      <c r="A25" s="51"/>
      <c r="B25" s="69">
        <f>inputPrYr!B36</f>
        <v>0</v>
      </c>
      <c r="C25" s="333"/>
      <c r="D25" s="332" t="str">
        <f t="shared" si="0"/>
        <v/>
      </c>
      <c r="E25" s="236" t="str">
        <f t="shared" si="1"/>
        <v/>
      </c>
      <c r="F25" s="103"/>
    </row>
    <row r="26" spans="1:6" ht="15.75" x14ac:dyDescent="0.2">
      <c r="A26" s="51"/>
      <c r="B26" s="69">
        <f>inputPrYr!B37</f>
        <v>0</v>
      </c>
      <c r="C26" s="333"/>
      <c r="D26" s="332" t="str">
        <f t="shared" si="0"/>
        <v/>
      </c>
      <c r="E26" s="236" t="str">
        <f t="shared" si="1"/>
        <v/>
      </c>
      <c r="F26" s="103"/>
    </row>
    <row r="27" spans="1:6" ht="15.75" x14ac:dyDescent="0.2">
      <c r="A27" s="51"/>
      <c r="B27" s="69">
        <f>inputPrYr!B38</f>
        <v>0</v>
      </c>
      <c r="C27" s="333"/>
      <c r="D27" s="332" t="str">
        <f t="shared" si="0"/>
        <v/>
      </c>
      <c r="E27" s="236" t="str">
        <f t="shared" si="1"/>
        <v/>
      </c>
      <c r="F27" s="103"/>
    </row>
    <row r="28" spans="1:6" ht="15.75" x14ac:dyDescent="0.2">
      <c r="A28" s="51"/>
      <c r="B28" s="69">
        <f>inputPrYr!B39</f>
        <v>0</v>
      </c>
      <c r="C28" s="333"/>
      <c r="D28" s="332" t="str">
        <f t="shared" si="0"/>
        <v/>
      </c>
      <c r="E28" s="236" t="str">
        <f t="shared" si="1"/>
        <v/>
      </c>
      <c r="F28" s="103"/>
    </row>
    <row r="29" spans="1:6" ht="15.75" x14ac:dyDescent="0.2">
      <c r="A29" s="51"/>
      <c r="B29" s="69">
        <f>inputPrYr!B40</f>
        <v>0</v>
      </c>
      <c r="C29" s="333"/>
      <c r="D29" s="332" t="str">
        <f t="shared" si="0"/>
        <v/>
      </c>
      <c r="E29" s="236" t="str">
        <f t="shared" si="1"/>
        <v/>
      </c>
      <c r="F29" s="103"/>
    </row>
    <row r="30" spans="1:6" ht="16.5" thickBot="1" x14ac:dyDescent="0.25">
      <c r="A30" s="51"/>
      <c r="B30" s="74" t="s">
        <v>68</v>
      </c>
      <c r="C30" s="334">
        <f>SUM(C6:C29)</f>
        <v>3333857.82</v>
      </c>
      <c r="D30" s="335">
        <f>SUM(D6:D29)</f>
        <v>73.555368970039268</v>
      </c>
      <c r="E30" s="334">
        <f>SUM(E6:E29)</f>
        <v>31720</v>
      </c>
      <c r="F30" s="103"/>
    </row>
    <row r="31" spans="1:6" ht="16.5" thickTop="1" x14ac:dyDescent="0.2">
      <c r="A31" s="51"/>
      <c r="B31" s="51"/>
      <c r="C31" s="51"/>
      <c r="D31" s="51"/>
      <c r="E31" s="51"/>
      <c r="F31" s="103"/>
    </row>
    <row r="32" spans="1:6" ht="15.75" x14ac:dyDescent="0.2">
      <c r="A32" s="51"/>
      <c r="B32" s="51"/>
      <c r="C32" s="51"/>
      <c r="D32" s="51"/>
      <c r="E32" s="51"/>
      <c r="F32" s="103"/>
    </row>
    <row r="33" spans="1:6" ht="15.75" x14ac:dyDescent="0.2">
      <c r="A33" s="604" t="str">
        <f>CONCATENATE("",F1-1," July 1 Valuation:")</f>
        <v>2013 July 1 Valuation:</v>
      </c>
      <c r="B33" s="576"/>
      <c r="C33" s="604"/>
      <c r="D33" s="336">
        <f>inputOth!E6</f>
        <v>45324466</v>
      </c>
      <c r="E33" s="51"/>
      <c r="F33" s="103"/>
    </row>
    <row r="34" spans="1:6" ht="15.75" x14ac:dyDescent="0.2">
      <c r="A34" s="51"/>
      <c r="B34" s="51"/>
      <c r="C34" s="51"/>
      <c r="D34" s="51"/>
      <c r="E34" s="51"/>
      <c r="F34" s="103"/>
    </row>
    <row r="35" spans="1:6" ht="15.75" x14ac:dyDescent="0.2">
      <c r="A35" s="51"/>
      <c r="B35" s="604" t="s">
        <v>260</v>
      </c>
      <c r="C35" s="604"/>
      <c r="D35" s="337">
        <f>IF(D33&gt;0,(D33*0.001),"")</f>
        <v>45324.466</v>
      </c>
      <c r="E35" s="51"/>
      <c r="F35" s="103"/>
    </row>
    <row r="36" spans="1:6" ht="15.75" x14ac:dyDescent="0.2">
      <c r="A36" s="51"/>
      <c r="B36" s="244"/>
      <c r="C36" s="244"/>
      <c r="D36" s="338"/>
      <c r="E36" s="51"/>
      <c r="F36" s="103"/>
    </row>
    <row r="37" spans="1:6" ht="15.75" x14ac:dyDescent="0.2">
      <c r="A37" s="602" t="s">
        <v>261</v>
      </c>
      <c r="B37" s="551"/>
      <c r="C37" s="551"/>
      <c r="D37" s="339">
        <f>inputOth!E12</f>
        <v>431236</v>
      </c>
      <c r="E37" s="120"/>
      <c r="F37" s="120"/>
    </row>
    <row r="38" spans="1:6" x14ac:dyDescent="0.2">
      <c r="A38" s="120"/>
      <c r="B38" s="120"/>
      <c r="C38" s="120"/>
      <c r="D38" s="340"/>
      <c r="E38" s="120"/>
      <c r="F38" s="120"/>
    </row>
    <row r="39" spans="1:6" ht="15.75" x14ac:dyDescent="0.2">
      <c r="A39" s="120"/>
      <c r="B39" s="602" t="s">
        <v>262</v>
      </c>
      <c r="C39" s="576"/>
      <c r="D39" s="341">
        <f>IF(D37&gt;0,(D37*0.001),"")</f>
        <v>431.23599999999999</v>
      </c>
      <c r="E39" s="120"/>
      <c r="F39" s="120"/>
    </row>
    <row r="40" spans="1:6" x14ac:dyDescent="0.2">
      <c r="A40" s="120"/>
      <c r="B40" s="120"/>
      <c r="C40" s="120"/>
      <c r="D40" s="120"/>
      <c r="E40" s="120"/>
      <c r="F40" s="120"/>
    </row>
    <row r="41" spans="1:6" x14ac:dyDescent="0.2">
      <c r="A41" s="120"/>
      <c r="B41" s="120"/>
      <c r="C41" s="120"/>
      <c r="D41" s="120"/>
      <c r="E41" s="120"/>
      <c r="F41" s="120"/>
    </row>
    <row r="42" spans="1:6" ht="15.75" x14ac:dyDescent="0.25">
      <c r="A42" s="13" t="str">
        <f>CONCATENATE("**This information comes from the ",F1," Budget Summary page.  See instructions tab #11 for completing")</f>
        <v>**This information comes from the 2014 Budget Summary page.  See instructions tab #11 for completing</v>
      </c>
      <c r="B42" s="120"/>
      <c r="C42" s="120"/>
      <c r="D42" s="120"/>
      <c r="E42" s="120"/>
      <c r="F42" s="120"/>
    </row>
    <row r="43" spans="1:6" ht="15.75" x14ac:dyDescent="0.25">
      <c r="A43" s="13" t="s">
        <v>273</v>
      </c>
      <c r="B43" s="120"/>
      <c r="C43" s="120"/>
      <c r="D43" s="120"/>
      <c r="E43" s="120"/>
      <c r="F43" s="120"/>
    </row>
    <row r="44" spans="1:6" ht="15.75" x14ac:dyDescent="0.25">
      <c r="A44" s="13"/>
      <c r="B44" s="120"/>
      <c r="C44" s="120"/>
      <c r="D44" s="120"/>
      <c r="E44" s="120"/>
      <c r="F44" s="120"/>
    </row>
    <row r="45" spans="1:6" ht="15.75" x14ac:dyDescent="0.25">
      <c r="A45" s="13"/>
      <c r="B45" s="120"/>
      <c r="C45" s="120"/>
      <c r="D45" s="120"/>
      <c r="E45" s="120"/>
      <c r="F45" s="120"/>
    </row>
    <row r="46" spans="1:6" ht="15.75" x14ac:dyDescent="0.25">
      <c r="A46" s="13"/>
      <c r="B46" s="120"/>
      <c r="C46" s="120"/>
      <c r="D46" s="120"/>
      <c r="E46" s="120"/>
      <c r="F46" s="120"/>
    </row>
    <row r="47" spans="1:6" ht="15.75" x14ac:dyDescent="0.25">
      <c r="A47" s="13"/>
      <c r="B47" s="120"/>
      <c r="C47" s="120"/>
      <c r="D47" s="120"/>
      <c r="E47" s="120"/>
      <c r="F47" s="120"/>
    </row>
    <row r="48" spans="1:6" x14ac:dyDescent="0.2">
      <c r="A48" s="120"/>
      <c r="B48" s="120"/>
      <c r="C48" s="120"/>
      <c r="D48" s="120"/>
      <c r="E48" s="120"/>
      <c r="F48" s="120"/>
    </row>
    <row r="49" spans="1:6" x14ac:dyDescent="0.2">
      <c r="A49" s="120"/>
      <c r="B49" s="120"/>
      <c r="C49" s="120"/>
      <c r="D49" s="120"/>
      <c r="E49" s="120"/>
      <c r="F49" s="120"/>
    </row>
    <row r="50" spans="1:6" ht="15.75" x14ac:dyDescent="0.2">
      <c r="A50" s="120"/>
      <c r="B50" s="278" t="s">
        <v>108</v>
      </c>
      <c r="C50" s="295">
        <v>19</v>
      </c>
      <c r="D50" s="120"/>
      <c r="E50" s="120"/>
      <c r="F50" s="120"/>
    </row>
    <row r="51" spans="1:6" ht="15.75" x14ac:dyDescent="0.2">
      <c r="A51" s="103"/>
      <c r="B51" s="51"/>
      <c r="C51" s="51"/>
      <c r="D51" s="342"/>
      <c r="E51" s="103"/>
      <c r="F51" s="103"/>
    </row>
  </sheetData>
  <mergeCells count="5">
    <mergeCell ref="B39:C39"/>
    <mergeCell ref="B3:E3"/>
    <mergeCell ref="A33:C33"/>
    <mergeCell ref="B35:C35"/>
    <mergeCell ref="A37:C37"/>
  </mergeCells>
  <phoneticPr fontId="8" type="noConversion"/>
  <pageMargins left="0.75" right="0.75" top="1" bottom="1" header="0.5" footer="0.5"/>
  <pageSetup scale="78" orientation="portrait" blackAndWhite="1" r:id="rId1"/>
  <headerFooter alignWithMargins="0">
    <oddHeader>&amp;RState of Kansas
County</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H72"/>
  <sheetViews>
    <sheetView tabSelected="1" zoomScaleNormal="100" workbookViewId="0"/>
  </sheetViews>
  <sheetFormatPr defaultColWidth="9.77734375" defaultRowHeight="15.75" x14ac:dyDescent="0.25"/>
  <cols>
    <col min="1" max="16384" width="9.77734375" style="19"/>
  </cols>
  <sheetData>
    <row r="1" spans="1:8" ht="11.25" customHeight="1" x14ac:dyDescent="0.25">
      <c r="A1" s="15"/>
      <c r="B1" s="16"/>
      <c r="C1" s="16"/>
      <c r="D1" s="16"/>
      <c r="E1" s="16"/>
      <c r="F1" s="16"/>
      <c r="G1" s="17"/>
      <c r="H1" s="18"/>
    </row>
    <row r="2" spans="1:8" ht="15.75" customHeight="1" x14ac:dyDescent="0.25">
      <c r="A2" s="605" t="s">
        <v>212</v>
      </c>
      <c r="B2" s="605"/>
      <c r="C2" s="605"/>
      <c r="D2" s="605"/>
      <c r="E2" s="605"/>
      <c r="F2" s="605"/>
      <c r="G2" s="605"/>
      <c r="H2" s="605"/>
    </row>
    <row r="3" spans="1:8" ht="9" customHeight="1" x14ac:dyDescent="0.25">
      <c r="A3" s="15"/>
      <c r="B3" s="32"/>
      <c r="C3" s="32"/>
      <c r="D3" s="32"/>
      <c r="E3" s="32"/>
      <c r="F3" s="32"/>
      <c r="G3" s="20"/>
      <c r="H3" s="33"/>
    </row>
    <row r="4" spans="1:8" ht="15.75" customHeight="1" x14ac:dyDescent="0.25">
      <c r="A4" s="606" t="s">
        <v>213</v>
      </c>
      <c r="B4" s="606"/>
      <c r="C4" s="606"/>
      <c r="D4" s="606"/>
      <c r="E4" s="606"/>
      <c r="F4" s="606"/>
      <c r="G4" s="606"/>
      <c r="H4" s="606"/>
    </row>
    <row r="5" spans="1:8" ht="9" customHeight="1" x14ac:dyDescent="0.25">
      <c r="A5" s="21"/>
      <c r="B5" s="32"/>
      <c r="C5" s="32"/>
      <c r="D5" s="32"/>
      <c r="E5" s="32"/>
      <c r="F5" s="32"/>
      <c r="G5" s="32"/>
      <c r="H5" s="33"/>
    </row>
    <row r="6" spans="1:8" ht="15.75" customHeight="1" x14ac:dyDescent="0.25">
      <c r="A6" s="22" t="str">
        <f>CONCATENATE("A resolution expressing the property taxation policy of the Board of ",(inputPrYr!C2)," Commissioners")</f>
        <v>A resolution expressing the property taxation policy of the Board of Edwards County Commissioners</v>
      </c>
      <c r="B6" s="32"/>
      <c r="C6" s="32"/>
      <c r="D6" s="32"/>
      <c r="E6" s="32"/>
      <c r="F6" s="32"/>
      <c r="G6" s="32"/>
      <c r="H6" s="33"/>
    </row>
    <row r="7" spans="1:8" ht="15.75" customHeight="1" x14ac:dyDescent="0.25">
      <c r="A7" s="22" t="str">
        <f>CONCATENATE("with respect to financing the ",inputPrYr!C4," annual budget for ",(inputPrYr!E2)," .")</f>
        <v>with respect to financing the 2014 annual budget for  .</v>
      </c>
      <c r="B7" s="32"/>
      <c r="C7" s="32"/>
      <c r="D7" s="32"/>
      <c r="E7" s="32"/>
      <c r="F7" s="32"/>
      <c r="G7" s="32"/>
      <c r="H7" s="33"/>
    </row>
    <row r="8" spans="1:8" ht="9" customHeight="1" x14ac:dyDescent="0.25">
      <c r="A8" s="15"/>
      <c r="B8" s="32"/>
      <c r="C8" s="32"/>
      <c r="D8" s="32"/>
      <c r="E8" s="32"/>
      <c r="F8" s="32"/>
      <c r="G8" s="32"/>
      <c r="H8" s="33"/>
    </row>
    <row r="9" spans="1:8" ht="15.75" customHeight="1" x14ac:dyDescent="0.25">
      <c r="A9" s="23" t="str">
        <f>CONCATENATE("Whereas, K.S.A. 79-2925b provides that a resolution be adopted if property taxes levied to finance the ",inputPrYr!C4,"")</f>
        <v>Whereas, K.S.A. 79-2925b provides that a resolution be adopted if property taxes levied to finance the 2014</v>
      </c>
      <c r="B9" s="32"/>
      <c r="C9" s="32"/>
      <c r="D9" s="32"/>
      <c r="E9" s="32"/>
      <c r="F9" s="32"/>
      <c r="G9" s="32"/>
      <c r="H9" s="33"/>
    </row>
    <row r="10" spans="1:8" ht="15.75" customHeight="1" x14ac:dyDescent="0.25">
      <c r="A10" s="608" t="str">
        <f>CONCATENATE("",(inputPrYr!C2)," budget exceed the amount levied to finance the ",inputPrYr!C4-1," ",(inputPrYr!C2)," ",A16,)</f>
        <v>Edwards County budget exceed the amount levied to finance the 2013 Edwards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608"/>
      <c r="C10" s="608"/>
      <c r="D10" s="608"/>
      <c r="E10" s="608"/>
      <c r="F10" s="608"/>
      <c r="G10" s="608"/>
      <c r="H10" s="608"/>
    </row>
    <row r="11" spans="1:8" ht="15.75" customHeight="1" x14ac:dyDescent="0.25">
      <c r="A11" s="608"/>
      <c r="B11" s="608"/>
      <c r="C11" s="608"/>
      <c r="D11" s="608"/>
      <c r="E11" s="608"/>
      <c r="F11" s="608"/>
      <c r="G11" s="608"/>
      <c r="H11" s="608"/>
    </row>
    <row r="12" spans="1:8" ht="15.75" customHeight="1" x14ac:dyDescent="0.25">
      <c r="A12" s="608"/>
      <c r="B12" s="608"/>
      <c r="C12" s="608"/>
      <c r="D12" s="608"/>
      <c r="E12" s="608"/>
      <c r="F12" s="608"/>
      <c r="G12" s="608"/>
      <c r="H12" s="608"/>
    </row>
    <row r="13" spans="1:8" ht="15.75" customHeight="1" x14ac:dyDescent="0.25">
      <c r="A13" s="608"/>
      <c r="B13" s="608"/>
      <c r="C13" s="608"/>
      <c r="D13" s="608"/>
      <c r="E13" s="608"/>
      <c r="F13" s="608"/>
      <c r="G13" s="608"/>
      <c r="H13" s="608"/>
    </row>
    <row r="14" spans="1:8" ht="15.75" customHeight="1" x14ac:dyDescent="0.25">
      <c r="A14" s="608"/>
      <c r="B14" s="608"/>
      <c r="C14" s="608"/>
      <c r="D14" s="608"/>
      <c r="E14" s="608"/>
      <c r="F14" s="608"/>
      <c r="G14" s="608"/>
      <c r="H14" s="608"/>
    </row>
    <row r="15" spans="1:8" ht="15.75" customHeight="1" x14ac:dyDescent="0.25">
      <c r="A15" s="608"/>
      <c r="B15" s="608"/>
      <c r="C15" s="608"/>
      <c r="D15" s="608"/>
      <c r="E15" s="608"/>
      <c r="F15" s="608"/>
      <c r="G15" s="608"/>
      <c r="H15" s="608"/>
    </row>
    <row r="16" spans="1:8" ht="9" customHeight="1" x14ac:dyDescent="0.25">
      <c r="A16" s="34" t="s">
        <v>234</v>
      </c>
      <c r="B16" s="32"/>
      <c r="C16" s="32"/>
      <c r="D16" s="32"/>
      <c r="E16" s="32"/>
      <c r="F16" s="32"/>
      <c r="G16" s="32"/>
      <c r="H16" s="33" t="s">
        <v>109</v>
      </c>
    </row>
    <row r="17" spans="1:8" ht="15.75" customHeight="1" x14ac:dyDescent="0.25">
      <c r="A17" s="608" t="s">
        <v>214</v>
      </c>
      <c r="B17" s="608"/>
      <c r="C17" s="608"/>
      <c r="D17" s="608"/>
      <c r="E17" s="608"/>
      <c r="F17" s="608"/>
      <c r="G17" s="608"/>
      <c r="H17" s="608"/>
    </row>
    <row r="18" spans="1:8" ht="15.75" customHeight="1" x14ac:dyDescent="0.25">
      <c r="A18" s="608"/>
      <c r="B18" s="608"/>
      <c r="C18" s="608"/>
      <c r="D18" s="608"/>
      <c r="E18" s="608"/>
      <c r="F18" s="608"/>
      <c r="G18" s="608"/>
      <c r="H18" s="608"/>
    </row>
    <row r="19" spans="1:8" ht="9" customHeight="1" x14ac:dyDescent="0.25">
      <c r="A19" s="21"/>
      <c r="B19" s="32"/>
      <c r="C19" s="32"/>
      <c r="D19" s="32"/>
      <c r="E19" s="32"/>
      <c r="F19" s="32"/>
      <c r="G19" s="32"/>
      <c r="H19" s="33"/>
    </row>
    <row r="20" spans="1:8" ht="15.75" customHeight="1" x14ac:dyDescent="0.25">
      <c r="A20" s="608" t="str">
        <f>CONCATENATE("Whereas, ",(inputPrYr!C2)," provides the essential services to protect the health, safety, and well being of the citizens of the county; and")</f>
        <v>Whereas, Edwards County provides the essential services to protect the health, safety, and well being of the citizens of the county; and</v>
      </c>
      <c r="B20" s="608"/>
      <c r="C20" s="608"/>
      <c r="D20" s="608"/>
      <c r="E20" s="608"/>
      <c r="F20" s="608"/>
      <c r="G20" s="608"/>
      <c r="H20" s="608"/>
    </row>
    <row r="21" spans="1:8" ht="15.75" customHeight="1" x14ac:dyDescent="0.25">
      <c r="A21" s="608"/>
      <c r="B21" s="608"/>
      <c r="C21" s="608"/>
      <c r="D21" s="608"/>
      <c r="E21" s="608"/>
      <c r="F21" s="608"/>
      <c r="G21" s="608"/>
      <c r="H21" s="608"/>
    </row>
    <row r="22" spans="1:8" ht="9" customHeight="1" x14ac:dyDescent="0.25">
      <c r="A22" s="24"/>
      <c r="B22" s="32"/>
      <c r="C22" s="32"/>
      <c r="D22" s="32"/>
      <c r="E22" s="32"/>
      <c r="F22" s="32"/>
      <c r="G22" s="32"/>
      <c r="H22" s="33"/>
    </row>
    <row r="23" spans="1:8" ht="15.75" customHeight="1" x14ac:dyDescent="0.25">
      <c r="A23" s="24" t="s">
        <v>215</v>
      </c>
      <c r="B23" s="32"/>
      <c r="C23" s="32"/>
      <c r="D23" s="32"/>
      <c r="E23" s="32"/>
      <c r="F23" s="32"/>
      <c r="G23" s="32"/>
      <c r="H23" s="33"/>
    </row>
    <row r="24" spans="1:8" ht="9" customHeight="1" x14ac:dyDescent="0.25">
      <c r="A24" s="21"/>
      <c r="B24" s="32"/>
      <c r="C24" s="32"/>
      <c r="D24" s="32"/>
      <c r="E24" s="32"/>
      <c r="F24" s="32"/>
      <c r="G24" s="32"/>
      <c r="H24" s="33"/>
    </row>
    <row r="25" spans="1:8" ht="15.75" customHeight="1" x14ac:dyDescent="0.25">
      <c r="A25" s="608" t="str">
        <f>CONCATENATE("Whereas, the ",inputPrYr!C4-1," Kansas State Legislature failed to fulfill its obligations in regard to the statutory funding of demand transfers and, by significantly ", A28," ",(inputPrYr!C2),B28)</f>
        <v>Whereas, the 2013 Kansas State Legislature failed to fulfill its obligations in regard to the statutory funding of demand transfers and, by significantly limiting state revenue sharing payments to counties, has contributed to higher county property tax levies to finance the 2014 Edwards County budget.</v>
      </c>
      <c r="B25" s="608"/>
      <c r="C25" s="608"/>
      <c r="D25" s="608"/>
      <c r="E25" s="608"/>
      <c r="F25" s="608"/>
      <c r="G25" s="608"/>
      <c r="H25" s="608"/>
    </row>
    <row r="26" spans="1:8" ht="15.75" customHeight="1" x14ac:dyDescent="0.25">
      <c r="A26" s="608"/>
      <c r="B26" s="608"/>
      <c r="C26" s="608"/>
      <c r="D26" s="608"/>
      <c r="E26" s="608"/>
      <c r="F26" s="608"/>
      <c r="G26" s="608"/>
      <c r="H26" s="608"/>
    </row>
    <row r="27" spans="1:8" ht="15.75" customHeight="1" x14ac:dyDescent="0.25">
      <c r="A27" s="608"/>
      <c r="B27" s="608"/>
      <c r="C27" s="608"/>
      <c r="D27" s="608"/>
      <c r="E27" s="608"/>
      <c r="F27" s="608"/>
      <c r="G27" s="608"/>
      <c r="H27" s="608"/>
    </row>
    <row r="28" spans="1:8" ht="9" customHeight="1" x14ac:dyDescent="0.25">
      <c r="A28" s="25" t="str">
        <f>CONCATENATE("limiting state revenue sharing payments to counties, has contributed to higher county property tax levies to finance the ",inputPrYr!C4,"")</f>
        <v>limiting state revenue sharing payments to counties, has contributed to higher county property tax levies to finance the 2014</v>
      </c>
      <c r="B28" s="35" t="s">
        <v>235</v>
      </c>
      <c r="C28" s="3"/>
      <c r="D28" s="3"/>
      <c r="E28" s="3"/>
      <c r="F28" s="3"/>
      <c r="G28" s="3"/>
      <c r="H28" s="36"/>
    </row>
    <row r="29" spans="1:8" ht="15.75" customHeight="1" x14ac:dyDescent="0.25">
      <c r="A29" s="608" t="str">
        <f>CONCATENATE("NOW, THEREFORE, BE IT RESOLVED by the Board of ",(inputPrYr!C2)," Commissioners that is our desire to notify the public of the possibility of increased property taxes to finance the ",inputPrYr!C4," ",(inputPrYr!C2)," budget due to the above mentioned constraints, and that all persons are invited and encouraged to attend budget meeting conducted by the Board of ",(inputPrYr!C2)," Commissioners.  The date and time of budget hearings with the Board of ",(inputPrYr!C2), A38,)</f>
        <v xml:space="preserve">NOW, THEREFORE, BE IT RESOLVED by the Board of Edwards County Commissioners that is our desire to notify the public of the possibility of increased property taxes to finance the 2014 Edwards County budget due to the above mentioned constraints, and that all persons are invited and encouraged to attend budget meeting conducted by the Board of Edwards County Commissioners.  The date and time of budget hearings with the Board of Edwards County Commissioners will be published in the _________ (newspaper).   Interested persons can also address questions concerning the budget to __________ (office) _______ by calling ___________ between the hours of ________ a.m. to ________ p.m., Monday through Fridays, excluding holidays.  </v>
      </c>
      <c r="B29" s="608"/>
      <c r="C29" s="608"/>
      <c r="D29" s="608"/>
      <c r="E29" s="608"/>
      <c r="F29" s="608"/>
      <c r="G29" s="608"/>
      <c r="H29" s="608"/>
    </row>
    <row r="30" spans="1:8" ht="15.75" customHeight="1" x14ac:dyDescent="0.25">
      <c r="A30" s="608"/>
      <c r="B30" s="608"/>
      <c r="C30" s="608"/>
      <c r="D30" s="608"/>
      <c r="E30" s="608"/>
      <c r="F30" s="608"/>
      <c r="G30" s="608"/>
      <c r="H30" s="608"/>
    </row>
    <row r="31" spans="1:8" ht="15.75" customHeight="1" x14ac:dyDescent="0.25">
      <c r="A31" s="608"/>
      <c r="B31" s="608"/>
      <c r="C31" s="608"/>
      <c r="D31" s="608"/>
      <c r="E31" s="608"/>
      <c r="F31" s="608"/>
      <c r="G31" s="608"/>
      <c r="H31" s="608"/>
    </row>
    <row r="32" spans="1:8" ht="15.75" customHeight="1" x14ac:dyDescent="0.25">
      <c r="A32" s="608"/>
      <c r="B32" s="608"/>
      <c r="C32" s="608"/>
      <c r="D32" s="608"/>
      <c r="E32" s="608"/>
      <c r="F32" s="608"/>
      <c r="G32" s="608"/>
      <c r="H32" s="608"/>
    </row>
    <row r="33" spans="1:8" ht="15.75" customHeight="1" x14ac:dyDescent="0.25">
      <c r="A33" s="608"/>
      <c r="B33" s="608"/>
      <c r="C33" s="608"/>
      <c r="D33" s="608"/>
      <c r="E33" s="608"/>
      <c r="F33" s="608"/>
      <c r="G33" s="608"/>
      <c r="H33" s="608"/>
    </row>
    <row r="34" spans="1:8" ht="15.75" customHeight="1" x14ac:dyDescent="0.25">
      <c r="A34" s="608"/>
      <c r="B34" s="608"/>
      <c r="C34" s="608"/>
      <c r="D34" s="608"/>
      <c r="E34" s="608"/>
      <c r="F34" s="608"/>
      <c r="G34" s="608"/>
      <c r="H34" s="608"/>
    </row>
    <row r="35" spans="1:8" ht="15.75" customHeight="1" x14ac:dyDescent="0.25">
      <c r="A35" s="608"/>
      <c r="B35" s="608"/>
      <c r="C35" s="608"/>
      <c r="D35" s="608"/>
      <c r="E35" s="608"/>
      <c r="F35" s="608"/>
      <c r="G35" s="608"/>
      <c r="H35" s="608"/>
    </row>
    <row r="36" spans="1:8" ht="15.75" customHeight="1" x14ac:dyDescent="0.25">
      <c r="A36" s="608"/>
      <c r="B36" s="608"/>
      <c r="C36" s="608"/>
      <c r="D36" s="608"/>
      <c r="E36" s="608"/>
      <c r="F36" s="608"/>
      <c r="G36" s="608"/>
      <c r="H36" s="608"/>
    </row>
    <row r="37" spans="1:8" ht="15.75" customHeight="1" x14ac:dyDescent="0.25">
      <c r="A37" s="608"/>
      <c r="B37" s="608"/>
      <c r="C37" s="608"/>
      <c r="D37" s="608"/>
      <c r="E37" s="608"/>
      <c r="F37" s="608"/>
      <c r="G37" s="608"/>
      <c r="H37" s="608"/>
    </row>
    <row r="38" spans="1:8" ht="15.75" customHeight="1" x14ac:dyDescent="0.25">
      <c r="A38" s="26" t="s">
        <v>242</v>
      </c>
      <c r="B38" s="3"/>
      <c r="C38" s="3"/>
      <c r="D38" s="3"/>
      <c r="E38" s="3"/>
      <c r="F38" s="3"/>
      <c r="G38" s="3"/>
      <c r="H38" s="36" t="s">
        <v>109</v>
      </c>
    </row>
    <row r="39" spans="1:8" ht="15.75" customHeight="1" x14ac:dyDescent="0.25">
      <c r="A39" s="607" t="str">
        <f>CONCATENATE("                                                 Adopted this _________ day of ___________, ",inputPrYr!C4-1," by the Board of ",(inputPrYr!C2)," Commissioners.")</f>
        <v xml:space="preserve">                                                 Adopted this _________ day of ___________, 2013 by the Board of Edwards County Commissioners.</v>
      </c>
      <c r="B39" s="607"/>
      <c r="C39" s="607"/>
      <c r="D39" s="607"/>
      <c r="E39" s="607"/>
      <c r="F39" s="607"/>
      <c r="G39" s="607"/>
      <c r="H39" s="607"/>
    </row>
    <row r="40" spans="1:8" ht="15.75" customHeight="1" x14ac:dyDescent="0.25">
      <c r="A40" s="607"/>
      <c r="B40" s="607"/>
      <c r="C40" s="607"/>
      <c r="D40" s="607"/>
      <c r="E40" s="607"/>
      <c r="F40" s="607"/>
      <c r="G40" s="607"/>
      <c r="H40" s="607"/>
    </row>
    <row r="41" spans="1:8" ht="15.75" customHeight="1" x14ac:dyDescent="0.25">
      <c r="A41" s="3"/>
      <c r="B41" s="3"/>
      <c r="C41" s="3"/>
      <c r="D41" s="3"/>
      <c r="E41" s="609" t="s">
        <v>216</v>
      </c>
      <c r="F41" s="609"/>
      <c r="G41" s="609"/>
      <c r="H41" s="609"/>
    </row>
    <row r="42" spans="1:8" ht="15.75" customHeight="1" x14ac:dyDescent="0.25">
      <c r="A42" s="27"/>
      <c r="B42" s="3"/>
      <c r="C42" s="3"/>
      <c r="D42" s="3"/>
      <c r="E42" s="609"/>
      <c r="F42" s="609"/>
      <c r="G42" s="609"/>
      <c r="H42" s="609"/>
    </row>
    <row r="43" spans="1:8" ht="15.75" customHeight="1" x14ac:dyDescent="0.25">
      <c r="A43" s="3"/>
      <c r="B43" s="3"/>
      <c r="C43" s="3"/>
      <c r="D43" s="3"/>
      <c r="E43" s="609" t="s">
        <v>217</v>
      </c>
      <c r="F43" s="609"/>
      <c r="G43" s="609"/>
      <c r="H43" s="609"/>
    </row>
    <row r="44" spans="1:8" ht="15.75" customHeight="1" x14ac:dyDescent="0.25">
      <c r="A44" s="27"/>
      <c r="B44" s="3"/>
      <c r="C44" s="3"/>
      <c r="D44" s="3"/>
      <c r="E44" s="609"/>
      <c r="F44" s="609"/>
      <c r="G44" s="609"/>
      <c r="H44" s="609"/>
    </row>
    <row r="45" spans="1:8" ht="15.75" customHeight="1" x14ac:dyDescent="0.25">
      <c r="A45" s="3"/>
      <c r="B45" s="3"/>
      <c r="C45" s="3"/>
      <c r="D45" s="3"/>
      <c r="E45" s="609" t="s">
        <v>217</v>
      </c>
      <c r="F45" s="609"/>
      <c r="G45" s="609"/>
      <c r="H45" s="609"/>
    </row>
    <row r="46" spans="1:8" ht="15.75" customHeight="1" x14ac:dyDescent="0.25">
      <c r="A46" s="27"/>
      <c r="B46" s="3"/>
      <c r="C46" s="3"/>
      <c r="D46" s="3"/>
      <c r="E46" s="609"/>
      <c r="F46" s="609"/>
      <c r="G46" s="609"/>
      <c r="H46" s="609"/>
    </row>
    <row r="47" spans="1:8" ht="15.75" customHeight="1" x14ac:dyDescent="0.25">
      <c r="A47" s="3"/>
      <c r="B47" s="3"/>
      <c r="C47" s="3"/>
      <c r="D47" s="3"/>
      <c r="E47" s="609" t="s">
        <v>217</v>
      </c>
      <c r="F47" s="609"/>
      <c r="G47" s="609"/>
      <c r="H47" s="609"/>
    </row>
    <row r="48" spans="1:8" ht="15.75" customHeight="1" x14ac:dyDescent="0.25">
      <c r="A48" s="27"/>
      <c r="B48" s="3"/>
      <c r="C48" s="3"/>
      <c r="D48" s="3"/>
      <c r="E48" s="3"/>
      <c r="F48" s="3"/>
      <c r="G48" s="3"/>
      <c r="H48" s="36"/>
    </row>
    <row r="49" spans="1:8" ht="15.75" customHeight="1" x14ac:dyDescent="0.25">
      <c r="A49" s="27" t="s">
        <v>218</v>
      </c>
      <c r="B49" s="3"/>
      <c r="C49" s="3"/>
      <c r="D49" s="3"/>
      <c r="E49" s="3"/>
      <c r="F49" s="3"/>
      <c r="G49" s="3"/>
      <c r="H49" s="36"/>
    </row>
    <row r="50" spans="1:8" ht="15.75" customHeight="1" x14ac:dyDescent="0.25">
      <c r="A50" s="27"/>
      <c r="B50" s="3"/>
      <c r="C50" s="3"/>
      <c r="D50" s="3"/>
      <c r="E50" s="3"/>
      <c r="F50" s="3"/>
      <c r="G50" s="27"/>
      <c r="H50" s="36"/>
    </row>
    <row r="51" spans="1:8" ht="15.75" customHeight="1" x14ac:dyDescent="0.25">
      <c r="A51" s="28" t="s">
        <v>219</v>
      </c>
      <c r="B51" s="2"/>
      <c r="C51" s="2"/>
      <c r="D51" s="2"/>
      <c r="E51" s="2"/>
      <c r="F51" s="2"/>
      <c r="G51" s="27"/>
      <c r="H51" s="36"/>
    </row>
    <row r="52" spans="1:8" ht="15.75" customHeight="1" x14ac:dyDescent="0.25">
      <c r="A52" s="609" t="s">
        <v>220</v>
      </c>
      <c r="B52" s="609"/>
      <c r="C52" s="609"/>
      <c r="D52" s="2"/>
      <c r="E52" s="2"/>
      <c r="F52" s="2"/>
      <c r="G52" s="27"/>
      <c r="H52" s="36"/>
    </row>
    <row r="53" spans="1:8" ht="15.75" customHeight="1" x14ac:dyDescent="0.25">
      <c r="A53" s="28"/>
      <c r="B53" s="2"/>
      <c r="C53" s="2"/>
      <c r="D53" s="2"/>
      <c r="E53" s="2"/>
      <c r="F53" s="2"/>
      <c r="G53" s="27"/>
      <c r="H53" s="36"/>
    </row>
    <row r="54" spans="1:8" ht="15.75" customHeight="1" x14ac:dyDescent="0.25">
      <c r="A54" s="28"/>
      <c r="B54" s="2"/>
      <c r="C54" s="2"/>
      <c r="D54" s="2"/>
      <c r="E54" s="2"/>
      <c r="F54" s="2"/>
      <c r="G54" s="27"/>
      <c r="H54" s="36"/>
    </row>
    <row r="55" spans="1:8" ht="15.75" customHeight="1" x14ac:dyDescent="0.25">
      <c r="A55" s="29" t="s">
        <v>221</v>
      </c>
      <c r="B55" s="2"/>
      <c r="C55" s="2"/>
      <c r="D55" s="37" t="s">
        <v>108</v>
      </c>
      <c r="E55" s="4">
        <v>20</v>
      </c>
      <c r="F55" s="2"/>
      <c r="G55" s="27"/>
      <c r="H55" s="36"/>
    </row>
    <row r="56" spans="1:8" ht="15" customHeight="1" x14ac:dyDescent="0.25">
      <c r="A56" s="36"/>
      <c r="B56" s="36"/>
      <c r="C56" s="36"/>
      <c r="D56" s="36"/>
      <c r="E56" s="36"/>
      <c r="F56" s="36"/>
      <c r="G56" s="36"/>
      <c r="H56" s="36"/>
    </row>
    <row r="57" spans="1:8" ht="15" customHeight="1" x14ac:dyDescent="0.25">
      <c r="A57" s="36"/>
      <c r="B57" s="36"/>
      <c r="C57" s="36"/>
      <c r="D57" s="36"/>
      <c r="E57" s="36"/>
      <c r="F57" s="36"/>
      <c r="G57" s="36"/>
      <c r="H57" s="36"/>
    </row>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sheetData>
  <sheetProtection sheet="1"/>
  <mergeCells count="16">
    <mergeCell ref="E45:H45"/>
    <mergeCell ref="E46:H46"/>
    <mergeCell ref="E47:H47"/>
    <mergeCell ref="A52:C52"/>
    <mergeCell ref="E41:H41"/>
    <mergeCell ref="E42:H42"/>
    <mergeCell ref="E43:H43"/>
    <mergeCell ref="E44:H44"/>
    <mergeCell ref="A2:H2"/>
    <mergeCell ref="A4:H4"/>
    <mergeCell ref="A39:H40"/>
    <mergeCell ref="A10:H15"/>
    <mergeCell ref="A29:H37"/>
    <mergeCell ref="A17:H18"/>
    <mergeCell ref="A20:H21"/>
    <mergeCell ref="A25:H27"/>
  </mergeCells>
  <phoneticPr fontId="10" type="noConversion"/>
  <pageMargins left="0.37" right="0.27" top="0.5" bottom="0.51" header="0.5" footer="0.5"/>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activeCell="A2" sqref="A2:F2"/>
    </sheetView>
  </sheetViews>
  <sheetFormatPr defaultRowHeight="15" x14ac:dyDescent="0.2"/>
  <cols>
    <col min="1" max="1" width="13.77734375" customWidth="1"/>
    <col min="2" max="2" width="16.109375" customWidth="1"/>
  </cols>
  <sheetData>
    <row r="1" spans="1:10" x14ac:dyDescent="0.2">
      <c r="J1" s="427" t="s">
        <v>301</v>
      </c>
    </row>
    <row r="2" spans="1:10" ht="54" customHeight="1" x14ac:dyDescent="0.2">
      <c r="A2" s="540" t="s">
        <v>263</v>
      </c>
      <c r="B2" s="541"/>
      <c r="C2" s="541"/>
      <c r="D2" s="541"/>
      <c r="E2" s="541"/>
      <c r="F2" s="541"/>
      <c r="J2" s="427" t="s">
        <v>302</v>
      </c>
    </row>
    <row r="3" spans="1:10" ht="15.75" x14ac:dyDescent="0.25">
      <c r="A3" s="2" t="s">
        <v>299</v>
      </c>
      <c r="B3" s="500" t="s">
        <v>444</v>
      </c>
      <c r="J3" s="427" t="s">
        <v>303</v>
      </c>
    </row>
    <row r="4" spans="1:10" ht="15.75" x14ac:dyDescent="0.25">
      <c r="A4" s="346"/>
      <c r="B4" s="346"/>
      <c r="C4" s="346"/>
      <c r="D4" s="525" t="s">
        <v>300</v>
      </c>
      <c r="E4" s="346"/>
      <c r="F4" s="346"/>
      <c r="J4" s="427" t="s">
        <v>304</v>
      </c>
    </row>
    <row r="5" spans="1:10" ht="15.75" x14ac:dyDescent="0.25">
      <c r="A5" s="347" t="s">
        <v>264</v>
      </c>
      <c r="B5" s="348" t="s">
        <v>462</v>
      </c>
      <c r="C5" s="349"/>
      <c r="D5" s="525" t="str">
        <f ca="1">IF(B5="","",CONCATENATE("Latest date for notice to be published in your newspaper: ",G18," ",G22,", ",G23))</f>
        <v>Latest date for notice to be published in your newspaper: July 19, 2013</v>
      </c>
      <c r="E5" s="346"/>
      <c r="F5" s="346"/>
      <c r="J5" s="427" t="s">
        <v>305</v>
      </c>
    </row>
    <row r="6" spans="1:10" ht="15.75" x14ac:dyDescent="0.25">
      <c r="A6" s="347"/>
      <c r="B6" s="350"/>
      <c r="C6" s="351"/>
      <c r="D6" s="347"/>
      <c r="E6" s="346"/>
      <c r="F6" s="346"/>
      <c r="J6" s="427" t="s">
        <v>306</v>
      </c>
    </row>
    <row r="7" spans="1:10" ht="15.75" x14ac:dyDescent="0.25">
      <c r="A7" s="347" t="s">
        <v>265</v>
      </c>
      <c r="B7" s="348" t="s">
        <v>445</v>
      </c>
      <c r="C7" s="352"/>
      <c r="D7" s="347"/>
      <c r="E7" s="346"/>
      <c r="F7" s="346"/>
      <c r="J7" s="427" t="s">
        <v>307</v>
      </c>
    </row>
    <row r="8" spans="1:10" ht="15.75" x14ac:dyDescent="0.25">
      <c r="A8" s="347"/>
      <c r="B8" s="347"/>
      <c r="C8" s="347"/>
      <c r="D8" s="347"/>
      <c r="E8" s="346"/>
      <c r="F8" s="346"/>
      <c r="J8" s="427" t="s">
        <v>308</v>
      </c>
    </row>
    <row r="9" spans="1:10" ht="15.75" x14ac:dyDescent="0.25">
      <c r="A9" s="347" t="s">
        <v>266</v>
      </c>
      <c r="B9" s="353" t="s">
        <v>446</v>
      </c>
      <c r="C9" s="353"/>
      <c r="D9" s="353"/>
      <c r="E9" s="354"/>
      <c r="F9" s="346"/>
      <c r="J9" s="427" t="s">
        <v>309</v>
      </c>
    </row>
    <row r="10" spans="1:10" ht="15.75" x14ac:dyDescent="0.25">
      <c r="A10" s="347"/>
      <c r="B10" s="347"/>
      <c r="C10" s="347"/>
      <c r="D10" s="347"/>
      <c r="E10" s="346"/>
      <c r="F10" s="346"/>
      <c r="J10" s="427" t="s">
        <v>310</v>
      </c>
    </row>
    <row r="11" spans="1:10" ht="15.75" x14ac:dyDescent="0.25">
      <c r="A11" s="347"/>
      <c r="B11" s="347"/>
      <c r="C11" s="347"/>
      <c r="D11" s="347"/>
      <c r="E11" s="346"/>
      <c r="F11" s="346"/>
      <c r="J11" s="427" t="s">
        <v>311</v>
      </c>
    </row>
    <row r="12" spans="1:10" ht="15.75" x14ac:dyDescent="0.25">
      <c r="A12" s="347" t="s">
        <v>268</v>
      </c>
      <c r="B12" s="353" t="s">
        <v>447</v>
      </c>
      <c r="C12" s="353"/>
      <c r="D12" s="353"/>
      <c r="E12" s="354"/>
      <c r="F12" s="346"/>
      <c r="J12" s="427" t="s">
        <v>312</v>
      </c>
    </row>
    <row r="15" spans="1:10" ht="15.75" x14ac:dyDescent="0.25">
      <c r="A15" s="542" t="s">
        <v>269</v>
      </c>
      <c r="B15" s="542"/>
      <c r="C15" s="347"/>
      <c r="D15" s="347"/>
      <c r="E15" s="347"/>
      <c r="F15" s="346"/>
    </row>
    <row r="16" spans="1:10" ht="15.75" x14ac:dyDescent="0.25">
      <c r="A16" s="347"/>
      <c r="B16" s="347"/>
      <c r="C16" s="347"/>
      <c r="D16" s="347"/>
      <c r="E16" s="347"/>
      <c r="F16" s="346"/>
    </row>
    <row r="17" spans="1:7" ht="15.75" x14ac:dyDescent="0.2">
      <c r="A17" s="347" t="s">
        <v>264</v>
      </c>
      <c r="B17" s="350" t="s">
        <v>270</v>
      </c>
      <c r="C17" s="347"/>
      <c r="D17" s="347"/>
      <c r="E17" s="347"/>
    </row>
    <row r="18" spans="1:7" ht="15.75" x14ac:dyDescent="0.2">
      <c r="A18" s="347"/>
      <c r="B18" s="347"/>
      <c r="C18" s="347"/>
      <c r="D18" s="347"/>
      <c r="E18" s="347"/>
      <c r="G18" s="427" t="str">
        <f ca="1">IF(B5="","",INDIRECT(G19))</f>
        <v>July</v>
      </c>
    </row>
    <row r="19" spans="1:7" ht="15.75" x14ac:dyDescent="0.25">
      <c r="A19" s="347" t="s">
        <v>265</v>
      </c>
      <c r="B19" s="347" t="s">
        <v>271</v>
      </c>
      <c r="C19" s="347"/>
      <c r="D19" s="347"/>
      <c r="E19" s="347"/>
      <c r="G19" s="428" t="str">
        <f>IF(B5="","",CONCATENATE("J",G21))</f>
        <v>J7</v>
      </c>
    </row>
    <row r="20" spans="1:7" ht="15.75" x14ac:dyDescent="0.2">
      <c r="A20" s="347"/>
      <c r="B20" s="347"/>
      <c r="C20" s="347"/>
      <c r="D20" s="347"/>
      <c r="E20" s="347"/>
      <c r="G20" s="429">
        <f>B5-10</f>
        <v>41474</v>
      </c>
    </row>
    <row r="21" spans="1:7" ht="15.75" x14ac:dyDescent="0.2">
      <c r="A21" s="347" t="s">
        <v>266</v>
      </c>
      <c r="B21" s="347" t="s">
        <v>267</v>
      </c>
      <c r="C21" s="347"/>
      <c r="D21" s="347"/>
      <c r="E21" s="347"/>
      <c r="G21" s="430">
        <f>IF(B5="","",MONTH(G20))</f>
        <v>7</v>
      </c>
    </row>
    <row r="22" spans="1:7" ht="15.75" x14ac:dyDescent="0.2">
      <c r="A22" s="347"/>
      <c r="B22" s="347"/>
      <c r="C22" s="347"/>
      <c r="D22" s="347"/>
      <c r="E22" s="347"/>
      <c r="G22" s="431">
        <f>IF(B5="","",DAY(G20))</f>
        <v>19</v>
      </c>
    </row>
    <row r="23" spans="1:7" ht="15.75" x14ac:dyDescent="0.2">
      <c r="A23" s="347" t="s">
        <v>268</v>
      </c>
      <c r="B23" s="347" t="s">
        <v>267</v>
      </c>
      <c r="C23" s="347"/>
      <c r="D23" s="347"/>
      <c r="E23" s="347"/>
      <c r="G23" s="432">
        <f>IF(B5="","",YEAR(G20))</f>
        <v>2013</v>
      </c>
    </row>
  </sheetData>
  <mergeCells count="2">
    <mergeCell ref="A2:F2"/>
    <mergeCell ref="A15:B15"/>
  </mergeCells>
  <pageMargins left="0.7" right="0.7" top="0.75" bottom="0.75" header="0.3" footer="0.3"/>
  <pageSetup scale="75"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57"/>
  <sheetViews>
    <sheetView topLeftCell="A13" zoomScaleNormal="100" workbookViewId="0"/>
  </sheetViews>
  <sheetFormatPr defaultRowHeight="12.75" x14ac:dyDescent="0.2"/>
  <cols>
    <col min="1" max="1" width="20.77734375" style="129" customWidth="1"/>
    <col min="2" max="2" width="9.77734375" style="129" customWidth="1"/>
    <col min="3" max="3" width="5.77734375" style="129" customWidth="1"/>
    <col min="4" max="6" width="15.77734375" style="129" customWidth="1"/>
    <col min="7" max="16384" width="8.88671875" style="129"/>
  </cols>
  <sheetData>
    <row r="1" spans="1:6" x14ac:dyDescent="0.2">
      <c r="A1" s="128"/>
      <c r="B1" s="128"/>
      <c r="C1" s="128"/>
      <c r="D1" s="128"/>
      <c r="E1" s="128"/>
      <c r="F1" s="128"/>
    </row>
    <row r="2" spans="1:6" x14ac:dyDescent="0.2">
      <c r="A2" s="544" t="s">
        <v>148</v>
      </c>
      <c r="B2" s="544"/>
      <c r="C2" s="544"/>
      <c r="D2" s="544"/>
      <c r="E2" s="544"/>
      <c r="F2" s="544"/>
    </row>
    <row r="3" spans="1:6" ht="15" customHeight="1" x14ac:dyDescent="0.2">
      <c r="A3" s="130"/>
      <c r="B3" s="130"/>
      <c r="C3" s="130"/>
      <c r="D3" s="130"/>
      <c r="E3" s="130"/>
      <c r="F3" s="128">
        <f>inputPrYr!C4</f>
        <v>2014</v>
      </c>
    </row>
    <row r="4" spans="1:6" ht="15" x14ac:dyDescent="0.2">
      <c r="A4" s="549" t="str">
        <f>CONCATENATE("To the Clerk of ",inputPrYr!C2,", State of Kansas")</f>
        <v>To the Clerk of Edwards County, State of Kansas</v>
      </c>
      <c r="B4" s="550"/>
      <c r="C4" s="550"/>
      <c r="D4" s="550"/>
      <c r="E4" s="550"/>
      <c r="F4" s="550"/>
    </row>
    <row r="5" spans="1:6" ht="15" x14ac:dyDescent="0.2">
      <c r="A5" s="549" t="s">
        <v>5</v>
      </c>
      <c r="B5" s="551"/>
      <c r="C5" s="551"/>
      <c r="D5" s="551"/>
      <c r="E5" s="551"/>
      <c r="F5" s="551"/>
    </row>
    <row r="6" spans="1:6" ht="15" x14ac:dyDescent="0.2">
      <c r="A6" s="547" t="str">
        <f>(inputPrYr!C2)</f>
        <v>Edwards County</v>
      </c>
      <c r="B6" s="548"/>
      <c r="C6" s="548"/>
      <c r="D6" s="548"/>
      <c r="E6" s="548"/>
      <c r="F6" s="548"/>
    </row>
    <row r="7" spans="1:6" x14ac:dyDescent="0.2">
      <c r="A7" s="132" t="s">
        <v>50</v>
      </c>
      <c r="B7" s="133"/>
      <c r="C7" s="133"/>
      <c r="D7" s="133"/>
      <c r="E7" s="133"/>
      <c r="F7" s="133"/>
    </row>
    <row r="8" spans="1:6" x14ac:dyDescent="0.2">
      <c r="A8" s="132" t="s">
        <v>51</v>
      </c>
      <c r="B8" s="133"/>
      <c r="C8" s="133"/>
      <c r="D8" s="133"/>
      <c r="E8" s="133"/>
      <c r="F8" s="133"/>
    </row>
    <row r="9" spans="1:6" x14ac:dyDescent="0.2">
      <c r="A9" s="132" t="str">
        <f>CONCATENATE("maximum expenditure for the various funds for the year ",F3,"; and")</f>
        <v>maximum expenditure for the various funds for the year 2014; and</v>
      </c>
      <c r="B9" s="133"/>
      <c r="C9" s="133"/>
      <c r="D9" s="133"/>
      <c r="E9" s="133"/>
      <c r="F9" s="133"/>
    </row>
    <row r="10" spans="1:6" x14ac:dyDescent="0.2">
      <c r="A10" s="132" t="str">
        <f>CONCATENATE("(3) the Amount(s) of ",F3-1," Ad Valorem Tax are within statutory limitations.")</f>
        <v>(3) the Amount(s) of 2013 Ad Valorem Tax are within statutory limitations.</v>
      </c>
      <c r="B10" s="133"/>
      <c r="C10" s="133"/>
      <c r="D10" s="133"/>
      <c r="E10" s="133"/>
      <c r="F10" s="133"/>
    </row>
    <row r="11" spans="1:6" ht="8.25" customHeight="1" x14ac:dyDescent="0.2">
      <c r="A11" s="134"/>
      <c r="B11" s="130"/>
      <c r="C11" s="130"/>
      <c r="D11" s="135"/>
      <c r="E11" s="135"/>
      <c r="F11" s="135"/>
    </row>
    <row r="12" spans="1:6" x14ac:dyDescent="0.2">
      <c r="A12" s="130"/>
      <c r="B12" s="130"/>
      <c r="C12" s="130"/>
      <c r="D12" s="136" t="str">
        <f>CONCATENATE("",F3," Adopted Budget")</f>
        <v>2014 Adopted Budget</v>
      </c>
      <c r="E12" s="137"/>
      <c r="F12" s="138"/>
    </row>
    <row r="13" spans="1:6" ht="13.5" customHeight="1" x14ac:dyDescent="0.2">
      <c r="A13" s="130"/>
      <c r="B13" s="130"/>
      <c r="C13" s="139" t="s">
        <v>52</v>
      </c>
      <c r="D13" s="373" t="s">
        <v>282</v>
      </c>
      <c r="E13" s="545" t="str">
        <f>CONCATENATE("Amount of ",F3-1,"               Ad Valorem Tax")</f>
        <v>Amount of 2013               Ad Valorem Tax</v>
      </c>
      <c r="F13" s="139" t="s">
        <v>53</v>
      </c>
    </row>
    <row r="14" spans="1:6" ht="12.75" customHeight="1" x14ac:dyDescent="0.2">
      <c r="A14" s="140" t="s">
        <v>54</v>
      </c>
      <c r="B14" s="141"/>
      <c r="C14" s="142" t="s">
        <v>55</v>
      </c>
      <c r="D14" s="372" t="s">
        <v>283</v>
      </c>
      <c r="E14" s="546"/>
      <c r="F14" s="142" t="s">
        <v>57</v>
      </c>
    </row>
    <row r="15" spans="1:6" x14ac:dyDescent="0.2">
      <c r="A15" s="143" t="str">
        <f>CONCATENATE("Computation to Determine Limit for ",F3,"")</f>
        <v>Computation to Determine Limit for 2014</v>
      </c>
      <c r="B15" s="147"/>
      <c r="C15" s="142">
        <v>2</v>
      </c>
      <c r="D15" s="144"/>
      <c r="E15" s="144"/>
      <c r="F15" s="144"/>
    </row>
    <row r="16" spans="1:6" x14ac:dyDescent="0.2">
      <c r="A16" s="146" t="s">
        <v>323</v>
      </c>
      <c r="B16" s="147"/>
      <c r="C16" s="148">
        <v>3</v>
      </c>
      <c r="D16" s="144"/>
      <c r="E16" s="144"/>
      <c r="F16" s="144"/>
    </row>
    <row r="17" spans="1:6" x14ac:dyDescent="0.2">
      <c r="A17" s="451" t="s">
        <v>201</v>
      </c>
      <c r="B17" s="490"/>
      <c r="C17" s="148">
        <v>4</v>
      </c>
      <c r="D17" s="144"/>
      <c r="E17" s="144"/>
      <c r="F17" s="144"/>
    </row>
    <row r="18" spans="1:6" x14ac:dyDescent="0.2">
      <c r="A18" s="146" t="s">
        <v>58</v>
      </c>
      <c r="B18" s="147"/>
      <c r="C18" s="149">
        <v>5</v>
      </c>
      <c r="D18" s="150"/>
      <c r="E18" s="150"/>
      <c r="F18" s="150"/>
    </row>
    <row r="19" spans="1:6" x14ac:dyDescent="0.2">
      <c r="A19" s="146" t="s">
        <v>59</v>
      </c>
      <c r="B19" s="147"/>
      <c r="C19" s="151">
        <v>6</v>
      </c>
      <c r="D19" s="150"/>
      <c r="E19" s="150"/>
      <c r="F19" s="150"/>
    </row>
    <row r="20" spans="1:6" x14ac:dyDescent="0.2">
      <c r="A20" s="152" t="s">
        <v>60</v>
      </c>
      <c r="B20" s="153" t="s">
        <v>61</v>
      </c>
      <c r="C20" s="154"/>
      <c r="D20" s="155"/>
      <c r="E20" s="155"/>
      <c r="F20" s="155"/>
    </row>
    <row r="21" spans="1:6" ht="12.75" customHeight="1" x14ac:dyDescent="0.2">
      <c r="A21" s="143" t="str">
        <f>inputPrYr!B16</f>
        <v>General</v>
      </c>
      <c r="B21" s="156" t="str">
        <f>inputPrYr!C16</f>
        <v>79-1946</v>
      </c>
      <c r="C21" s="149">
        <v>7</v>
      </c>
      <c r="D21" s="494">
        <f>IF(general!$E$110&lt;&gt;0,general!$E$110,"  ")</f>
        <v>2162798</v>
      </c>
      <c r="E21" s="495">
        <f>IF(general!$E$117&lt;&gt;0,general!$E$117,0)</f>
        <v>1523874.87</v>
      </c>
      <c r="F21" s="496" t="str">
        <f>IF(AND(general!E117=0,$F$42&gt;=0)," ",IF(AND(E21&gt;0,$F$42=0)," ",IF(AND(E21&gt;0,$F$42&gt;0),ROUND(E21/$F$42*1000,3))))</f>
        <v xml:space="preserve"> </v>
      </c>
    </row>
    <row r="22" spans="1:6" ht="12.75" customHeight="1" x14ac:dyDescent="0.2">
      <c r="A22" s="143" t="str">
        <f>inputPrYr!B18</f>
        <v>Road &amp; Bridge</v>
      </c>
      <c r="B22" s="156" t="str">
        <f>inputPrYr!C18</f>
        <v>79-1946</v>
      </c>
      <c r="C22" s="149">
        <f>IF(road!C55&gt;0,road!C55,"")</f>
        <v>8</v>
      </c>
      <c r="D22" s="494">
        <f>IF(road!$E$97&lt;&gt;0,road!$E$97,"  ")</f>
        <v>1154640</v>
      </c>
      <c r="E22" s="495">
        <f>IF(road!$E$104&lt;&gt;0,road!$E$104,0)</f>
        <v>802183.41</v>
      </c>
      <c r="F22" s="496" t="str">
        <f>IF(AND(road!E104=0,$F$42&gt;=0)," ",IF(AND(E22&gt;0,$F$42=0)," ",IF(AND(E22&gt;0,$F$42&gt;0),ROUND(E22/$F$42*1000,3))))</f>
        <v xml:space="preserve"> </v>
      </c>
    </row>
    <row r="23" spans="1:6" ht="12.75" customHeight="1" x14ac:dyDescent="0.2">
      <c r="A23" s="157" t="str">
        <f>IF((inputPrYr!$B19&gt;"  "),(inputPrYr!$B19),"  ")</f>
        <v>Noxious Weed</v>
      </c>
      <c r="B23" s="156" t="str">
        <f>IF((inputPrYr!C19&gt;0),(inputPrYr!C19),"  ")</f>
        <v>2-1318</v>
      </c>
      <c r="C23" s="149">
        <f>IF('NoxWeed  EmpBenefits'!C76&gt;0,'NoxWeed  EmpBenefits'!C76,"  ")</f>
        <v>9</v>
      </c>
      <c r="D23" s="494">
        <f>IF('NoxWeed  EmpBenefits'!$E$30&lt;&gt;0,'NoxWeed  EmpBenefits'!$E$30,"  ")</f>
        <v>88566</v>
      </c>
      <c r="E23" s="495">
        <f>IF('NoxWeed  EmpBenefits'!$E$37&lt;&gt;0,'NoxWeed  EmpBenefits'!$E$37,0)</f>
        <v>67992</v>
      </c>
      <c r="F23" s="496" t="str">
        <f>IF(AND('NoxWeed  EmpBenefits'!E37=0,$F$42&gt;=0)," ",IF(AND(E23&gt;0,$F$42=0)," ",IF(AND(E23&gt;0,$F$42&gt;0),ROUND(E23/$F$42*1000,3))))</f>
        <v xml:space="preserve"> </v>
      </c>
    </row>
    <row r="24" spans="1:6" ht="12.75" customHeight="1" x14ac:dyDescent="0.2">
      <c r="A24" s="157" t="str">
        <f>IF((inputPrYr!$B20&gt;"  "),(inputPrYr!$B20),"  ")</f>
        <v>Employee Benefits</v>
      </c>
      <c r="B24" s="156" t="str">
        <f>IF((inputPrYr!C20&gt;0),(inputPrYr!C20),"  ")</f>
        <v>12-16,102</v>
      </c>
      <c r="C24" s="149">
        <f>IF('NoxWeed  EmpBenefits'!C76&gt;0,'NoxWeed  EmpBenefits'!C76,"  ")</f>
        <v>9</v>
      </c>
      <c r="D24" s="494">
        <f>IF('NoxWeed  EmpBenefits'!$E$68&lt;&gt;0,'NoxWeed  EmpBenefits'!$E$68,"  ")</f>
        <v>943557</v>
      </c>
      <c r="E24" s="495">
        <f>IF('NoxWeed  EmpBenefits'!$E$75&lt;&gt;0,'NoxWeed  EmpBenefits'!$E$75,0)</f>
        <v>828687</v>
      </c>
      <c r="F24" s="496" t="str">
        <f>IF(AND('NoxWeed  EmpBenefits'!E75=0,$F$42&gt;=0)," ",IF(AND(E24&gt;0,$F$42=0)," ",IF(AND(E24&gt;0,$F$42&gt;0),ROUND(E24/$F$42*1000,3))))</f>
        <v xml:space="preserve"> </v>
      </c>
    </row>
    <row r="25" spans="1:6" ht="12.75" customHeight="1" x14ac:dyDescent="0.2">
      <c r="A25" s="157" t="str">
        <f>IF((inputPrYr!$B21&gt;"  "),(inputPrYr!$B21),"  ")</f>
        <v>County Health</v>
      </c>
      <c r="B25" s="156" t="str">
        <f>IF((inputPrYr!C21&gt;0),(inputPrYr!C21),"  ")</f>
        <v>65-204</v>
      </c>
      <c r="C25" s="149">
        <f>IF('Health  Hospital'!C70&gt;0,'Health  Hospital'!C70,"  ")</f>
        <v>10</v>
      </c>
      <c r="D25" s="494">
        <f>IF('Health  Hospital'!$E$33&lt;&gt;0,'Health  Hospital'!$E$33,"  ")</f>
        <v>184816</v>
      </c>
      <c r="E25" s="495">
        <f>IF('Health  Hospital'!$E$40&lt;&gt;0,'Health  Hospital'!$E$40,0)</f>
        <v>130570</v>
      </c>
      <c r="F25" s="496" t="str">
        <f>IF(AND('Health  Hospital'!E40=0,$F$42&gt;=0)," ",IF(AND(E25&gt;0,$F$42=0)," ",IF(AND(E25&gt;0,$F$42&gt;0),ROUND(E25/$F$42*1000,3))))</f>
        <v xml:space="preserve"> </v>
      </c>
    </row>
    <row r="26" spans="1:6" ht="12.75" customHeight="1" x14ac:dyDescent="0.2">
      <c r="A26" s="157" t="str">
        <f>IF((inputPrYr!$B22&gt;"  "),(inputPrYr!$B22),"  ")</f>
        <v>Hospital Maintenance</v>
      </c>
      <c r="B26" s="156" t="str">
        <f>IF((inputPrYr!C22&gt;0),(inputPrYr!C22),"  ")</f>
        <v>19-4606</v>
      </c>
      <c r="C26" s="149">
        <f>IF('Health  Hospital'!C70&gt;0,'Health  Hospital'!C70,"  ")</f>
        <v>10</v>
      </c>
      <c r="D26" s="494">
        <f>IF('Health  Hospital'!$E$62&lt;&gt;0,'Health  Hospital'!$E$62,"  ")</f>
        <v>232210</v>
      </c>
      <c r="E26" s="495">
        <f>IF('Health  Hospital'!$E$69&lt;&gt;0,'Health  Hospital'!$E$69,0)</f>
        <v>209591</v>
      </c>
      <c r="F26" s="496" t="str">
        <f>IF(AND('Health  Hospital'!E69=0,$F$42&gt;=0)," ",IF(AND(E26&gt;0,$F$42=0)," ",IF(AND(E26&gt;0,$F$42&gt;0),ROUND(E26/$F$42*1000,3))))</f>
        <v xml:space="preserve"> </v>
      </c>
    </row>
    <row r="27" spans="1:6" ht="12.75" customHeight="1" x14ac:dyDescent="0.2">
      <c r="A27" s="157" t="str">
        <f>IF((inputPrYr!$B43&gt;"  "),(inputPrYr!$B43),"  ")</f>
        <v>Special Drug and Alcohol</v>
      </c>
      <c r="B27" s="159"/>
      <c r="C27" s="149">
        <f>IF('SpDrug  SpParks'!C66&gt;0,'SpDrug  SpParks'!C66,"  ")</f>
        <v>11</v>
      </c>
      <c r="D27" s="494">
        <f>IF('SpDrug  SpParks'!$E$29&lt;&gt;0,'SpDrug  SpParks'!$E$29,"  ")</f>
        <v>12000</v>
      </c>
      <c r="E27" s="497"/>
      <c r="F27" s="497"/>
    </row>
    <row r="28" spans="1:6" ht="12.75" customHeight="1" x14ac:dyDescent="0.2">
      <c r="A28" s="157" t="str">
        <f>IF((inputPrYr!$B44&gt;"  "),(inputPrYr!$B44),"  ")</f>
        <v>Special Parks and Recreation</v>
      </c>
      <c r="B28" s="159"/>
      <c r="C28" s="149">
        <f>IF('SpDrug  SpParks'!C66&gt;0,'SpDrug  SpParks'!C66,"  ")</f>
        <v>11</v>
      </c>
      <c r="D28" s="494" t="str">
        <f>IF('SpDrug  SpParks'!$E$60&lt;&gt;0,'SpDrug  SpParks'!$E$60,"  ")</f>
        <v xml:space="preserve">  </v>
      </c>
      <c r="E28" s="497"/>
      <c r="F28" s="497"/>
    </row>
    <row r="29" spans="1:6" ht="12.75" customHeight="1" x14ac:dyDescent="0.2">
      <c r="A29" s="157" t="str">
        <f>IF((inputPrYr!$B45&gt;"  "),(inputPrYr!$B45),"  ")</f>
        <v>Noxious Weed Capital Outlay</v>
      </c>
      <c r="B29" s="159"/>
      <c r="C29" s="149">
        <f>IF('NoxWeedCO  911Emergency'!C66&gt;0,'NoxWeedCO  911Emergency'!C66,"  ")</f>
        <v>12</v>
      </c>
      <c r="D29" s="494">
        <f>IF('NoxWeedCO  911Emergency'!$E$29&lt;&gt;0,'NoxWeedCO  911Emergency'!$E$29,"  ")</f>
        <v>16664</v>
      </c>
      <c r="E29" s="497"/>
      <c r="F29" s="497"/>
    </row>
    <row r="30" spans="1:6" ht="12.75" customHeight="1" x14ac:dyDescent="0.2">
      <c r="A30" s="157" t="str">
        <f>IF((inputPrYr!$B46&gt;"  "),(inputPrYr!$B46),"  ")</f>
        <v>911 Emergency Telephone Tax</v>
      </c>
      <c r="B30" s="159"/>
      <c r="C30" s="149">
        <f>IF('NoxWeedCO  911Emergency'!C66&gt;0,'NoxWeedCO  911Emergency'!C66,"  ")</f>
        <v>12</v>
      </c>
      <c r="D30" s="494" t="str">
        <f>IF('NoxWeedCO  911Emergency'!$E$60&lt;&gt;0,'NoxWeedCO  911Emergency'!$E$60,"  ")</f>
        <v xml:space="preserve">  </v>
      </c>
      <c r="E30" s="497"/>
      <c r="F30" s="497"/>
    </row>
    <row r="31" spans="1:6" ht="12.75" customHeight="1" x14ac:dyDescent="0.2">
      <c r="A31" s="157" t="str">
        <f>IF((inputPrYr!$B47&gt;"  "),(inputPrYr!$B47),"  ")</f>
        <v>911 Wireless Phone Tax</v>
      </c>
      <c r="B31" s="159"/>
      <c r="C31" s="149">
        <f>IF('911Wireless  EdwardCo911'!C66&gt;0,'911Wireless  EdwardCo911'!C66,"  ")</f>
        <v>13</v>
      </c>
      <c r="D31" s="494" t="str">
        <f>IF('911Wireless  EdwardCo911'!$E$29&lt;&gt;0,'911Wireless  EdwardCo911'!$E$29,"  ")</f>
        <v xml:space="preserve">  </v>
      </c>
      <c r="E31" s="497"/>
      <c r="F31" s="497"/>
    </row>
    <row r="32" spans="1:6" ht="12.75" customHeight="1" x14ac:dyDescent="0.2">
      <c r="A32" s="157" t="str">
        <f>IF((inputPrYr!$B48&gt;"  "),(inputPrYr!$B48),"  ")</f>
        <v>Edwards Co 911</v>
      </c>
      <c r="B32" s="159"/>
      <c r="C32" s="149">
        <f>IF('911Wireless  EdwardCo911'!C66&gt;0,'911Wireless  EdwardCo911'!C66,"  ")</f>
        <v>13</v>
      </c>
      <c r="D32" s="494">
        <f>IF('911Wireless  EdwardCo911'!$E$60&lt;&gt;0,'911Wireless  EdwardCo911'!$E$60,"  ")</f>
        <v>70000</v>
      </c>
      <c r="E32" s="497"/>
      <c r="F32" s="497"/>
    </row>
    <row r="33" spans="1:6" ht="12.75" customHeight="1" x14ac:dyDescent="0.2">
      <c r="A33" s="157" t="str">
        <f>IF((inputPrYr!$B49&gt;"  "),(inputPrYr!$B49),"  ")</f>
        <v xml:space="preserve">  </v>
      </c>
      <c r="B33" s="159"/>
      <c r="C33" s="149">
        <f>IF('Blank Page 2'!C66&gt;0,'Blank Page 2'!C66,"  ")</f>
        <v>15</v>
      </c>
      <c r="D33" s="494" t="str">
        <f>IF('Blank Page 2'!$E$29&lt;&gt;0,'Blank Page 2'!$E$29,"  ")</f>
        <v xml:space="preserve">  </v>
      </c>
      <c r="E33" s="497"/>
      <c r="F33" s="497"/>
    </row>
    <row r="34" spans="1:6" ht="12.75" customHeight="1" x14ac:dyDescent="0.2">
      <c r="A34" s="157" t="str">
        <f>IF((inputPrYr!$B62&gt;"  "),(nonbudA!$A3),"  ")</f>
        <v>Non-Budgeted Funds-A</v>
      </c>
      <c r="B34" s="154"/>
      <c r="C34" s="149">
        <f>IF(nonbudA!$F$33&gt;0,nonbudA!$F$33,"  ")</f>
        <v>16</v>
      </c>
      <c r="D34" s="494"/>
      <c r="E34" s="498"/>
      <c r="F34" s="498"/>
    </row>
    <row r="35" spans="1:6" ht="12.75" customHeight="1" x14ac:dyDescent="0.2">
      <c r="A35" s="157" t="str">
        <f>IF((inputPrYr!$B68&gt;"  "),(nonbudB!$A3),"  ")</f>
        <v>Non-Budgeted Funds-B</v>
      </c>
      <c r="B35" s="154"/>
      <c r="C35" s="149">
        <f>IF(nonbudB!$F$33&gt;0,nonbudB!$F$33,"  ")</f>
        <v>17</v>
      </c>
      <c r="D35" s="494"/>
      <c r="E35" s="498"/>
      <c r="F35" s="498"/>
    </row>
    <row r="36" spans="1:6" ht="12.75" customHeight="1" x14ac:dyDescent="0.2">
      <c r="A36" s="157" t="str">
        <f>IF((inputPrYr!$B74&gt;"  "),(nonbudC!$A3),"  ")</f>
        <v>Non-Budgeted Funds-C</v>
      </c>
      <c r="B36" s="154"/>
      <c r="C36" s="149">
        <f>IF(nonbudC!$F$33&gt;0,nonbudC!$F$33,"  ")</f>
        <v>18</v>
      </c>
      <c r="D36" s="494"/>
      <c r="E36" s="498"/>
      <c r="F36" s="498"/>
    </row>
    <row r="37" spans="1:6" ht="12.75" customHeight="1" x14ac:dyDescent="0.2">
      <c r="A37" s="157"/>
      <c r="B37" s="154"/>
      <c r="C37" s="149"/>
      <c r="D37" s="494"/>
      <c r="E37" s="498"/>
      <c r="F37" s="498"/>
    </row>
    <row r="38" spans="1:6" ht="12.75" customHeight="1" x14ac:dyDescent="0.2">
      <c r="A38" s="157"/>
      <c r="B38" s="160"/>
      <c r="C38" s="149"/>
      <c r="D38" s="505"/>
      <c r="E38" s="498"/>
      <c r="F38" s="498"/>
    </row>
    <row r="39" spans="1:6" ht="14.25" customHeight="1" thickBot="1" x14ac:dyDescent="0.25">
      <c r="A39" s="161" t="s">
        <v>73</v>
      </c>
      <c r="B39" s="160"/>
      <c r="C39" s="149" t="s">
        <v>27</v>
      </c>
      <c r="D39" s="499">
        <f>SUM(D21:D38)</f>
        <v>4865251</v>
      </c>
      <c r="E39" s="499">
        <f>SUM(E21:E38)</f>
        <v>3562898.2800000003</v>
      </c>
      <c r="F39" s="499">
        <f>SUM(F21:F38)</f>
        <v>0</v>
      </c>
    </row>
    <row r="40" spans="1:6" ht="14.25" customHeight="1" thickTop="1" x14ac:dyDescent="0.2">
      <c r="A40" s="162" t="s">
        <v>26</v>
      </c>
      <c r="B40" s="163"/>
      <c r="C40" s="149">
        <f>summ!E51</f>
        <v>18</v>
      </c>
      <c r="D40" s="164"/>
      <c r="E40" s="164"/>
      <c r="F40" s="145"/>
    </row>
    <row r="41" spans="1:6" x14ac:dyDescent="0.2">
      <c r="A41" s="146" t="s">
        <v>41</v>
      </c>
      <c r="B41" s="147"/>
      <c r="C41" s="149"/>
      <c r="D41" s="165"/>
      <c r="E41" s="130"/>
      <c r="F41" s="368" t="s">
        <v>232</v>
      </c>
    </row>
    <row r="42" spans="1:6" ht="15.75" x14ac:dyDescent="0.2">
      <c r="A42" s="552" t="s">
        <v>39</v>
      </c>
      <c r="B42" s="553"/>
      <c r="C42" s="158">
        <f>IF(Nhood!C50&gt;0,Nhood!C50,"")</f>
        <v>19</v>
      </c>
      <c r="D42" s="166" t="s">
        <v>29</v>
      </c>
      <c r="E42" s="167" t="str">
        <f>IF(E39&gt;computation!J35,"Yes","No")</f>
        <v>Yes</v>
      </c>
      <c r="F42" s="168"/>
    </row>
    <row r="43" spans="1:6" ht="14.25" customHeight="1" x14ac:dyDescent="0.2">
      <c r="A43" s="146" t="s">
        <v>28</v>
      </c>
      <c r="B43" s="169"/>
      <c r="C43" s="158">
        <f>IF(Resolution!E55&gt;0,Resolution!E55,"")</f>
        <v>20</v>
      </c>
      <c r="D43" s="165"/>
      <c r="E43" s="145"/>
      <c r="F43" s="555" t="str">
        <f>CONCATENATE("Nov 1, ",F3-1," Total Assessed Valuation")</f>
        <v>Nov 1, 2013 Total Assessed Valuation</v>
      </c>
    </row>
    <row r="44" spans="1:6" x14ac:dyDescent="0.2">
      <c r="A44" s="128" t="s">
        <v>63</v>
      </c>
      <c r="B44" s="130"/>
      <c r="C44" s="134"/>
      <c r="D44" s="130"/>
      <c r="E44" s="130"/>
      <c r="F44" s="556"/>
    </row>
    <row r="45" spans="1:6" x14ac:dyDescent="0.2">
      <c r="A45" s="171" t="s">
        <v>440</v>
      </c>
      <c r="B45" s="130"/>
      <c r="C45" s="130"/>
      <c r="D45" s="130"/>
      <c r="E45" s="345"/>
      <c r="F45" s="345"/>
    </row>
    <row r="46" spans="1:6" x14ac:dyDescent="0.2">
      <c r="A46" s="172" t="s">
        <v>441</v>
      </c>
      <c r="B46" s="170"/>
      <c r="C46" s="145"/>
      <c r="D46" s="145"/>
      <c r="E46" s="502"/>
      <c r="F46" s="502"/>
    </row>
    <row r="47" spans="1:6" x14ac:dyDescent="0.2">
      <c r="A47" s="344" t="s">
        <v>233</v>
      </c>
      <c r="B47" s="170"/>
      <c r="C47" s="145"/>
      <c r="D47" s="145"/>
      <c r="E47" s="502"/>
      <c r="F47" s="502"/>
    </row>
    <row r="48" spans="1:6" x14ac:dyDescent="0.2">
      <c r="A48" s="171" t="s">
        <v>442</v>
      </c>
      <c r="B48" s="130"/>
      <c r="C48" s="145"/>
      <c r="D48" s="141"/>
      <c r="E48" s="518"/>
      <c r="F48" s="518"/>
    </row>
    <row r="49" spans="1:6" x14ac:dyDescent="0.2">
      <c r="A49" s="172" t="s">
        <v>443</v>
      </c>
      <c r="B49" s="173"/>
      <c r="C49" s="145"/>
      <c r="D49" s="145"/>
      <c r="E49" s="502"/>
      <c r="F49" s="503"/>
    </row>
    <row r="50" spans="1:6" x14ac:dyDescent="0.2">
      <c r="A50" s="344" t="s">
        <v>324</v>
      </c>
      <c r="B50" s="130"/>
      <c r="C50" s="145"/>
      <c r="D50" s="141"/>
      <c r="E50" s="518"/>
      <c r="F50" s="518"/>
    </row>
    <row r="51" spans="1:6" ht="15" x14ac:dyDescent="0.2">
      <c r="A51" s="519" t="s">
        <v>456</v>
      </c>
      <c r="B51" s="130"/>
      <c r="C51" s="145"/>
      <c r="D51" s="145"/>
      <c r="E51" s="501"/>
      <c r="F51" s="502"/>
    </row>
    <row r="52" spans="1:6" x14ac:dyDescent="0.2">
      <c r="A52" s="344"/>
      <c r="B52" s="130"/>
      <c r="C52" s="145"/>
      <c r="D52" s="141"/>
      <c r="E52" s="518"/>
      <c r="F52" s="518"/>
    </row>
    <row r="53" spans="1:6" x14ac:dyDescent="0.2">
      <c r="A53" s="367" t="s">
        <v>6</v>
      </c>
      <c r="B53" s="174">
        <f>F3-1</f>
        <v>2013</v>
      </c>
      <c r="C53" s="145"/>
      <c r="D53" s="145"/>
      <c r="E53" s="504"/>
      <c r="F53" s="145"/>
    </row>
    <row r="54" spans="1:6" x14ac:dyDescent="0.2">
      <c r="A54" s="366"/>
      <c r="B54" s="130"/>
      <c r="C54" s="145"/>
      <c r="D54" s="141"/>
      <c r="E54" s="518"/>
      <c r="F54" s="518"/>
    </row>
    <row r="55" spans="1:6" ht="15" x14ac:dyDescent="0.2">
      <c r="A55" s="369" t="s">
        <v>65</v>
      </c>
      <c r="B55" s="130"/>
      <c r="C55" s="554" t="s">
        <v>64</v>
      </c>
      <c r="D55" s="551"/>
      <c r="E55" s="551"/>
      <c r="F55" s="551"/>
    </row>
    <row r="56" spans="1:6" x14ac:dyDescent="0.2">
      <c r="A56" s="543"/>
      <c r="B56" s="543"/>
      <c r="C56" s="543"/>
      <c r="D56" s="543"/>
      <c r="E56" s="543"/>
      <c r="F56" s="543"/>
    </row>
    <row r="57" spans="1:6" x14ac:dyDescent="0.2">
      <c r="C57" s="175"/>
      <c r="E57" s="175"/>
      <c r="F57" s="175"/>
    </row>
  </sheetData>
  <mergeCells count="9">
    <mergeCell ref="A56:F56"/>
    <mergeCell ref="A2:F2"/>
    <mergeCell ref="E13:E14"/>
    <mergeCell ref="A6:F6"/>
    <mergeCell ref="A4:F4"/>
    <mergeCell ref="A5:F5"/>
    <mergeCell ref="A42:B42"/>
    <mergeCell ref="C55:F55"/>
    <mergeCell ref="F43:F44"/>
  </mergeCells>
  <phoneticPr fontId="0" type="noConversion"/>
  <hyperlinks>
    <hyperlink ref="A51" r:id="rId1"/>
  </hyperlinks>
  <pageMargins left="0.5" right="0.5" top="0" bottom="0.23" header="0" footer="0"/>
  <pageSetup scale="95" orientation="portrait" blackAndWhite="1" r:id="rId2"/>
  <headerFooter alignWithMargins="0">
    <oddHeader xml:space="preserve">&amp;RState of Kansas
County
</oddHeader>
    <oddFooter>&amp;CPage No. 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8"/>
  <sheetViews>
    <sheetView topLeftCell="A22" zoomScaleNormal="100" workbookViewId="0"/>
  </sheetViews>
  <sheetFormatPr defaultRowHeight="15.95" customHeight="1" x14ac:dyDescent="0.2"/>
  <cols>
    <col min="1" max="2" width="3.33203125" style="48" customWidth="1"/>
    <col min="3" max="3" width="31.33203125" style="48" customWidth="1"/>
    <col min="4" max="4" width="2.33203125" style="48" customWidth="1"/>
    <col min="5" max="5" width="15.77734375" style="48" customWidth="1"/>
    <col min="6" max="6" width="2" style="48" customWidth="1"/>
    <col min="7" max="7" width="15.77734375" style="48" customWidth="1"/>
    <col min="8" max="8" width="1.88671875" style="48" customWidth="1"/>
    <col min="9" max="9" width="1.77734375" style="48" customWidth="1"/>
    <col min="10" max="10" width="15.77734375" style="48" customWidth="1"/>
    <col min="11" max="16384" width="8.88671875" style="48"/>
  </cols>
  <sheetData>
    <row r="1" spans="1:10" ht="15.95" customHeight="1" x14ac:dyDescent="0.2">
      <c r="A1" s="51"/>
      <c r="B1" s="51"/>
      <c r="C1" s="184" t="str">
        <f>inputPrYr!C2</f>
        <v>Edwards County</v>
      </c>
      <c r="D1" s="51"/>
      <c r="E1" s="51"/>
      <c r="F1" s="51"/>
      <c r="G1" s="51"/>
      <c r="H1" s="51"/>
      <c r="I1" s="51"/>
      <c r="J1" s="51">
        <f>inputPrYr!C4</f>
        <v>2014</v>
      </c>
    </row>
    <row r="2" spans="1:10" ht="15.95" customHeight="1" x14ac:dyDescent="0.2">
      <c r="A2" s="51"/>
      <c r="B2" s="51"/>
      <c r="C2" s="51"/>
      <c r="D2" s="51"/>
      <c r="E2" s="51"/>
      <c r="F2" s="51"/>
      <c r="G2" s="51"/>
      <c r="H2" s="51"/>
      <c r="I2" s="51"/>
      <c r="J2" s="51"/>
    </row>
    <row r="3" spans="1:10" ht="15.75" x14ac:dyDescent="0.2">
      <c r="A3" s="530" t="str">
        <f>CONCATENATE("Computation to Determine Limit for ",J1,"")</f>
        <v>Computation to Determine Limit for 2014</v>
      </c>
      <c r="B3" s="558"/>
      <c r="C3" s="558"/>
      <c r="D3" s="558"/>
      <c r="E3" s="558"/>
      <c r="F3" s="558"/>
      <c r="G3" s="558"/>
      <c r="H3" s="558"/>
      <c r="I3" s="558"/>
      <c r="J3" s="558"/>
    </row>
    <row r="4" spans="1:10" ht="15.75" x14ac:dyDescent="0.2">
      <c r="A4" s="51"/>
      <c r="B4" s="51"/>
      <c r="C4" s="51"/>
      <c r="D4" s="51"/>
      <c r="E4" s="558"/>
      <c r="F4" s="558"/>
      <c r="G4" s="558"/>
      <c r="H4" s="185"/>
      <c r="I4" s="51"/>
      <c r="J4" s="186" t="s">
        <v>161</v>
      </c>
    </row>
    <row r="5" spans="1:10" ht="15.75" x14ac:dyDescent="0.2">
      <c r="A5" s="187" t="s">
        <v>162</v>
      </c>
      <c r="B5" s="51" t="str">
        <f>CONCATENATE("Total Tax Levy Amount in ",J1-1," Budget")</f>
        <v>Total Tax Levy Amount in 2013 Budget</v>
      </c>
      <c r="C5" s="51"/>
      <c r="D5" s="51"/>
      <c r="E5" s="111"/>
      <c r="F5" s="111"/>
      <c r="G5" s="111"/>
      <c r="H5" s="188" t="s">
        <v>163</v>
      </c>
      <c r="I5" s="111" t="s">
        <v>164</v>
      </c>
      <c r="J5" s="189">
        <f>inputPrYr!E41</f>
        <v>3360698</v>
      </c>
    </row>
    <row r="6" spans="1:10" ht="15.75" x14ac:dyDescent="0.2">
      <c r="A6" s="187" t="s">
        <v>165</v>
      </c>
      <c r="B6" s="51" t="str">
        <f>CONCATENATE("Debt Service Levy in ",J1-1," Budget")</f>
        <v>Debt Service Levy in 2013 Budget</v>
      </c>
      <c r="C6" s="51"/>
      <c r="D6" s="51"/>
      <c r="E6" s="111"/>
      <c r="F6" s="111"/>
      <c r="G6" s="111"/>
      <c r="H6" s="188" t="s">
        <v>166</v>
      </c>
      <c r="I6" s="111" t="s">
        <v>164</v>
      </c>
      <c r="J6" s="117">
        <f>inputPrYr!E17</f>
        <v>0</v>
      </c>
    </row>
    <row r="7" spans="1:10" ht="15.75" x14ac:dyDescent="0.2">
      <c r="A7" s="187" t="s">
        <v>167</v>
      </c>
      <c r="B7" s="118" t="s">
        <v>186</v>
      </c>
      <c r="C7" s="51"/>
      <c r="D7" s="51"/>
      <c r="E7" s="111"/>
      <c r="F7" s="111"/>
      <c r="G7" s="111"/>
      <c r="H7" s="111"/>
      <c r="I7" s="111" t="s">
        <v>164</v>
      </c>
      <c r="J7" s="117">
        <f>J5-J6</f>
        <v>3360698</v>
      </c>
    </row>
    <row r="8" spans="1:10" ht="15.75" x14ac:dyDescent="0.2">
      <c r="A8" s="51"/>
      <c r="B8" s="51"/>
      <c r="C8" s="51"/>
      <c r="D8" s="51"/>
      <c r="E8" s="111"/>
      <c r="F8" s="111"/>
      <c r="G8" s="111"/>
      <c r="H8" s="111"/>
      <c r="I8" s="111"/>
      <c r="J8" s="111"/>
    </row>
    <row r="9" spans="1:10" ht="15.75" x14ac:dyDescent="0.2">
      <c r="A9" s="51"/>
      <c r="B9" s="118" t="str">
        <f>CONCATENATE("",J1-1," Valuation Information for Valuation Adjustments:")</f>
        <v>2013 Valuation Information for Valuation Adjustments:</v>
      </c>
      <c r="C9" s="51"/>
      <c r="D9" s="51"/>
      <c r="E9" s="111"/>
      <c r="F9" s="111"/>
      <c r="G9" s="111"/>
      <c r="H9" s="111"/>
      <c r="I9" s="111"/>
      <c r="J9" s="111"/>
    </row>
    <row r="10" spans="1:10" ht="15.75" x14ac:dyDescent="0.2">
      <c r="A10" s="51"/>
      <c r="B10" s="51"/>
      <c r="C10" s="118"/>
      <c r="D10" s="51"/>
      <c r="E10" s="111"/>
      <c r="F10" s="111"/>
      <c r="G10" s="111"/>
      <c r="H10" s="111"/>
      <c r="I10" s="111"/>
      <c r="J10" s="111"/>
    </row>
    <row r="11" spans="1:10" ht="15.75" x14ac:dyDescent="0.2">
      <c r="A11" s="187" t="s">
        <v>168</v>
      </c>
      <c r="B11" s="118" t="str">
        <f>CONCATENATE("New Improvements for ",J1-1,":")</f>
        <v>New Improvements for 2013:</v>
      </c>
      <c r="C11" s="51"/>
      <c r="D11" s="51"/>
      <c r="E11" s="188"/>
      <c r="F11" s="188" t="s">
        <v>163</v>
      </c>
      <c r="G11" s="189">
        <f>inputOth!E7</f>
        <v>358908</v>
      </c>
      <c r="H11" s="89"/>
      <c r="I11" s="111"/>
      <c r="J11" s="111"/>
    </row>
    <row r="12" spans="1:10" ht="15.75" x14ac:dyDescent="0.2">
      <c r="A12" s="187"/>
      <c r="B12" s="187"/>
      <c r="C12" s="51"/>
      <c r="D12" s="51"/>
      <c r="E12" s="188"/>
      <c r="F12" s="188"/>
      <c r="G12" s="89"/>
      <c r="H12" s="89"/>
      <c r="I12" s="111"/>
      <c r="J12" s="111"/>
    </row>
    <row r="13" spans="1:10" ht="15.75" x14ac:dyDescent="0.2">
      <c r="A13" s="187" t="s">
        <v>169</v>
      </c>
      <c r="B13" s="118" t="str">
        <f>CONCATENATE("Increase in Personal Property for ",J1-1,":")</f>
        <v>Increase in Personal Property for 2013:</v>
      </c>
      <c r="C13" s="51"/>
      <c r="D13" s="51"/>
      <c r="E13" s="188"/>
      <c r="F13" s="188"/>
      <c r="G13" s="89"/>
      <c r="H13" s="89"/>
      <c r="I13" s="111"/>
      <c r="J13" s="111"/>
    </row>
    <row r="14" spans="1:10" ht="15.75" x14ac:dyDescent="0.2">
      <c r="A14" s="51"/>
      <c r="B14" s="51" t="s">
        <v>170</v>
      </c>
      <c r="C14" s="51" t="str">
        <f>CONCATENATE("Personal Property ",J1-1,"")</f>
        <v>Personal Property 2013</v>
      </c>
      <c r="D14" s="187" t="s">
        <v>163</v>
      </c>
      <c r="E14" s="189">
        <f>inputOth!E8</f>
        <v>1449396</v>
      </c>
      <c r="F14" s="188"/>
      <c r="G14" s="111"/>
      <c r="H14" s="111"/>
      <c r="I14" s="89"/>
      <c r="J14" s="111"/>
    </row>
    <row r="15" spans="1:10" ht="15.75" x14ac:dyDescent="0.2">
      <c r="A15" s="187"/>
      <c r="B15" s="51" t="s">
        <v>171</v>
      </c>
      <c r="C15" s="51" t="str">
        <f>CONCATENATE("Personal Property ",J1-2,"")</f>
        <v>Personal Property 2012</v>
      </c>
      <c r="D15" s="187" t="s">
        <v>166</v>
      </c>
      <c r="E15" s="117">
        <f>inputOth!E10</f>
        <v>1452257</v>
      </c>
      <c r="F15" s="188"/>
      <c r="G15" s="89"/>
      <c r="H15" s="89"/>
      <c r="I15" s="111"/>
      <c r="J15" s="111"/>
    </row>
    <row r="16" spans="1:10" ht="15.75" x14ac:dyDescent="0.2">
      <c r="A16" s="187"/>
      <c r="B16" s="51" t="s">
        <v>172</v>
      </c>
      <c r="C16" s="51" t="s">
        <v>188</v>
      </c>
      <c r="D16" s="51"/>
      <c r="E16" s="111"/>
      <c r="F16" s="111" t="s">
        <v>163</v>
      </c>
      <c r="G16" s="189">
        <f>IF(E14&gt;E15,E14-E15,0)</f>
        <v>0</v>
      </c>
      <c r="H16" s="89"/>
      <c r="I16" s="111"/>
      <c r="J16" s="111"/>
    </row>
    <row r="17" spans="1:10" ht="15.75" x14ac:dyDescent="0.2">
      <c r="A17" s="187"/>
      <c r="B17" s="187"/>
      <c r="C17" s="51"/>
      <c r="D17" s="51"/>
      <c r="E17" s="111"/>
      <c r="F17" s="111"/>
      <c r="G17" s="89" t="s">
        <v>178</v>
      </c>
      <c r="H17" s="89"/>
      <c r="I17" s="111"/>
      <c r="J17" s="111"/>
    </row>
    <row r="18" spans="1:10" ht="15.75" x14ac:dyDescent="0.2">
      <c r="A18" s="187"/>
      <c r="B18" s="187"/>
      <c r="C18" s="51"/>
      <c r="D18" s="187"/>
      <c r="E18" s="89"/>
      <c r="F18" s="111"/>
      <c r="G18" s="89"/>
      <c r="H18" s="89"/>
      <c r="I18" s="111"/>
      <c r="J18" s="111"/>
    </row>
    <row r="19" spans="1:10" ht="15.75" x14ac:dyDescent="0.2">
      <c r="A19" s="187" t="s">
        <v>173</v>
      </c>
      <c r="B19" s="118" t="str">
        <f>CONCATENATE("Valuation of Property that has Changed in Use during ",J1-1,":")</f>
        <v>Valuation of Property that has Changed in Use during 2013:</v>
      </c>
      <c r="C19" s="51"/>
      <c r="D19" s="51"/>
      <c r="E19" s="111"/>
      <c r="F19" s="111"/>
      <c r="G19" s="111">
        <f>inputOth!E9</f>
        <v>54485</v>
      </c>
      <c r="H19" s="111"/>
      <c r="I19" s="111"/>
      <c r="J19" s="111"/>
    </row>
    <row r="20" spans="1:10" ht="15.75" x14ac:dyDescent="0.2">
      <c r="A20" s="187"/>
      <c r="B20" s="51"/>
      <c r="C20" s="51"/>
      <c r="D20" s="187"/>
      <c r="E20" s="89"/>
      <c r="F20" s="111"/>
      <c r="G20" s="190"/>
      <c r="H20" s="89"/>
      <c r="I20" s="111"/>
      <c r="J20" s="111"/>
    </row>
    <row r="21" spans="1:10" ht="15.75" x14ac:dyDescent="0.2">
      <c r="A21" s="187" t="s">
        <v>182</v>
      </c>
      <c r="B21" s="118" t="s">
        <v>187</v>
      </c>
      <c r="C21" s="51"/>
      <c r="D21" s="51"/>
      <c r="E21" s="111"/>
      <c r="F21" s="111"/>
      <c r="G21" s="189">
        <f>G11+G16+G19</f>
        <v>413393</v>
      </c>
      <c r="H21" s="89"/>
      <c r="I21" s="111"/>
      <c r="J21" s="111"/>
    </row>
    <row r="22" spans="1:10" ht="15.75" x14ac:dyDescent="0.2">
      <c r="A22" s="187"/>
      <c r="B22" s="187"/>
      <c r="C22" s="118"/>
      <c r="D22" s="51"/>
      <c r="E22" s="111"/>
      <c r="F22" s="111"/>
      <c r="G22" s="89"/>
      <c r="H22" s="89"/>
      <c r="I22" s="111"/>
      <c r="J22" s="111"/>
    </row>
    <row r="23" spans="1:10" ht="15.75" x14ac:dyDescent="0.2">
      <c r="A23" s="187" t="s">
        <v>183</v>
      </c>
      <c r="B23" s="51" t="str">
        <f>CONCATENATE("Total Estimated Valuation July 1,",J1-1,"")</f>
        <v>Total Estimated Valuation July 1,2013</v>
      </c>
      <c r="C23" s="51"/>
      <c r="D23" s="51"/>
      <c r="E23" s="189">
        <f>inputOth!E6</f>
        <v>45324466</v>
      </c>
      <c r="F23" s="111"/>
      <c r="G23" s="111"/>
      <c r="H23" s="111"/>
      <c r="I23" s="188"/>
      <c r="J23" s="111"/>
    </row>
    <row r="24" spans="1:10" ht="15.75" x14ac:dyDescent="0.2">
      <c r="A24" s="187"/>
      <c r="B24" s="187"/>
      <c r="C24" s="51"/>
      <c r="D24" s="51"/>
      <c r="E24" s="89"/>
      <c r="F24" s="111"/>
      <c r="G24" s="111"/>
      <c r="H24" s="111"/>
      <c r="I24" s="188"/>
      <c r="J24" s="111"/>
    </row>
    <row r="25" spans="1:10" ht="15.75" x14ac:dyDescent="0.2">
      <c r="A25" s="187" t="s">
        <v>174</v>
      </c>
      <c r="B25" s="118" t="s">
        <v>191</v>
      </c>
      <c r="C25" s="51"/>
      <c r="D25" s="51"/>
      <c r="E25" s="111"/>
      <c r="F25" s="111"/>
      <c r="G25" s="189">
        <f>E23-G21</f>
        <v>44911073</v>
      </c>
      <c r="H25" s="89"/>
      <c r="I25" s="188"/>
      <c r="J25" s="111"/>
    </row>
    <row r="26" spans="1:10" ht="15.75" x14ac:dyDescent="0.2">
      <c r="A26" s="187"/>
      <c r="B26" s="187"/>
      <c r="C26" s="118"/>
      <c r="D26" s="51"/>
      <c r="E26" s="51"/>
      <c r="F26" s="51"/>
      <c r="G26" s="191"/>
      <c r="H26" s="54"/>
      <c r="I26" s="187"/>
      <c r="J26" s="51"/>
    </row>
    <row r="27" spans="1:10" ht="15.75" x14ac:dyDescent="0.2">
      <c r="A27" s="187" t="s">
        <v>175</v>
      </c>
      <c r="B27" s="51" t="s">
        <v>190</v>
      </c>
      <c r="C27" s="51"/>
      <c r="D27" s="51"/>
      <c r="E27" s="51"/>
      <c r="F27" s="51"/>
      <c r="G27" s="192">
        <f>IF(G21&gt;0,G21/G25,0)</f>
        <v>9.2047010321931067E-3</v>
      </c>
      <c r="H27" s="54"/>
      <c r="I27" s="51"/>
      <c r="J27" s="51"/>
    </row>
    <row r="28" spans="1:10" ht="15.75" x14ac:dyDescent="0.2">
      <c r="A28" s="187"/>
      <c r="B28" s="187"/>
      <c r="C28" s="51"/>
      <c r="D28" s="51"/>
      <c r="E28" s="51"/>
      <c r="F28" s="51"/>
      <c r="G28" s="54"/>
      <c r="H28" s="54"/>
      <c r="I28" s="51"/>
      <c r="J28" s="51"/>
    </row>
    <row r="29" spans="1:10" ht="15.75" x14ac:dyDescent="0.2">
      <c r="A29" s="187" t="s">
        <v>176</v>
      </c>
      <c r="B29" s="51" t="s">
        <v>189</v>
      </c>
      <c r="C29" s="51"/>
      <c r="D29" s="51"/>
      <c r="E29" s="51"/>
      <c r="F29" s="51"/>
      <c r="G29" s="54"/>
      <c r="H29" s="193" t="s">
        <v>163</v>
      </c>
      <c r="I29" s="51" t="s">
        <v>164</v>
      </c>
      <c r="J29" s="189">
        <f>ROUND(G27*J7,0)</f>
        <v>30934</v>
      </c>
    </row>
    <row r="30" spans="1:10" ht="15.75" x14ac:dyDescent="0.2">
      <c r="A30" s="187"/>
      <c r="B30" s="187"/>
      <c r="C30" s="51"/>
      <c r="D30" s="51"/>
      <c r="E30" s="51"/>
      <c r="F30" s="51"/>
      <c r="G30" s="54"/>
      <c r="H30" s="193"/>
      <c r="I30" s="51"/>
      <c r="J30" s="89"/>
    </row>
    <row r="31" spans="1:10" ht="16.5" thickBot="1" x14ac:dyDescent="0.25">
      <c r="A31" s="187" t="s">
        <v>177</v>
      </c>
      <c r="B31" s="118" t="s">
        <v>195</v>
      </c>
      <c r="C31" s="51"/>
      <c r="D31" s="51"/>
      <c r="E31" s="51"/>
      <c r="F31" s="51"/>
      <c r="G31" s="51"/>
      <c r="H31" s="51"/>
      <c r="I31" s="51" t="s">
        <v>164</v>
      </c>
      <c r="J31" s="194">
        <f>J7+J29</f>
        <v>3391632</v>
      </c>
    </row>
    <row r="32" spans="1:10" ht="16.5" thickTop="1" x14ac:dyDescent="0.2">
      <c r="A32" s="51"/>
      <c r="B32" s="51"/>
      <c r="C32" s="51"/>
      <c r="D32" s="51"/>
      <c r="E32" s="51"/>
      <c r="F32" s="51"/>
      <c r="G32" s="51"/>
      <c r="H32" s="51"/>
      <c r="I32" s="51"/>
      <c r="J32" s="51"/>
    </row>
    <row r="33" spans="1:12" ht="15.75" x14ac:dyDescent="0.2">
      <c r="A33" s="187" t="s">
        <v>193</v>
      </c>
      <c r="B33" s="118" t="str">
        <f>CONCATENATE("Debt Service Levy in this ",J1," Budget")</f>
        <v>Debt Service Levy in this 2014 Budget</v>
      </c>
      <c r="C33" s="51"/>
      <c r="D33" s="51"/>
      <c r="E33" s="51"/>
      <c r="F33" s="51"/>
      <c r="G33" s="51"/>
      <c r="H33" s="51"/>
      <c r="I33" s="51"/>
      <c r="J33" s="507">
        <v>0</v>
      </c>
    </row>
    <row r="34" spans="1:12" ht="15.75" x14ac:dyDescent="0.2">
      <c r="A34" s="187"/>
      <c r="B34" s="118"/>
      <c r="C34" s="51"/>
      <c r="D34" s="51"/>
      <c r="E34" s="51"/>
      <c r="F34" s="51"/>
      <c r="G34" s="51"/>
      <c r="H34" s="51"/>
      <c r="I34" s="51"/>
      <c r="J34" s="54"/>
    </row>
    <row r="35" spans="1:12" ht="16.5" thickBot="1" x14ac:dyDescent="0.25">
      <c r="A35" s="187" t="s">
        <v>194</v>
      </c>
      <c r="B35" s="118" t="s">
        <v>196</v>
      </c>
      <c r="C35" s="51"/>
      <c r="D35" s="51"/>
      <c r="E35" s="51"/>
      <c r="F35" s="51"/>
      <c r="G35" s="51"/>
      <c r="H35" s="51"/>
      <c r="I35" s="51"/>
      <c r="J35" s="194">
        <f>J31+J33</f>
        <v>3391632</v>
      </c>
      <c r="L35" s="288">
        <f>+J35-cert!E39</f>
        <v>-171266.28000000026</v>
      </c>
    </row>
    <row r="36" spans="1:12" ht="16.5" thickTop="1" x14ac:dyDescent="0.2">
      <c r="A36" s="51"/>
      <c r="B36" s="51"/>
      <c r="C36" s="51"/>
      <c r="D36" s="51"/>
      <c r="E36" s="51"/>
      <c r="F36" s="51"/>
      <c r="G36" s="51"/>
      <c r="H36" s="51"/>
      <c r="I36" s="51"/>
      <c r="J36" s="51"/>
    </row>
    <row r="37" spans="1:12" s="195" customFormat="1" ht="18.75" x14ac:dyDescent="0.2">
      <c r="A37" s="557" t="str">
        <f>CONCATENATE("If the ",J1," budget includes tax levies exceeding the total on line 14, you must")</f>
        <v>If the 2014 budget includes tax levies exceeding the total on line 14, you must</v>
      </c>
      <c r="B37" s="557"/>
      <c r="C37" s="557"/>
      <c r="D37" s="557"/>
      <c r="E37" s="557"/>
      <c r="F37" s="557"/>
      <c r="G37" s="557"/>
      <c r="H37" s="557"/>
      <c r="I37" s="557"/>
      <c r="J37" s="557"/>
    </row>
    <row r="38" spans="1:12" s="195" customFormat="1" ht="18.75" x14ac:dyDescent="0.2">
      <c r="A38" s="557" t="s">
        <v>192</v>
      </c>
      <c r="B38" s="557"/>
      <c r="C38" s="557"/>
      <c r="D38" s="557"/>
      <c r="E38" s="557"/>
      <c r="F38" s="557"/>
      <c r="G38" s="557"/>
      <c r="H38" s="557"/>
      <c r="I38" s="557"/>
      <c r="J38" s="557"/>
    </row>
  </sheetData>
  <mergeCells count="4">
    <mergeCell ref="A37:J37"/>
    <mergeCell ref="A38:J38"/>
    <mergeCell ref="A3:J3"/>
    <mergeCell ref="E4:G4"/>
  </mergeCells>
  <phoneticPr fontId="0" type="noConversion"/>
  <pageMargins left="0.5" right="0.5" top="0.72" bottom="0.23" header="0.5" footer="0"/>
  <pageSetup scale="85" orientation="portrait" blackAndWhite="1" r:id="rId1"/>
  <headerFooter alignWithMargins="0">
    <oddHeader xml:space="preserve">&amp;RState of Kansas
County
</oddHeader>
    <oddFooter>&amp;CPage No.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47"/>
  <sheetViews>
    <sheetView zoomScaleNormal="100" workbookViewId="0"/>
  </sheetViews>
  <sheetFormatPr defaultRowHeight="15.75" x14ac:dyDescent="0.25"/>
  <cols>
    <col min="1" max="1" width="6.88671875" style="2" customWidth="1"/>
    <col min="2" max="2" width="18.77734375" style="2" customWidth="1"/>
    <col min="3" max="3" width="12.77734375" style="2" customWidth="1"/>
    <col min="4" max="4" width="0.21875" style="2" customWidth="1"/>
    <col min="5" max="9" width="11.77734375" style="2" customWidth="1"/>
    <col min="10" max="16384" width="8.88671875" style="2"/>
  </cols>
  <sheetData>
    <row r="1" spans="1:9" x14ac:dyDescent="0.25">
      <c r="A1" s="46"/>
      <c r="B1" s="12" t="str">
        <f>inputPrYr!C2</f>
        <v>Edwards County</v>
      </c>
      <c r="C1" s="7"/>
      <c r="D1" s="7"/>
      <c r="E1" s="7"/>
      <c r="F1" s="7"/>
      <c r="G1" s="6"/>
      <c r="H1" s="6"/>
      <c r="I1" s="43">
        <f>inputPrYr!C4</f>
        <v>2014</v>
      </c>
    </row>
    <row r="2" spans="1:9" x14ac:dyDescent="0.25">
      <c r="A2" s="46"/>
      <c r="B2" s="7"/>
      <c r="C2" s="7"/>
      <c r="D2" s="7"/>
      <c r="E2" s="7"/>
      <c r="F2" s="7"/>
      <c r="G2" s="6"/>
      <c r="H2" s="6"/>
      <c r="I2" s="13"/>
    </row>
    <row r="3" spans="1:9" x14ac:dyDescent="0.25">
      <c r="A3" s="46"/>
      <c r="B3" s="565" t="s">
        <v>316</v>
      </c>
      <c r="C3" s="565"/>
      <c r="D3" s="565"/>
      <c r="E3" s="565"/>
      <c r="F3" s="565"/>
      <c r="G3" s="565"/>
      <c r="H3" s="44"/>
      <c r="I3" s="45"/>
    </row>
    <row r="4" spans="1:9" x14ac:dyDescent="0.25">
      <c r="A4" s="46"/>
      <c r="B4" s="9"/>
      <c r="C4" s="10"/>
      <c r="D4" s="10"/>
      <c r="E4" s="10"/>
      <c r="F4" s="10"/>
      <c r="G4" s="7"/>
      <c r="H4" s="7"/>
      <c r="I4" s="13"/>
    </row>
    <row r="5" spans="1:9" ht="21.75" customHeight="1" x14ac:dyDescent="0.25">
      <c r="A5" s="46"/>
      <c r="B5" s="435" t="s">
        <v>317</v>
      </c>
      <c r="C5" s="559" t="str">
        <f>CONCATENATE("Budget Tax Levy Amount for ",I1-2,"")</f>
        <v>Budget Tax Levy Amount for 2012</v>
      </c>
      <c r="D5" s="560" t="str">
        <f>CONCATENATE("Budget Tax Levy Rate for ",I1-1,"")</f>
        <v>Budget Tax Levy Rate for 2013</v>
      </c>
      <c r="E5" s="562" t="str">
        <f>CONCATENATE("Allocation for Year ",I1,"")</f>
        <v>Allocation for Year 2014</v>
      </c>
      <c r="F5" s="563"/>
      <c r="G5" s="564"/>
      <c r="H5" s="45"/>
      <c r="I5" s="45"/>
    </row>
    <row r="6" spans="1:9" x14ac:dyDescent="0.25">
      <c r="A6" s="46"/>
      <c r="B6" s="5" t="str">
        <f>CONCATENATE("for ",I1-1,"")</f>
        <v>for 2013</v>
      </c>
      <c r="C6" s="537"/>
      <c r="D6" s="561"/>
      <c r="E6" s="181" t="s">
        <v>72</v>
      </c>
      <c r="F6" s="181" t="s">
        <v>158</v>
      </c>
      <c r="G6" s="158" t="s">
        <v>185</v>
      </c>
      <c r="H6" s="40"/>
      <c r="I6" s="45"/>
    </row>
    <row r="7" spans="1:9" x14ac:dyDescent="0.25">
      <c r="A7" s="46"/>
      <c r="B7" s="11" t="str">
        <f>(inputPrYr!B16)</f>
        <v>General</v>
      </c>
      <c r="C7" s="158">
        <f>(inputPrYr!E16)</f>
        <v>1355814</v>
      </c>
      <c r="D7" s="438">
        <f>IF(inputPrYr!F16&gt;0,(inputPrYr!F16),"  ")</f>
        <v>31.303000000000001</v>
      </c>
      <c r="E7" s="158">
        <f>IF(inputPrYr!E16&gt;0,E34-SUM(E8:E31),0)</f>
        <v>119015</v>
      </c>
      <c r="F7" s="158">
        <f>IF(inputPrYr!E16=0,0,F36-SUM(F8:F31))</f>
        <v>2054</v>
      </c>
      <c r="G7" s="158">
        <f>IF(inputPrYr!E16=0,0,G38-SUM(G8:G31))</f>
        <v>16719</v>
      </c>
      <c r="H7" s="40"/>
      <c r="I7" s="45"/>
    </row>
    <row r="8" spans="1:9" x14ac:dyDescent="0.25">
      <c r="A8" s="46"/>
      <c r="B8" s="11" t="str">
        <f>(inputPrYr!B17)</f>
        <v>Debt Service</v>
      </c>
      <c r="C8" s="158" t="str">
        <f>IF(inputPrYr!E17&gt;0,inputPrYr!E17," ")</f>
        <v xml:space="preserve"> </v>
      </c>
      <c r="D8" s="438" t="str">
        <f>IF(inputPrYr!F17&gt;0,(inputPrYr!F17),"  ")</f>
        <v xml:space="preserve">  </v>
      </c>
      <c r="E8" s="158" t="str">
        <f>IF(inputPrYr!$E$17&gt;0,ROUND(+C8*E$41,0)," ")</f>
        <v xml:space="preserve"> </v>
      </c>
      <c r="F8" s="158" t="str">
        <f>IF(inputPrYr!$E$17&gt;0,ROUND(+C8*F$43,0)," ")</f>
        <v xml:space="preserve"> </v>
      </c>
      <c r="G8" s="158" t="str">
        <f>IF(inputPrYr!$E$17&gt;0,ROUND(+C8*G$45,0)," ")</f>
        <v xml:space="preserve"> </v>
      </c>
      <c r="H8" s="40"/>
      <c r="I8" s="45"/>
    </row>
    <row r="9" spans="1:9" x14ac:dyDescent="0.25">
      <c r="A9" s="46"/>
      <c r="B9" s="11" t="str">
        <f>(inputPrYr!B18)</f>
        <v>Road &amp; Bridge</v>
      </c>
      <c r="C9" s="158">
        <f>IF(inputPrYr!E18&gt;0,inputPrYr!E18," ")</f>
        <v>798839</v>
      </c>
      <c r="D9" s="438">
        <f>IF(inputPrYr!F18&gt;0,(inputPrYr!F18),"  ")</f>
        <v>18.443000000000001</v>
      </c>
      <c r="E9" s="158">
        <f>IF(inputPrYr!$E$18&gt;0,ROUND(+C9*E$41,0)," ")</f>
        <v>70123</v>
      </c>
      <c r="F9" s="158">
        <f>IF(inputPrYr!$E$18&gt;0,ROUND(+C9*F$43,0)," ")</f>
        <v>1210</v>
      </c>
      <c r="G9" s="158">
        <f>IF(inputPrYr!$E$18&gt;0,ROUND(+C9*G$45,0)," ")</f>
        <v>9851</v>
      </c>
      <c r="H9" s="40"/>
      <c r="I9" s="45"/>
    </row>
    <row r="10" spans="1:9" x14ac:dyDescent="0.25">
      <c r="A10" s="46"/>
      <c r="B10" s="11" t="str">
        <f>IF((inputPrYr!$B19&gt;" "),(inputPrYr!$B19),"  ")</f>
        <v>Noxious Weed</v>
      </c>
      <c r="C10" s="158">
        <f>IF(inputPrYr!E19&gt;0,inputPrYr!E19,"  ")</f>
        <v>65293</v>
      </c>
      <c r="D10" s="438">
        <f>IF(inputPrYr!F19&gt;0,(inputPrYr!F19),"  ")</f>
        <v>1.5069999999999999</v>
      </c>
      <c r="E10" s="158">
        <f>IF(inputPrYr!$E$19&gt;0,ROUND(+C10*E$41,0)," ")</f>
        <v>5732</v>
      </c>
      <c r="F10" s="158">
        <f>IF(inputPrYr!$E$19&gt;0,ROUND(+C10*F$43,0)," ")</f>
        <v>99</v>
      </c>
      <c r="G10" s="158">
        <f>IF(inputPrYr!$E$19&gt;0,ROUND(+C10*G$45,0)," ")</f>
        <v>805</v>
      </c>
      <c r="H10" s="40"/>
      <c r="I10" s="45"/>
    </row>
    <row r="11" spans="1:9" x14ac:dyDescent="0.25">
      <c r="A11" s="46"/>
      <c r="B11" s="11" t="str">
        <f>IF((inputPrYr!$B20&gt;" "),(inputPrYr!$B20),"  ")</f>
        <v>Employee Benefits</v>
      </c>
      <c r="C11" s="158">
        <f>IF(inputPrYr!E20&gt;0,inputPrYr!E20,"  ")</f>
        <v>800636</v>
      </c>
      <c r="D11" s="438">
        <f>IF(inputPrYr!F20&gt;0,(inputPrYr!F20),"  ")</f>
        <v>18.484999999999999</v>
      </c>
      <c r="E11" s="158">
        <f>IF(inputPrYr!E20&gt;0,ROUND(+C11*E$41,0),"  ")</f>
        <v>70281</v>
      </c>
      <c r="F11" s="158">
        <f>IF(inputPrYr!E20&gt;0,ROUND(+C11*F$43,0),"  ")</f>
        <v>1213</v>
      </c>
      <c r="G11" s="158">
        <f>IF(inputPrYr!E20&gt;0,ROUND(+C11*G$45,0),"  ")</f>
        <v>9873</v>
      </c>
      <c r="H11" s="40"/>
      <c r="I11" s="45"/>
    </row>
    <row r="12" spans="1:9" x14ac:dyDescent="0.25">
      <c r="A12" s="46"/>
      <c r="B12" s="11" t="str">
        <f>IF((inputPrYr!$B21&gt;" "),(inputPrYr!$B21),"  ")</f>
        <v>County Health</v>
      </c>
      <c r="C12" s="158">
        <f>IF(inputPrYr!E21&gt;0,inputPrYr!E21,"  ")</f>
        <v>130567</v>
      </c>
      <c r="D12" s="438">
        <f>IF(inputPrYr!F21&gt;0,(inputPrYr!F21),"  ")</f>
        <v>3.0150000000000001</v>
      </c>
      <c r="E12" s="158">
        <f>IF(inputPrYr!E21&gt;0,ROUND(+C12*E$41,0),"  ")</f>
        <v>11461</v>
      </c>
      <c r="F12" s="158">
        <f>IF(inputPrYr!E21&gt;0,ROUND(+C12*F$43,0),"  ")</f>
        <v>198</v>
      </c>
      <c r="G12" s="158">
        <f>IF(inputPrYr!E21&gt;0,ROUND(+C12*G$45,0),"  ")</f>
        <v>1610</v>
      </c>
      <c r="H12" s="40"/>
      <c r="I12" s="45"/>
    </row>
    <row r="13" spans="1:9" x14ac:dyDescent="0.25">
      <c r="A13" s="46"/>
      <c r="B13" s="11" t="str">
        <f>IF((inputPrYr!$B22&gt;" "),(inputPrYr!$B22),"  ")</f>
        <v>Hospital Maintenance</v>
      </c>
      <c r="C13" s="158">
        <f>IF(inputPrYr!E22&gt;0,inputPrYr!E22,"  ")</f>
        <v>209549</v>
      </c>
      <c r="D13" s="438">
        <f>IF(inputPrYr!F22&gt;0,(inputPrYr!F22),"  ")</f>
        <v>4.8380000000000001</v>
      </c>
      <c r="E13" s="158">
        <f>IF(inputPrYr!E22&gt;0,ROUND(+C13*E$41,0),"  ")</f>
        <v>18395</v>
      </c>
      <c r="F13" s="158">
        <f>IF(inputPrYr!E22&gt;0,ROUND(+C13*F$43,0),"  ")</f>
        <v>318</v>
      </c>
      <c r="G13" s="158">
        <f>IF(inputPrYr!E22&gt;0,ROUND(+C13*G$45,0),"  ")</f>
        <v>2584</v>
      </c>
      <c r="H13" s="40"/>
      <c r="I13" s="45"/>
    </row>
    <row r="14" spans="1:9" x14ac:dyDescent="0.25">
      <c r="A14" s="46"/>
      <c r="B14" s="11" t="str">
        <f>IF((inputPrYr!$B23&gt;" "),(inputPrYr!$B23),"  ")</f>
        <v xml:space="preserve">  </v>
      </c>
      <c r="C14" s="158" t="str">
        <f>IF(inputPrYr!E23&gt;0,inputPrYr!E23,"  ")</f>
        <v xml:space="preserve">  </v>
      </c>
      <c r="D14" s="438" t="str">
        <f>IF(inputPrYr!F23&gt;0,(inputPrYr!F23),"  ")</f>
        <v xml:space="preserve">  </v>
      </c>
      <c r="E14" s="158" t="str">
        <f>IF(inputPrYr!E23&gt;0,ROUND(+C14*E$41,0),"  ")</f>
        <v xml:space="preserve">  </v>
      </c>
      <c r="F14" s="158" t="str">
        <f>IF(inputPrYr!E23&gt;0,ROUND(+C14*F$43,0),"  ")</f>
        <v xml:space="preserve">  </v>
      </c>
      <c r="G14" s="158" t="str">
        <f>IF(inputPrYr!E23&gt;0,ROUND(+C14*G$45,0),"  ")</f>
        <v xml:space="preserve">  </v>
      </c>
      <c r="H14" s="40"/>
      <c r="I14" s="45"/>
    </row>
    <row r="15" spans="1:9" x14ac:dyDescent="0.25">
      <c r="A15" s="46"/>
      <c r="B15" s="11" t="str">
        <f>IF((inputPrYr!$B24&gt;" "),(inputPrYr!$B24),"  ")</f>
        <v xml:space="preserve">  </v>
      </c>
      <c r="C15" s="158" t="str">
        <f>IF(inputPrYr!E24&gt;0,inputPrYr!E24,"  ")</f>
        <v xml:space="preserve">  </v>
      </c>
      <c r="D15" s="438" t="str">
        <f>IF(inputPrYr!F24&gt;0,(inputPrYr!F24),"  ")</f>
        <v xml:space="preserve">  </v>
      </c>
      <c r="E15" s="158" t="str">
        <f>IF(inputPrYr!E24&gt;0,ROUND(+C15*E$41,0),"  ")</f>
        <v xml:space="preserve">  </v>
      </c>
      <c r="F15" s="158" t="str">
        <f>IF(inputPrYr!E24&gt;0,ROUND(+C15*F$43,0),"  ")</f>
        <v xml:space="preserve">  </v>
      </c>
      <c r="G15" s="158" t="str">
        <f>IF(inputPrYr!E24&gt;0,ROUND(+C15*G$45,0),"  ")</f>
        <v xml:space="preserve">  </v>
      </c>
      <c r="H15" s="40"/>
      <c r="I15" s="45"/>
    </row>
    <row r="16" spans="1:9" x14ac:dyDescent="0.25">
      <c r="A16" s="46"/>
      <c r="B16" s="11" t="str">
        <f>IF((inputPrYr!$B25&gt;" "),(inputPrYr!$B25),"  ")</f>
        <v xml:space="preserve">  </v>
      </c>
      <c r="C16" s="158" t="str">
        <f>IF(inputPrYr!E25&gt;0,inputPrYr!E25,"  ")</f>
        <v xml:space="preserve">  </v>
      </c>
      <c r="D16" s="438" t="str">
        <f>IF(inputPrYr!F25&gt;0,(inputPrYr!F25),"  ")</f>
        <v xml:space="preserve">  </v>
      </c>
      <c r="E16" s="158" t="str">
        <f>IF(inputPrYr!E25&gt;0,ROUND(+C16*E$41,0),"  ")</f>
        <v xml:space="preserve">  </v>
      </c>
      <c r="F16" s="158" t="str">
        <f>IF(inputPrYr!E25&gt;0,ROUND(+C16*F$43,0),"  ")</f>
        <v xml:space="preserve">  </v>
      </c>
      <c r="G16" s="158" t="str">
        <f>IF(inputPrYr!E25&gt;0,ROUND(+C16*G$45,0),"  ")</f>
        <v xml:space="preserve">  </v>
      </c>
      <c r="H16" s="40"/>
      <c r="I16" s="45"/>
    </row>
    <row r="17" spans="1:9" x14ac:dyDescent="0.25">
      <c r="A17" s="46"/>
      <c r="B17" s="11" t="str">
        <f>IF((inputPrYr!$B26&gt;" "),(inputPrYr!$B26),"  ")</f>
        <v xml:space="preserve">  </v>
      </c>
      <c r="C17" s="158" t="str">
        <f>IF(inputPrYr!E26&gt;0,inputPrYr!E26,"  ")</f>
        <v xml:space="preserve">  </v>
      </c>
      <c r="D17" s="438" t="str">
        <f>IF(inputPrYr!F26&gt;0,(inputPrYr!F26),"  ")</f>
        <v xml:space="preserve">  </v>
      </c>
      <c r="E17" s="158" t="str">
        <f>IF(inputPrYr!E26&gt;0,ROUND(+C17*E$41,0),"  ")</f>
        <v xml:space="preserve">  </v>
      </c>
      <c r="F17" s="158" t="str">
        <f>IF(inputPrYr!E26&gt;0,ROUND(+C17*F$43,0),"  ")</f>
        <v xml:space="preserve">  </v>
      </c>
      <c r="G17" s="158" t="str">
        <f>IF(inputPrYr!E26&gt;0,ROUND(+C17*G$45,0),"  ")</f>
        <v xml:space="preserve">  </v>
      </c>
      <c r="H17" s="40"/>
      <c r="I17" s="45"/>
    </row>
    <row r="18" spans="1:9" x14ac:dyDescent="0.25">
      <c r="A18" s="46"/>
      <c r="B18" s="11" t="str">
        <f>IF((inputPrYr!$B27&gt;" "),(inputPrYr!$B27),"  ")</f>
        <v xml:space="preserve">  </v>
      </c>
      <c r="C18" s="158" t="str">
        <f>IF(inputPrYr!E27&gt;0,inputPrYr!E27,"  ")</f>
        <v xml:space="preserve">  </v>
      </c>
      <c r="D18" s="438" t="str">
        <f>IF(inputPrYr!F27&gt;0,(inputPrYr!F27),"  ")</f>
        <v xml:space="preserve">  </v>
      </c>
      <c r="E18" s="158" t="str">
        <f>IF(inputPrYr!E27&gt;0,ROUND(+C18*E$41,0),"  ")</f>
        <v xml:space="preserve">  </v>
      </c>
      <c r="F18" s="158" t="str">
        <f>IF(inputPrYr!E27&gt;0,ROUND(+C18*F$43,0),"  ")</f>
        <v xml:space="preserve">  </v>
      </c>
      <c r="G18" s="158" t="str">
        <f>IF(inputPrYr!E27&gt;0,ROUND(+C18*G$45,0),"  ")</f>
        <v xml:space="preserve">  </v>
      </c>
      <c r="H18" s="40"/>
      <c r="I18" s="45"/>
    </row>
    <row r="19" spans="1:9" x14ac:dyDescent="0.25">
      <c r="A19" s="46"/>
      <c r="B19" s="11" t="str">
        <f>IF((inputPrYr!$B28&gt;" "),(inputPrYr!$B28),"  ")</f>
        <v xml:space="preserve">  </v>
      </c>
      <c r="C19" s="158" t="str">
        <f>IF(inputPrYr!E28&gt;0,inputPrYr!E28,"  ")</f>
        <v xml:space="preserve">  </v>
      </c>
      <c r="D19" s="438" t="str">
        <f>IF(inputPrYr!F28&gt;0,(inputPrYr!F28),"  ")</f>
        <v xml:space="preserve">  </v>
      </c>
      <c r="E19" s="158" t="str">
        <f>IF(inputPrYr!E28&gt;0,ROUND(+C19*E$41,0),"  ")</f>
        <v xml:space="preserve">  </v>
      </c>
      <c r="F19" s="158" t="str">
        <f>IF(inputPrYr!E28&gt;0,ROUND(+C19*F$43,0),"  ")</f>
        <v xml:space="preserve">  </v>
      </c>
      <c r="G19" s="158" t="str">
        <f>IF(inputPrYr!E28&gt;0,ROUND(+C19*G$45,0),"  ")</f>
        <v xml:space="preserve">  </v>
      </c>
      <c r="H19" s="40"/>
      <c r="I19" s="45"/>
    </row>
    <row r="20" spans="1:9" x14ac:dyDescent="0.25">
      <c r="A20" s="46"/>
      <c r="B20" s="11" t="str">
        <f>IF((inputPrYr!$B29&gt;" "),(inputPrYr!$B29),"  ")</f>
        <v xml:space="preserve">  </v>
      </c>
      <c r="C20" s="158" t="str">
        <f>IF(inputPrYr!E29&gt;0,inputPrYr!E29,"  ")</f>
        <v xml:space="preserve">  </v>
      </c>
      <c r="D20" s="438" t="str">
        <f>IF(inputPrYr!F29&gt;0,(inputPrYr!F29),"  ")</f>
        <v xml:space="preserve">  </v>
      </c>
      <c r="E20" s="158" t="str">
        <f>IF(inputPrYr!E29&gt;0,ROUND(+C20*E$41,0),"  ")</f>
        <v xml:space="preserve">  </v>
      </c>
      <c r="F20" s="158" t="str">
        <f>IF(inputPrYr!E29&gt;0,ROUND(+C20*F$43,0),"  ")</f>
        <v xml:space="preserve">  </v>
      </c>
      <c r="G20" s="158" t="str">
        <f>IF(inputPrYr!E29&gt;0,ROUND(+C20*G$45,0),"  ")</f>
        <v xml:space="preserve">  </v>
      </c>
      <c r="H20" s="40"/>
      <c r="I20" s="45"/>
    </row>
    <row r="21" spans="1:9" x14ac:dyDescent="0.25">
      <c r="A21" s="46"/>
      <c r="B21" s="11" t="str">
        <f>IF((inputPrYr!$B30&gt;" "),(inputPrYr!$B30),"  ")</f>
        <v xml:space="preserve">  </v>
      </c>
      <c r="C21" s="158" t="str">
        <f>IF(inputPrYr!E30&gt;0,inputPrYr!E30,"  ")</f>
        <v xml:space="preserve">  </v>
      </c>
      <c r="D21" s="438" t="str">
        <f>IF(inputPrYr!F30&gt;0,(inputPrYr!F30),"  ")</f>
        <v xml:space="preserve">  </v>
      </c>
      <c r="E21" s="158" t="str">
        <f>IF(inputPrYr!E30&gt;0,ROUND(+C21*E$41,0),"  ")</f>
        <v xml:space="preserve">  </v>
      </c>
      <c r="F21" s="158" t="str">
        <f>IF(inputPrYr!E30&gt;0,ROUND(+C21*F$43,0),"  ")</f>
        <v xml:space="preserve">  </v>
      </c>
      <c r="G21" s="158" t="str">
        <f>IF(inputPrYr!E30&gt;0,ROUND(+C21*G$45,0),"  ")</f>
        <v xml:space="preserve">  </v>
      </c>
      <c r="H21" s="40"/>
      <c r="I21" s="45"/>
    </row>
    <row r="22" spans="1:9" x14ac:dyDescent="0.25">
      <c r="A22" s="46"/>
      <c r="B22" s="11" t="str">
        <f>IF((inputPrYr!$B31&gt;" "),(inputPrYr!$B31),"  ")</f>
        <v xml:space="preserve">  </v>
      </c>
      <c r="C22" s="158" t="str">
        <f>IF(inputPrYr!E31&gt;0,inputPrYr!E31,"  ")</f>
        <v xml:space="preserve">  </v>
      </c>
      <c r="D22" s="438" t="str">
        <f>IF(inputPrYr!F31&gt;0,(inputPrYr!F31),"  ")</f>
        <v xml:space="preserve">  </v>
      </c>
      <c r="E22" s="158" t="str">
        <f>IF(inputPrYr!E31&gt;0,ROUND(+C22*E$41,0),"  ")</f>
        <v xml:space="preserve">  </v>
      </c>
      <c r="F22" s="158" t="str">
        <f>IF(inputPrYr!E31&gt;0,ROUND(+C22*F$43,0),"  ")</f>
        <v xml:space="preserve">  </v>
      </c>
      <c r="G22" s="158" t="str">
        <f>IF(inputPrYr!E31&gt;0,ROUND(+C22*G$45,0),"  ")</f>
        <v xml:space="preserve">  </v>
      </c>
      <c r="H22" s="40"/>
      <c r="I22" s="45"/>
    </row>
    <row r="23" spans="1:9" x14ac:dyDescent="0.25">
      <c r="A23" s="46"/>
      <c r="B23" s="11" t="str">
        <f>IF((inputPrYr!$B32&gt;" "),(inputPrYr!$B32),"  ")</f>
        <v xml:space="preserve">  </v>
      </c>
      <c r="C23" s="158" t="str">
        <f>IF(inputPrYr!E32&gt;0,inputPrYr!E32,"  ")</f>
        <v xml:space="preserve">  </v>
      </c>
      <c r="D23" s="438" t="str">
        <f>IF(inputPrYr!F32&gt;0,(inputPrYr!F32),"  ")</f>
        <v xml:space="preserve">  </v>
      </c>
      <c r="E23" s="158" t="str">
        <f>IF(inputPrYr!E32&gt;0,ROUND(+C23*E$41,0),"  ")</f>
        <v xml:space="preserve">  </v>
      </c>
      <c r="F23" s="158" t="str">
        <f>IF(inputPrYr!E32&gt;0,ROUND(+C23*F$43,0),"  ")</f>
        <v xml:space="preserve">  </v>
      </c>
      <c r="G23" s="158" t="str">
        <f>IF(inputPrYr!E32&gt;0,ROUND(+C23*G$45,0),"  ")</f>
        <v xml:space="preserve">  </v>
      </c>
      <c r="H23" s="40"/>
      <c r="I23" s="45"/>
    </row>
    <row r="24" spans="1:9" x14ac:dyDescent="0.25">
      <c r="A24" s="46"/>
      <c r="B24" s="11" t="str">
        <f>IF((inputPrYr!$B33&gt;" "),(inputPrYr!$B33),"  ")</f>
        <v xml:space="preserve">  </v>
      </c>
      <c r="C24" s="158" t="str">
        <f>IF(inputPrYr!E33&gt;0,inputPrYr!E33,"  ")</f>
        <v xml:space="preserve">  </v>
      </c>
      <c r="D24" s="438" t="str">
        <f>IF(inputPrYr!F33&gt;0,(inputPrYr!F33),"  ")</f>
        <v xml:space="preserve">  </v>
      </c>
      <c r="E24" s="158" t="str">
        <f>IF(inputPrYr!E33&gt;0,ROUND(+C24*E$41,0),"  ")</f>
        <v xml:space="preserve">  </v>
      </c>
      <c r="F24" s="158" t="str">
        <f>IF(inputPrYr!E33&gt;0,ROUND(+C24*F$43,0),"  ")</f>
        <v xml:space="preserve">  </v>
      </c>
      <c r="G24" s="158" t="str">
        <f>IF(inputPrYr!E33&gt;0,ROUND(+C24*G$45,0),"  ")</f>
        <v xml:space="preserve">  </v>
      </c>
      <c r="H24" s="40"/>
      <c r="I24" s="45"/>
    </row>
    <row r="25" spans="1:9" x14ac:dyDescent="0.25">
      <c r="A25" s="46"/>
      <c r="B25" s="11" t="str">
        <f>IF((inputPrYr!$B34&gt;" "),(inputPrYr!$B34),"  ")</f>
        <v xml:space="preserve">  </v>
      </c>
      <c r="C25" s="158" t="str">
        <f>IF(inputPrYr!E34&gt;0,inputPrYr!E34,"  ")</f>
        <v xml:space="preserve">  </v>
      </c>
      <c r="D25" s="438" t="str">
        <f>IF(inputPrYr!F34&gt;0,(inputPrYr!F34),"  ")</f>
        <v xml:space="preserve">  </v>
      </c>
      <c r="E25" s="158" t="str">
        <f>IF(inputPrYr!E34&gt;0,ROUND(+C25*E$41,0),"  ")</f>
        <v xml:space="preserve">  </v>
      </c>
      <c r="F25" s="158" t="str">
        <f>IF(inputPrYr!E34&gt;0,ROUND(+C25*F$43,0),"  ")</f>
        <v xml:space="preserve">  </v>
      </c>
      <c r="G25" s="158" t="str">
        <f>IF(inputPrYr!E34&gt;0,ROUND(+C25*G$45,0),"  ")</f>
        <v xml:space="preserve">  </v>
      </c>
      <c r="H25" s="40"/>
      <c r="I25" s="45"/>
    </row>
    <row r="26" spans="1:9" x14ac:dyDescent="0.25">
      <c r="A26" s="46"/>
      <c r="B26" s="11" t="str">
        <f>IF((inputPrYr!$B35&gt;" "),(inputPrYr!$B35),"  ")</f>
        <v xml:space="preserve">  </v>
      </c>
      <c r="C26" s="158" t="str">
        <f>IF(inputPrYr!E35&gt;0,inputPrYr!E35,"  ")</f>
        <v xml:space="preserve">  </v>
      </c>
      <c r="D26" s="438" t="str">
        <f>IF(inputPrYr!F35&gt;0,(inputPrYr!F35),"  ")</f>
        <v xml:space="preserve">  </v>
      </c>
      <c r="E26" s="158" t="str">
        <f>IF(inputPrYr!E35&gt;0,ROUND(+C26*E$41,0),"  ")</f>
        <v xml:space="preserve">  </v>
      </c>
      <c r="F26" s="158" t="str">
        <f>IF(inputPrYr!E35&gt;0,ROUND(+C26*F$43,0),"  ")</f>
        <v xml:space="preserve">  </v>
      </c>
      <c r="G26" s="158" t="str">
        <f>IF(inputPrYr!E35&gt;0,ROUND(+C26*G$45,0),"  ")</f>
        <v xml:space="preserve">  </v>
      </c>
      <c r="H26" s="40"/>
      <c r="I26" s="45"/>
    </row>
    <row r="27" spans="1:9" x14ac:dyDescent="0.25">
      <c r="A27" s="46"/>
      <c r="B27" s="11" t="str">
        <f>IF((inputPrYr!$B36&gt;" "),(inputPrYr!$B36),"  ")</f>
        <v xml:space="preserve">  </v>
      </c>
      <c r="C27" s="158" t="str">
        <f>IF(inputPrYr!E36&gt;0,inputPrYr!E36,"  ")</f>
        <v xml:space="preserve">  </v>
      </c>
      <c r="D27" s="438" t="str">
        <f>IF(inputPrYr!F36&gt;0,(inputPrYr!F36),"  ")</f>
        <v xml:space="preserve">  </v>
      </c>
      <c r="E27" s="158" t="str">
        <f>IF(inputPrYr!E36&gt;0,ROUND(+C27*E$41,0),"  ")</f>
        <v xml:space="preserve">  </v>
      </c>
      <c r="F27" s="158" t="str">
        <f>IF(inputPrYr!E36&gt;0,ROUND(+C27*F$43,0),"  ")</f>
        <v xml:space="preserve">  </v>
      </c>
      <c r="G27" s="158" t="str">
        <f>IF(inputPrYr!E36&gt;0,ROUND(+C27*G$45,0),"  ")</f>
        <v xml:space="preserve">  </v>
      </c>
      <c r="H27" s="40"/>
      <c r="I27" s="45"/>
    </row>
    <row r="28" spans="1:9" x14ac:dyDescent="0.25">
      <c r="A28" s="46"/>
      <c r="B28" s="11" t="str">
        <f>IF((inputPrYr!$B37&gt;" "),(inputPrYr!$B37),"  ")</f>
        <v xml:space="preserve">  </v>
      </c>
      <c r="C28" s="158" t="str">
        <f>IF(inputPrYr!E37&gt;0,inputPrYr!E37,"  ")</f>
        <v xml:space="preserve">  </v>
      </c>
      <c r="D28" s="438" t="str">
        <f>IF(inputPrYr!F37&gt;0,(inputPrYr!F37),"  ")</f>
        <v xml:space="preserve">  </v>
      </c>
      <c r="E28" s="158" t="str">
        <f>IF(inputPrYr!E37&gt;0,ROUND(+C28*E$41,0),"  ")</f>
        <v xml:space="preserve">  </v>
      </c>
      <c r="F28" s="158" t="str">
        <f>IF(inputPrYr!E37&gt;0,ROUND(+C28*F$43,0),"  ")</f>
        <v xml:space="preserve">  </v>
      </c>
      <c r="G28" s="158" t="str">
        <f>IF(inputPrYr!E37&gt;0,ROUND(+C28*G$45,0),"  ")</f>
        <v xml:space="preserve">  </v>
      </c>
      <c r="H28" s="40"/>
      <c r="I28" s="45"/>
    </row>
    <row r="29" spans="1:9" x14ac:dyDescent="0.25">
      <c r="A29" s="46"/>
      <c r="B29" s="11" t="str">
        <f>IF((inputPrYr!$B38&gt;" "),(inputPrYr!$B38),"  ")</f>
        <v xml:space="preserve">  </v>
      </c>
      <c r="C29" s="158" t="str">
        <f>IF(inputPrYr!E38&gt;0,inputPrYr!E38,"  ")</f>
        <v xml:space="preserve">  </v>
      </c>
      <c r="D29" s="438" t="str">
        <f>IF(inputPrYr!F38&gt;0,(inputPrYr!F38),"  ")</f>
        <v xml:space="preserve">  </v>
      </c>
      <c r="E29" s="158" t="str">
        <f>IF(inputPrYr!E38&gt;0,ROUND(+C29*E$41,0),"  ")</f>
        <v xml:space="preserve">  </v>
      </c>
      <c r="F29" s="158" t="str">
        <f>IF(inputPrYr!E38&gt;0,ROUND(+C29*F$43,0),"  ")</f>
        <v xml:space="preserve">  </v>
      </c>
      <c r="G29" s="158" t="str">
        <f>IF(inputPrYr!E38&gt;0,ROUND(+C29*G$45,0),"  ")</f>
        <v xml:space="preserve">  </v>
      </c>
      <c r="H29" s="40"/>
      <c r="I29" s="45"/>
    </row>
    <row r="30" spans="1:9" x14ac:dyDescent="0.25">
      <c r="A30" s="46"/>
      <c r="B30" s="11" t="str">
        <f>IF((inputPrYr!$B39&gt;" "),(inputPrYr!$B39),"  ")</f>
        <v xml:space="preserve">  </v>
      </c>
      <c r="C30" s="158" t="str">
        <f>IF(inputPrYr!E39&gt;0,inputPrYr!E39,"  ")</f>
        <v xml:space="preserve">  </v>
      </c>
      <c r="D30" s="438" t="str">
        <f>IF(inputPrYr!F39&gt;0,(inputPrYr!F39),"  ")</f>
        <v xml:space="preserve">  </v>
      </c>
      <c r="E30" s="158" t="str">
        <f>IF(inputPrYr!E39&gt;0,ROUND(+C30*E$41,0),"  ")</f>
        <v xml:space="preserve">  </v>
      </c>
      <c r="F30" s="158" t="str">
        <f>IF(inputPrYr!E39&gt;0,ROUND(+C30*F$43,0),"  ")</f>
        <v xml:space="preserve">  </v>
      </c>
      <c r="G30" s="158" t="str">
        <f>IF(inputPrYr!E39&gt;0,ROUND(+C30*G$45,0),"  ")</f>
        <v xml:space="preserve">  </v>
      </c>
      <c r="H30" s="40"/>
      <c r="I30" s="45"/>
    </row>
    <row r="31" spans="1:9" x14ac:dyDescent="0.25">
      <c r="A31" s="46"/>
      <c r="B31" s="11" t="str">
        <f>IF((inputPrYr!$B40&gt;" "),(inputPrYr!$B40),"  ")</f>
        <v xml:space="preserve">  </v>
      </c>
      <c r="C31" s="158" t="str">
        <f>IF(inputPrYr!E40&gt;0,inputPrYr!E40,"  ")</f>
        <v xml:space="preserve">  </v>
      </c>
      <c r="D31" s="438" t="str">
        <f>IF(inputPrYr!F40&gt;0,(inputPrYr!F40),"  ")</f>
        <v xml:space="preserve">  </v>
      </c>
      <c r="E31" s="158" t="str">
        <f>IF(inputPrYr!E40&gt;0,ROUND(+C31*E$41,0),"  ")</f>
        <v xml:space="preserve">  </v>
      </c>
      <c r="F31" s="158" t="str">
        <f>IF(inputPrYr!E40&gt;0,ROUND(+C31*F$43,0),"  ")</f>
        <v xml:space="preserve">  </v>
      </c>
      <c r="G31" s="158" t="str">
        <f>IF(inputPrYr!E40&gt;0,ROUND(+C31*G$45,0),"  ")</f>
        <v xml:space="preserve">  </v>
      </c>
      <c r="H31" s="40"/>
      <c r="I31" s="45"/>
    </row>
    <row r="32" spans="1:9" ht="16.5" thickBot="1" x14ac:dyDescent="0.3">
      <c r="A32" s="46"/>
      <c r="B32" s="69" t="s">
        <v>68</v>
      </c>
      <c r="C32" s="436">
        <f>SUM(C7:C31)</f>
        <v>3360698</v>
      </c>
      <c r="D32" s="437">
        <f>SUM(D7:D31)</f>
        <v>77.590999999999994</v>
      </c>
      <c r="E32" s="436">
        <f>SUM(E7:E31)</f>
        <v>295007</v>
      </c>
      <c r="F32" s="436">
        <f>SUM(F7:F31)</f>
        <v>5092</v>
      </c>
      <c r="G32" s="436">
        <f>SUM(G7:G31)</f>
        <v>41442</v>
      </c>
      <c r="H32" s="45"/>
      <c r="I32" s="45"/>
    </row>
    <row r="33" spans="1:9" ht="16.5" thickTop="1" x14ac:dyDescent="0.25">
      <c r="A33" s="46"/>
      <c r="B33" s="30"/>
      <c r="C33" s="40"/>
      <c r="D33" s="47"/>
      <c r="E33" s="40"/>
      <c r="F33" s="40"/>
      <c r="G33" s="40"/>
      <c r="H33" s="40"/>
      <c r="I33" s="45"/>
    </row>
    <row r="34" spans="1:9" x14ac:dyDescent="0.25">
      <c r="A34" s="46"/>
      <c r="B34" s="8" t="s">
        <v>69</v>
      </c>
      <c r="C34" s="38"/>
      <c r="D34" s="38"/>
      <c r="E34" s="39">
        <f>(inputOth!E15)</f>
        <v>295007</v>
      </c>
      <c r="F34" s="38"/>
      <c r="G34" s="14"/>
      <c r="H34" s="14"/>
      <c r="I34" s="31"/>
    </row>
    <row r="35" spans="1:9" x14ac:dyDescent="0.25">
      <c r="A35" s="46"/>
      <c r="B35" s="8"/>
      <c r="C35" s="38"/>
      <c r="D35" s="38"/>
      <c r="E35" s="40"/>
      <c r="F35" s="38"/>
      <c r="G35" s="14"/>
      <c r="H35" s="14"/>
      <c r="I35" s="31"/>
    </row>
    <row r="36" spans="1:9" x14ac:dyDescent="0.25">
      <c r="A36" s="46"/>
      <c r="B36" s="8" t="s">
        <v>70</v>
      </c>
      <c r="C36" s="14"/>
      <c r="D36" s="14"/>
      <c r="E36" s="14"/>
      <c r="F36" s="39">
        <f>(inputOth!E16)</f>
        <v>5092</v>
      </c>
      <c r="G36" s="14"/>
      <c r="H36" s="14"/>
      <c r="I36" s="31"/>
    </row>
    <row r="37" spans="1:9" x14ac:dyDescent="0.25">
      <c r="A37" s="46"/>
      <c r="B37" s="8"/>
      <c r="C37" s="14"/>
      <c r="D37" s="14"/>
      <c r="E37" s="14"/>
      <c r="F37" s="40"/>
      <c r="G37" s="14"/>
      <c r="H37" s="14"/>
      <c r="I37" s="31"/>
    </row>
    <row r="38" spans="1:9" x14ac:dyDescent="0.25">
      <c r="A38" s="46"/>
      <c r="B38" s="8" t="s">
        <v>159</v>
      </c>
      <c r="C38" s="14"/>
      <c r="D38" s="14"/>
      <c r="E38" s="14"/>
      <c r="F38" s="14"/>
      <c r="G38" s="39">
        <f>inputOth!E17</f>
        <v>41442</v>
      </c>
      <c r="H38" s="40"/>
      <c r="I38" s="31"/>
    </row>
    <row r="39" spans="1:9" x14ac:dyDescent="0.25">
      <c r="A39" s="46"/>
      <c r="B39" s="7"/>
      <c r="C39" s="14"/>
      <c r="D39" s="14"/>
      <c r="E39" s="14"/>
      <c r="F39" s="14"/>
      <c r="G39" s="14"/>
      <c r="H39" s="14"/>
      <c r="I39" s="31"/>
    </row>
    <row r="40" spans="1:9" x14ac:dyDescent="0.25">
      <c r="A40" s="46"/>
      <c r="B40" s="7"/>
      <c r="C40" s="14"/>
      <c r="D40" s="14"/>
      <c r="E40" s="14"/>
      <c r="F40" s="14"/>
      <c r="G40" s="14"/>
      <c r="H40" s="14"/>
      <c r="I40" s="31"/>
    </row>
    <row r="41" spans="1:9" x14ac:dyDescent="0.25">
      <c r="A41" s="46"/>
      <c r="B41" s="8" t="s">
        <v>71</v>
      </c>
      <c r="C41" s="14"/>
      <c r="D41" s="14"/>
      <c r="E41" s="41">
        <f>IF(C32=0,0,E34/C32)</f>
        <v>8.7781466826236693E-2</v>
      </c>
      <c r="F41" s="14"/>
      <c r="G41" s="14"/>
      <c r="H41" s="14"/>
      <c r="I41" s="31"/>
    </row>
    <row r="42" spans="1:9" x14ac:dyDescent="0.25">
      <c r="A42" s="46"/>
      <c r="B42" s="8"/>
      <c r="C42" s="14"/>
      <c r="D42" s="14"/>
      <c r="E42" s="42"/>
      <c r="F42" s="14"/>
      <c r="G42" s="14"/>
      <c r="H42" s="14"/>
      <c r="I42" s="31"/>
    </row>
    <row r="43" spans="1:9" x14ac:dyDescent="0.25">
      <c r="A43" s="46"/>
      <c r="B43" s="8" t="s">
        <v>223</v>
      </c>
      <c r="C43" s="14"/>
      <c r="D43" s="14"/>
      <c r="E43" s="14"/>
      <c r="F43" s="41">
        <f>IF(C32=0,0,F36/C32)</f>
        <v>1.51516143372597E-3</v>
      </c>
      <c r="G43" s="14"/>
      <c r="H43" s="14"/>
      <c r="I43" s="31"/>
    </row>
    <row r="44" spans="1:9" x14ac:dyDescent="0.25">
      <c r="A44" s="46"/>
      <c r="B44" s="8"/>
      <c r="C44" s="14"/>
      <c r="D44" s="14"/>
      <c r="E44" s="14"/>
      <c r="F44" s="42"/>
      <c r="G44" s="14"/>
      <c r="H44" s="14"/>
      <c r="I44" s="31"/>
    </row>
    <row r="45" spans="1:9" x14ac:dyDescent="0.25">
      <c r="A45" s="46"/>
      <c r="B45" s="8" t="s">
        <v>222</v>
      </c>
      <c r="C45" s="14"/>
      <c r="D45" s="14"/>
      <c r="E45" s="14"/>
      <c r="F45" s="14"/>
      <c r="G45" s="41">
        <f>IF(C32=0,0,G38/C32)</f>
        <v>1.2331366876761911E-2</v>
      </c>
      <c r="H45" s="42"/>
      <c r="I45" s="31"/>
    </row>
    <row r="46" spans="1:9" x14ac:dyDescent="0.25">
      <c r="A46" s="46"/>
      <c r="B46" s="13"/>
      <c r="C46" s="31"/>
      <c r="D46" s="31"/>
      <c r="E46" s="31"/>
      <c r="F46" s="31"/>
      <c r="G46" s="31"/>
      <c r="H46" s="31"/>
      <c r="I46" s="31"/>
    </row>
    <row r="47" spans="1:9" x14ac:dyDescent="0.25">
      <c r="A47" s="46"/>
      <c r="B47" s="13"/>
      <c r="C47" s="31"/>
      <c r="D47" s="31"/>
      <c r="E47" s="31"/>
      <c r="F47" s="31"/>
      <c r="G47" s="31"/>
      <c r="H47" s="31"/>
      <c r="I47" s="31"/>
    </row>
  </sheetData>
  <sheetProtection sheet="1"/>
  <mergeCells count="4">
    <mergeCell ref="C5:C6"/>
    <mergeCell ref="D5:D6"/>
    <mergeCell ref="E5:G5"/>
    <mergeCell ref="B3:G3"/>
  </mergeCells>
  <phoneticPr fontId="8" type="noConversion"/>
  <pageMargins left="1.5" right="0.75" top="0.25" bottom="0.18" header="0" footer="0"/>
  <pageSetup scale="78" firstPageNumber="3" orientation="landscape" blackAndWhite="1" useFirstPageNumber="1" r:id="rId1"/>
  <headerFooter alignWithMargins="0">
    <oddHeader>&amp;RState of Kansas
County</oddHeader>
    <oddFooter>&amp;CPage No. 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32"/>
  <sheetViews>
    <sheetView zoomScaleNormal="100" workbookViewId="0">
      <selection activeCell="D19" sqref="D19"/>
    </sheetView>
  </sheetViews>
  <sheetFormatPr defaultRowHeight="15.75" x14ac:dyDescent="0.2"/>
  <cols>
    <col min="1" max="2" width="21.77734375" style="109" customWidth="1"/>
    <col min="3" max="6" width="12.77734375" style="109" customWidth="1"/>
    <col min="7" max="16384" width="8.88671875" style="109"/>
  </cols>
  <sheetData>
    <row r="1" spans="1:6" x14ac:dyDescent="0.2">
      <c r="A1" s="184"/>
      <c r="B1" s="51"/>
      <c r="C1" s="51"/>
      <c r="D1" s="51"/>
      <c r="E1" s="196"/>
      <c r="F1" s="51"/>
    </row>
    <row r="2" spans="1:6" x14ac:dyDescent="0.2">
      <c r="A2" s="110" t="str">
        <f>inputPrYr!C2</f>
        <v>Edwards County</v>
      </c>
      <c r="B2" s="110"/>
      <c r="C2" s="51"/>
      <c r="D2" s="51"/>
      <c r="E2" s="196"/>
      <c r="F2" s="51">
        <f>inputPrYr!C4</f>
        <v>2014</v>
      </c>
    </row>
    <row r="3" spans="1:6" x14ac:dyDescent="0.2">
      <c r="A3" s="184"/>
      <c r="B3" s="110"/>
      <c r="C3" s="51"/>
      <c r="D3" s="51"/>
      <c r="E3" s="196"/>
      <c r="F3" s="51"/>
    </row>
    <row r="4" spans="1:6" x14ac:dyDescent="0.2">
      <c r="A4" s="184"/>
      <c r="B4" s="51"/>
      <c r="C4" s="51"/>
      <c r="D4" s="51"/>
      <c r="E4" s="196"/>
      <c r="F4" s="51"/>
    </row>
    <row r="5" spans="1:6" ht="15" customHeight="1" x14ac:dyDescent="0.2">
      <c r="A5" s="558" t="s">
        <v>201</v>
      </c>
      <c r="B5" s="558"/>
      <c r="C5" s="558"/>
      <c r="D5" s="558"/>
      <c r="E5" s="558"/>
      <c r="F5" s="558"/>
    </row>
    <row r="6" spans="1:6" ht="14.25" customHeight="1" x14ac:dyDescent="0.2">
      <c r="A6" s="185"/>
      <c r="B6" s="197"/>
      <c r="C6" s="197"/>
      <c r="D6" s="197"/>
      <c r="E6" s="197"/>
      <c r="F6" s="197"/>
    </row>
    <row r="7" spans="1:6" ht="15" customHeight="1" x14ac:dyDescent="0.2">
      <c r="A7" s="198" t="s">
        <v>276</v>
      </c>
      <c r="B7" s="198" t="s">
        <v>277</v>
      </c>
      <c r="C7" s="199" t="s">
        <v>110</v>
      </c>
      <c r="D7" s="199" t="s">
        <v>224</v>
      </c>
      <c r="E7" s="199" t="s">
        <v>225</v>
      </c>
      <c r="F7" s="199" t="s">
        <v>251</v>
      </c>
    </row>
    <row r="8" spans="1:6" ht="15" customHeight="1" x14ac:dyDescent="0.2">
      <c r="A8" s="200" t="s">
        <v>278</v>
      </c>
      <c r="B8" s="200" t="s">
        <v>279</v>
      </c>
      <c r="C8" s="201" t="s">
        <v>250</v>
      </c>
      <c r="D8" s="201" t="s">
        <v>250</v>
      </c>
      <c r="E8" s="201" t="s">
        <v>250</v>
      </c>
      <c r="F8" s="201" t="s">
        <v>252</v>
      </c>
    </row>
    <row r="9" spans="1:6" s="183" customFormat="1" ht="15" customHeight="1" thickBot="1" x14ac:dyDescent="0.25">
      <c r="A9" s="202" t="s">
        <v>248</v>
      </c>
      <c r="B9" s="203" t="s">
        <v>249</v>
      </c>
      <c r="C9" s="204">
        <f>F2-2</f>
        <v>2012</v>
      </c>
      <c r="D9" s="204">
        <f>F2-1</f>
        <v>2013</v>
      </c>
      <c r="E9" s="204">
        <f>F2</f>
        <v>2014</v>
      </c>
      <c r="F9" s="203" t="s">
        <v>45</v>
      </c>
    </row>
    <row r="10" spans="1:6" ht="15" customHeight="1" thickTop="1" x14ac:dyDescent="0.2">
      <c r="A10" s="205" t="s">
        <v>46</v>
      </c>
      <c r="B10" s="205" t="s">
        <v>99</v>
      </c>
      <c r="C10" s="206">
        <v>40000</v>
      </c>
      <c r="D10" s="206">
        <v>40000</v>
      </c>
      <c r="E10" s="206">
        <v>40000</v>
      </c>
      <c r="F10" s="205" t="s">
        <v>200</v>
      </c>
    </row>
    <row r="11" spans="1:6" ht="15" customHeight="1" x14ac:dyDescent="0.2">
      <c r="A11" s="77" t="s">
        <v>328</v>
      </c>
      <c r="B11" s="77" t="s">
        <v>349</v>
      </c>
      <c r="C11" s="207">
        <v>10000</v>
      </c>
      <c r="D11" s="207">
        <v>5000</v>
      </c>
      <c r="E11" s="207">
        <v>5000</v>
      </c>
      <c r="F11" s="77" t="s">
        <v>350</v>
      </c>
    </row>
    <row r="12" spans="1:6" ht="15" customHeight="1" x14ac:dyDescent="0.2">
      <c r="A12" s="77" t="s">
        <v>335</v>
      </c>
      <c r="B12" s="77" t="s">
        <v>46</v>
      </c>
      <c r="C12" s="207">
        <v>13030</v>
      </c>
      <c r="D12" s="207">
        <v>15436</v>
      </c>
      <c r="E12" s="207">
        <v>12000</v>
      </c>
      <c r="F12" s="77" t="s">
        <v>351</v>
      </c>
    </row>
    <row r="13" spans="1:6" ht="15" customHeight="1" x14ac:dyDescent="0.2">
      <c r="A13" s="77" t="s">
        <v>46</v>
      </c>
      <c r="B13" s="77" t="s">
        <v>349</v>
      </c>
      <c r="C13" s="207">
        <v>61000</v>
      </c>
      <c r="D13" s="207">
        <v>0</v>
      </c>
      <c r="E13" s="207">
        <v>46000</v>
      </c>
      <c r="F13" s="77" t="s">
        <v>350</v>
      </c>
    </row>
    <row r="14" spans="1:6" ht="15" customHeight="1" x14ac:dyDescent="0.2">
      <c r="A14" s="77" t="s">
        <v>46</v>
      </c>
      <c r="B14" s="77" t="s">
        <v>341</v>
      </c>
      <c r="C14" s="207">
        <v>39000</v>
      </c>
      <c r="D14" s="207">
        <v>0</v>
      </c>
      <c r="E14" s="207">
        <v>46000</v>
      </c>
      <c r="F14" s="77" t="s">
        <v>352</v>
      </c>
    </row>
    <row r="15" spans="1:6" ht="15" customHeight="1" x14ac:dyDescent="0.2">
      <c r="A15" s="77" t="s">
        <v>353</v>
      </c>
      <c r="B15" s="77" t="s">
        <v>338</v>
      </c>
      <c r="C15" s="207">
        <v>20000</v>
      </c>
      <c r="D15" s="207">
        <v>0</v>
      </c>
      <c r="E15" s="207">
        <v>0</v>
      </c>
      <c r="F15" s="77" t="s">
        <v>354</v>
      </c>
    </row>
    <row r="16" spans="1:6" ht="15" customHeight="1" x14ac:dyDescent="0.2">
      <c r="A16" s="77" t="s">
        <v>353</v>
      </c>
      <c r="B16" s="77" t="s">
        <v>339</v>
      </c>
      <c r="C16" s="207">
        <v>80000</v>
      </c>
      <c r="D16" s="207">
        <v>0</v>
      </c>
      <c r="E16" s="207">
        <v>0</v>
      </c>
      <c r="F16" s="77" t="s">
        <v>355</v>
      </c>
    </row>
    <row r="17" spans="1:6" ht="15" customHeight="1" x14ac:dyDescent="0.2">
      <c r="A17" s="77" t="s">
        <v>327</v>
      </c>
      <c r="B17" s="77" t="s">
        <v>332</v>
      </c>
      <c r="C17" s="207">
        <v>8000</v>
      </c>
      <c r="D17" s="207">
        <v>10000</v>
      </c>
      <c r="E17" s="207">
        <v>0</v>
      </c>
      <c r="F17" s="77" t="s">
        <v>356</v>
      </c>
    </row>
    <row r="18" spans="1:6" ht="15" customHeight="1" x14ac:dyDescent="0.2">
      <c r="A18" s="77"/>
      <c r="B18" s="77"/>
      <c r="C18" s="207"/>
      <c r="D18" s="207"/>
      <c r="E18" s="207"/>
      <c r="F18" s="77"/>
    </row>
    <row r="19" spans="1:6" ht="15" customHeight="1" x14ac:dyDescent="0.2">
      <c r="A19" s="77"/>
      <c r="B19" s="208"/>
      <c r="C19" s="207"/>
      <c r="D19" s="207"/>
      <c r="E19" s="207"/>
      <c r="F19" s="77"/>
    </row>
    <row r="20" spans="1:6" ht="15" customHeight="1" x14ac:dyDescent="0.2">
      <c r="A20" s="77"/>
      <c r="B20" s="77"/>
      <c r="C20" s="207"/>
      <c r="D20" s="207"/>
      <c r="E20" s="207"/>
      <c r="F20" s="77"/>
    </row>
    <row r="21" spans="1:6" ht="15" customHeight="1" x14ac:dyDescent="0.2">
      <c r="A21" s="77"/>
      <c r="B21" s="77"/>
      <c r="C21" s="207"/>
      <c r="D21" s="207"/>
      <c r="E21" s="207"/>
      <c r="F21" s="77"/>
    </row>
    <row r="22" spans="1:6" ht="15" customHeight="1" x14ac:dyDescent="0.2">
      <c r="A22" s="77"/>
      <c r="B22" s="77"/>
      <c r="C22" s="207"/>
      <c r="D22" s="207"/>
      <c r="E22" s="207"/>
      <c r="F22" s="77"/>
    </row>
    <row r="23" spans="1:6" ht="15" customHeight="1" x14ac:dyDescent="0.2">
      <c r="A23" s="77"/>
      <c r="B23" s="77"/>
      <c r="C23" s="207"/>
      <c r="D23" s="207"/>
      <c r="E23" s="207"/>
      <c r="F23" s="77"/>
    </row>
    <row r="24" spans="1:6" ht="15" customHeight="1" x14ac:dyDescent="0.2">
      <c r="A24" s="77"/>
      <c r="B24" s="77"/>
      <c r="C24" s="207"/>
      <c r="D24" s="207"/>
      <c r="E24" s="207"/>
      <c r="F24" s="77"/>
    </row>
    <row r="25" spans="1:6" ht="15" customHeight="1" x14ac:dyDescent="0.2">
      <c r="A25" s="77"/>
      <c r="B25" s="77"/>
      <c r="C25" s="207"/>
      <c r="D25" s="207"/>
      <c r="E25" s="207"/>
      <c r="F25" s="77"/>
    </row>
    <row r="26" spans="1:6" ht="15" customHeight="1" x14ac:dyDescent="0.2">
      <c r="A26" s="77"/>
      <c r="B26" s="77"/>
      <c r="C26" s="207"/>
      <c r="D26" s="207"/>
      <c r="E26" s="207"/>
      <c r="F26" s="77"/>
    </row>
    <row r="27" spans="1:6" x14ac:dyDescent="0.2">
      <c r="A27" s="103"/>
      <c r="B27" s="209" t="s">
        <v>47</v>
      </c>
      <c r="C27" s="86">
        <f>SUM(C10:C26)</f>
        <v>271030</v>
      </c>
      <c r="D27" s="86">
        <f>SUM(D10:D26)</f>
        <v>70436</v>
      </c>
      <c r="E27" s="86">
        <f>SUM(E10:E26)</f>
        <v>149000</v>
      </c>
      <c r="F27" s="103"/>
    </row>
    <row r="28" spans="1:6" x14ac:dyDescent="0.2">
      <c r="A28" s="103"/>
      <c r="B28" s="210" t="s">
        <v>274</v>
      </c>
      <c r="C28" s="70"/>
      <c r="D28" s="71">
        <v>15436</v>
      </c>
      <c r="E28" s="71">
        <v>12000</v>
      </c>
      <c r="F28" s="103"/>
    </row>
    <row r="29" spans="1:6" x14ac:dyDescent="0.2">
      <c r="A29" s="103"/>
      <c r="B29" s="209" t="s">
        <v>253</v>
      </c>
      <c r="C29" s="86">
        <f>C27</f>
        <v>271030</v>
      </c>
      <c r="D29" s="86">
        <f>SUM(D27-D28)</f>
        <v>55000</v>
      </c>
      <c r="E29" s="86">
        <f>SUM(E27-E28)</f>
        <v>137000</v>
      </c>
      <c r="F29" s="103"/>
    </row>
    <row r="30" spans="1:6" x14ac:dyDescent="0.2">
      <c r="A30" s="103"/>
      <c r="B30" s="103"/>
      <c r="C30" s="103"/>
      <c r="D30" s="103"/>
      <c r="E30" s="103"/>
      <c r="F30" s="103"/>
    </row>
    <row r="31" spans="1:6" x14ac:dyDescent="0.2">
      <c r="A31" s="103"/>
      <c r="B31" s="103"/>
      <c r="C31" s="103"/>
      <c r="D31" s="103"/>
      <c r="E31" s="103"/>
      <c r="F31" s="103"/>
    </row>
    <row r="32" spans="1:6" x14ac:dyDescent="0.2">
      <c r="A32" s="522" t="s">
        <v>275</v>
      </c>
      <c r="B32" s="523" t="str">
        <f>CONCATENATE("Adjustments are required only if the transfer is being made in ",D9," and/or ",E9," from a non-budgeted fund.")</f>
        <v>Adjustments are required only if the transfer is being made in 2013 and/or 2014 from a non-budgeted fund.</v>
      </c>
      <c r="C32" s="103"/>
      <c r="D32" s="103"/>
      <c r="E32" s="103"/>
      <c r="F32" s="103"/>
    </row>
  </sheetData>
  <mergeCells count="1">
    <mergeCell ref="A5:F5"/>
  </mergeCells>
  <phoneticPr fontId="0" type="noConversion"/>
  <pageMargins left="0.5" right="0.5" top="0.72" bottom="0.23" header="0.5" footer="0"/>
  <pageSetup scale="84" firstPageNumber="4" orientation="portrait" blackAndWhite="1" r:id="rId1"/>
  <headerFooter alignWithMargins="0">
    <oddHeader xml:space="preserve">&amp;RState of Kansas
County
</oddHeader>
    <oddFooter>&amp;CPage No. 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AC42"/>
  <sheetViews>
    <sheetView zoomScaleNormal="100" workbookViewId="0"/>
  </sheetViews>
  <sheetFormatPr defaultRowHeight="15.75" x14ac:dyDescent="0.2"/>
  <cols>
    <col min="1" max="1" width="5.44140625" style="109" customWidth="1"/>
    <col min="2" max="2" width="20.77734375" style="109" customWidth="1"/>
    <col min="3" max="3" width="9.44140625" style="109" customWidth="1"/>
    <col min="4" max="4" width="9.77734375" style="109" customWidth="1"/>
    <col min="5" max="5" width="8.77734375" style="109" customWidth="1"/>
    <col min="6" max="6" width="12.77734375" style="109" customWidth="1"/>
    <col min="7" max="7" width="14" style="109" customWidth="1"/>
    <col min="8" max="13" width="9.77734375" style="109" customWidth="1"/>
    <col min="14" max="16384" width="8.88671875" style="109"/>
  </cols>
  <sheetData>
    <row r="1" spans="2:13" x14ac:dyDescent="0.2">
      <c r="B1" s="184" t="str">
        <f>inputPrYr!$C$2</f>
        <v>Edwards County</v>
      </c>
      <c r="C1" s="51"/>
      <c r="D1" s="51"/>
      <c r="E1" s="51"/>
      <c r="F1" s="51"/>
      <c r="G1" s="51"/>
      <c r="H1" s="51"/>
      <c r="I1" s="51"/>
      <c r="J1" s="51"/>
      <c r="K1" s="51"/>
      <c r="L1" s="51"/>
      <c r="M1" s="211">
        <f>inputPrYr!$C$4</f>
        <v>2014</v>
      </c>
    </row>
    <row r="2" spans="2:13" x14ac:dyDescent="0.2">
      <c r="B2" s="184"/>
      <c r="C2" s="51"/>
      <c r="D2" s="51"/>
      <c r="E2" s="51"/>
      <c r="F2" s="51"/>
      <c r="G2" s="51"/>
      <c r="H2" s="51"/>
      <c r="I2" s="51"/>
      <c r="J2" s="51"/>
      <c r="K2" s="51"/>
      <c r="L2" s="51"/>
      <c r="M2" s="196"/>
    </row>
    <row r="3" spans="2:13" x14ac:dyDescent="0.2">
      <c r="B3" s="212" t="s">
        <v>157</v>
      </c>
      <c r="C3" s="59"/>
      <c r="D3" s="59"/>
      <c r="E3" s="59"/>
      <c r="F3" s="59"/>
      <c r="G3" s="59"/>
      <c r="H3" s="59"/>
      <c r="I3" s="59"/>
      <c r="J3" s="59"/>
      <c r="K3" s="59"/>
      <c r="L3" s="59"/>
      <c r="M3" s="59"/>
    </row>
    <row r="4" spans="2:13" x14ac:dyDescent="0.2">
      <c r="B4" s="51"/>
      <c r="C4" s="213"/>
      <c r="D4" s="213"/>
      <c r="E4" s="213"/>
      <c r="F4" s="213"/>
      <c r="G4" s="213"/>
      <c r="H4" s="213"/>
      <c r="I4" s="213"/>
      <c r="J4" s="213"/>
      <c r="K4" s="213"/>
      <c r="L4" s="213"/>
      <c r="M4" s="213"/>
    </row>
    <row r="5" spans="2:13" x14ac:dyDescent="0.2">
      <c r="B5" s="214" t="s">
        <v>295</v>
      </c>
      <c r="C5" s="214" t="s">
        <v>125</v>
      </c>
      <c r="D5" s="214" t="s">
        <v>125</v>
      </c>
      <c r="E5" s="214" t="s">
        <v>139</v>
      </c>
      <c r="F5" s="214"/>
      <c r="G5" s="214" t="s">
        <v>254</v>
      </c>
      <c r="H5" s="51"/>
      <c r="I5" s="51"/>
      <c r="J5" s="215" t="s">
        <v>126</v>
      </c>
      <c r="K5" s="216"/>
      <c r="L5" s="215" t="s">
        <v>126</v>
      </c>
      <c r="M5" s="216"/>
    </row>
    <row r="6" spans="2:13" x14ac:dyDescent="0.2">
      <c r="B6" s="217" t="s">
        <v>127</v>
      </c>
      <c r="C6" s="217" t="s">
        <v>127</v>
      </c>
      <c r="D6" s="217" t="s">
        <v>255</v>
      </c>
      <c r="E6" s="217" t="s">
        <v>128</v>
      </c>
      <c r="F6" s="217" t="s">
        <v>66</v>
      </c>
      <c r="G6" s="217" t="s">
        <v>202</v>
      </c>
      <c r="H6" s="566" t="s">
        <v>129</v>
      </c>
      <c r="I6" s="567"/>
      <c r="J6" s="568">
        <f>M1-1</f>
        <v>2013</v>
      </c>
      <c r="K6" s="569"/>
      <c r="L6" s="568">
        <f>M1</f>
        <v>2014</v>
      </c>
      <c r="M6" s="569"/>
    </row>
    <row r="7" spans="2:13" x14ac:dyDescent="0.2">
      <c r="B7" s="220" t="s">
        <v>296</v>
      </c>
      <c r="C7" s="220" t="s">
        <v>130</v>
      </c>
      <c r="D7" s="220" t="s">
        <v>256</v>
      </c>
      <c r="E7" s="220" t="s">
        <v>89</v>
      </c>
      <c r="F7" s="220" t="s">
        <v>131</v>
      </c>
      <c r="G7" s="218" t="str">
        <f>CONCATENATE("Jan 1,",M1-1,"")</f>
        <v>Jan 1,2013</v>
      </c>
      <c r="H7" s="209" t="s">
        <v>139</v>
      </c>
      <c r="I7" s="209" t="s">
        <v>140</v>
      </c>
      <c r="J7" s="209" t="s">
        <v>139</v>
      </c>
      <c r="K7" s="209" t="s">
        <v>140</v>
      </c>
      <c r="L7" s="209" t="s">
        <v>139</v>
      </c>
      <c r="M7" s="209" t="s">
        <v>140</v>
      </c>
    </row>
    <row r="8" spans="2:13" x14ac:dyDescent="0.2">
      <c r="B8" s="219" t="s">
        <v>132</v>
      </c>
      <c r="C8" s="74"/>
      <c r="D8" s="74"/>
      <c r="E8" s="221"/>
      <c r="F8" s="222"/>
      <c r="G8" s="222"/>
      <c r="H8" s="74"/>
      <c r="I8" s="74"/>
      <c r="J8" s="222"/>
      <c r="K8" s="222"/>
      <c r="L8" s="222"/>
      <c r="M8" s="222"/>
    </row>
    <row r="9" spans="2:13" x14ac:dyDescent="0.2">
      <c r="B9" s="223" t="s">
        <v>395</v>
      </c>
      <c r="C9" s="357"/>
      <c r="D9" s="357"/>
      <c r="E9" s="224"/>
      <c r="F9" s="225"/>
      <c r="G9" s="226"/>
      <c r="H9" s="227"/>
      <c r="I9" s="227"/>
      <c r="J9" s="226"/>
      <c r="K9" s="226"/>
      <c r="L9" s="226"/>
      <c r="M9" s="226"/>
    </row>
    <row r="10" spans="2:13" x14ac:dyDescent="0.2">
      <c r="B10" s="223"/>
      <c r="C10" s="357"/>
      <c r="D10" s="357"/>
      <c r="E10" s="224"/>
      <c r="F10" s="225"/>
      <c r="G10" s="226"/>
      <c r="H10" s="227"/>
      <c r="I10" s="227"/>
      <c r="J10" s="226"/>
      <c r="K10" s="226"/>
      <c r="L10" s="226"/>
      <c r="M10" s="226"/>
    </row>
    <row r="11" spans="2:13" x14ac:dyDescent="0.2">
      <c r="B11" s="223"/>
      <c r="C11" s="357"/>
      <c r="D11" s="357"/>
      <c r="E11" s="224"/>
      <c r="F11" s="225"/>
      <c r="G11" s="226"/>
      <c r="H11" s="227"/>
      <c r="I11" s="227"/>
      <c r="J11" s="226"/>
      <c r="K11" s="226"/>
      <c r="L11" s="226"/>
      <c r="M11" s="226"/>
    </row>
    <row r="12" spans="2:13" x14ac:dyDescent="0.2">
      <c r="B12" s="223"/>
      <c r="C12" s="357"/>
      <c r="D12" s="357"/>
      <c r="E12" s="224"/>
      <c r="F12" s="225"/>
      <c r="G12" s="226"/>
      <c r="H12" s="227"/>
      <c r="I12" s="227"/>
      <c r="J12" s="226"/>
      <c r="K12" s="226"/>
      <c r="L12" s="226"/>
      <c r="M12" s="226"/>
    </row>
    <row r="13" spans="2:13" x14ac:dyDescent="0.2">
      <c r="B13" s="223"/>
      <c r="C13" s="357"/>
      <c r="D13" s="357"/>
      <c r="E13" s="224"/>
      <c r="F13" s="225"/>
      <c r="G13" s="226"/>
      <c r="H13" s="227"/>
      <c r="I13" s="227"/>
      <c r="J13" s="226"/>
      <c r="K13" s="226"/>
      <c r="L13" s="226"/>
      <c r="M13" s="226"/>
    </row>
    <row r="14" spans="2:13" x14ac:dyDescent="0.2">
      <c r="B14" s="223"/>
      <c r="C14" s="357"/>
      <c r="D14" s="357"/>
      <c r="E14" s="224"/>
      <c r="F14" s="225"/>
      <c r="G14" s="226"/>
      <c r="H14" s="227"/>
      <c r="I14" s="227"/>
      <c r="J14" s="226"/>
      <c r="K14" s="226"/>
      <c r="L14" s="226"/>
      <c r="M14" s="226"/>
    </row>
    <row r="15" spans="2:13" x14ac:dyDescent="0.2">
      <c r="B15" s="223"/>
      <c r="C15" s="357"/>
      <c r="D15" s="357"/>
      <c r="E15" s="224"/>
      <c r="F15" s="225"/>
      <c r="G15" s="226"/>
      <c r="H15" s="227"/>
      <c r="I15" s="227"/>
      <c r="J15" s="226"/>
      <c r="K15" s="226"/>
      <c r="L15" s="226"/>
      <c r="M15" s="226"/>
    </row>
    <row r="16" spans="2:13" x14ac:dyDescent="0.2">
      <c r="B16" s="223"/>
      <c r="C16" s="357"/>
      <c r="D16" s="357"/>
      <c r="E16" s="224"/>
      <c r="F16" s="225"/>
      <c r="G16" s="226"/>
      <c r="H16" s="227"/>
      <c r="I16" s="227"/>
      <c r="J16" s="226"/>
      <c r="K16" s="226"/>
      <c r="L16" s="226"/>
      <c r="M16" s="226"/>
    </row>
    <row r="17" spans="2:13" x14ac:dyDescent="0.2">
      <c r="B17" s="223"/>
      <c r="C17" s="357"/>
      <c r="D17" s="357"/>
      <c r="E17" s="224"/>
      <c r="F17" s="225"/>
      <c r="G17" s="226"/>
      <c r="H17" s="227"/>
      <c r="I17" s="227"/>
      <c r="J17" s="226"/>
      <c r="K17" s="226"/>
      <c r="L17" s="226"/>
      <c r="M17" s="226"/>
    </row>
    <row r="18" spans="2:13" x14ac:dyDescent="0.2">
      <c r="B18" s="223"/>
      <c r="C18" s="357"/>
      <c r="D18" s="357"/>
      <c r="E18" s="224"/>
      <c r="F18" s="225"/>
      <c r="G18" s="226"/>
      <c r="H18" s="227"/>
      <c r="I18" s="227"/>
      <c r="J18" s="226"/>
      <c r="K18" s="226"/>
      <c r="L18" s="226"/>
      <c r="M18" s="226"/>
    </row>
    <row r="19" spans="2:13" x14ac:dyDescent="0.2">
      <c r="B19" s="228" t="s">
        <v>133</v>
      </c>
      <c r="C19" s="229"/>
      <c r="D19" s="229"/>
      <c r="E19" s="230"/>
      <c r="F19" s="231"/>
      <c r="G19" s="232">
        <f>SUM(G9:G18)</f>
        <v>0</v>
      </c>
      <c r="H19" s="233"/>
      <c r="I19" s="233"/>
      <c r="J19" s="232">
        <f>SUM(J9:J18)</f>
        <v>0</v>
      </c>
      <c r="K19" s="232">
        <f>SUM(K9:K18)</f>
        <v>0</v>
      </c>
      <c r="L19" s="232">
        <f>SUM(L9:L18)</f>
        <v>0</v>
      </c>
      <c r="M19" s="232">
        <f>SUM(M9:M18)</f>
        <v>0</v>
      </c>
    </row>
    <row r="20" spans="2:13" x14ac:dyDescent="0.2">
      <c r="B20" s="209" t="s">
        <v>134</v>
      </c>
      <c r="C20" s="234"/>
      <c r="D20" s="234"/>
      <c r="E20" s="235"/>
      <c r="F20" s="236"/>
      <c r="G20" s="236"/>
      <c r="H20" s="237"/>
      <c r="I20" s="237"/>
      <c r="J20" s="236"/>
      <c r="K20" s="236"/>
      <c r="L20" s="236"/>
      <c r="M20" s="236"/>
    </row>
    <row r="21" spans="2:13" x14ac:dyDescent="0.2">
      <c r="B21" s="223" t="s">
        <v>395</v>
      </c>
      <c r="C21" s="357"/>
      <c r="D21" s="357"/>
      <c r="E21" s="224"/>
      <c r="F21" s="225"/>
      <c r="G21" s="226"/>
      <c r="H21" s="227"/>
      <c r="I21" s="227"/>
      <c r="J21" s="226"/>
      <c r="K21" s="226"/>
      <c r="L21" s="226"/>
      <c r="M21" s="226"/>
    </row>
    <row r="22" spans="2:13" x14ac:dyDescent="0.2">
      <c r="B22" s="223"/>
      <c r="C22" s="357"/>
      <c r="D22" s="357"/>
      <c r="E22" s="224"/>
      <c r="F22" s="225"/>
      <c r="G22" s="226"/>
      <c r="H22" s="227"/>
      <c r="I22" s="227"/>
      <c r="J22" s="226"/>
      <c r="K22" s="226"/>
      <c r="L22" s="226"/>
      <c r="M22" s="226"/>
    </row>
    <row r="23" spans="2:13" x14ac:dyDescent="0.2">
      <c r="B23" s="223"/>
      <c r="C23" s="357"/>
      <c r="D23" s="357"/>
      <c r="E23" s="224"/>
      <c r="F23" s="225"/>
      <c r="G23" s="226"/>
      <c r="H23" s="227"/>
      <c r="I23" s="227"/>
      <c r="J23" s="226"/>
      <c r="K23" s="226"/>
      <c r="L23" s="226"/>
      <c r="M23" s="226"/>
    </row>
    <row r="24" spans="2:13" x14ac:dyDescent="0.2">
      <c r="B24" s="223"/>
      <c r="C24" s="357"/>
      <c r="D24" s="357"/>
      <c r="E24" s="224"/>
      <c r="F24" s="225"/>
      <c r="G24" s="226"/>
      <c r="H24" s="227"/>
      <c r="I24" s="227"/>
      <c r="J24" s="226"/>
      <c r="K24" s="226"/>
      <c r="L24" s="226"/>
      <c r="M24" s="226"/>
    </row>
    <row r="25" spans="2:13" x14ac:dyDescent="0.2">
      <c r="B25" s="223"/>
      <c r="C25" s="357"/>
      <c r="D25" s="357"/>
      <c r="E25" s="224"/>
      <c r="F25" s="225"/>
      <c r="G25" s="226"/>
      <c r="H25" s="227"/>
      <c r="I25" s="227"/>
      <c r="J25" s="226"/>
      <c r="K25" s="226"/>
      <c r="L25" s="226"/>
      <c r="M25" s="226"/>
    </row>
    <row r="26" spans="2:13" x14ac:dyDescent="0.2">
      <c r="B26" s="223"/>
      <c r="C26" s="357"/>
      <c r="D26" s="357"/>
      <c r="E26" s="224"/>
      <c r="F26" s="225"/>
      <c r="G26" s="226"/>
      <c r="H26" s="227"/>
      <c r="I26" s="227"/>
      <c r="J26" s="226"/>
      <c r="K26" s="226"/>
      <c r="L26" s="226"/>
      <c r="M26" s="226"/>
    </row>
    <row r="27" spans="2:13" x14ac:dyDescent="0.2">
      <c r="B27" s="228" t="s">
        <v>135</v>
      </c>
      <c r="C27" s="229"/>
      <c r="D27" s="229"/>
      <c r="E27" s="238"/>
      <c r="F27" s="231"/>
      <c r="G27" s="239">
        <f>SUM(G21:G26)</f>
        <v>0</v>
      </c>
      <c r="H27" s="233"/>
      <c r="I27" s="233"/>
      <c r="J27" s="239">
        <f>SUM(J21:J26)</f>
        <v>0</v>
      </c>
      <c r="K27" s="239">
        <f>SUM(K21:K26)</f>
        <v>0</v>
      </c>
      <c r="L27" s="232">
        <f>SUM(L21:L26)</f>
        <v>0</v>
      </c>
      <c r="M27" s="239">
        <f>SUM(M21:M26)</f>
        <v>0</v>
      </c>
    </row>
    <row r="28" spans="2:13" x14ac:dyDescent="0.2">
      <c r="B28" s="209" t="s">
        <v>136</v>
      </c>
      <c r="C28" s="234"/>
      <c r="D28" s="234"/>
      <c r="E28" s="235"/>
      <c r="F28" s="236"/>
      <c r="G28" s="240"/>
      <c r="H28" s="237"/>
      <c r="I28" s="237"/>
      <c r="J28" s="236"/>
      <c r="K28" s="236"/>
      <c r="L28" s="236"/>
      <c r="M28" s="236"/>
    </row>
    <row r="29" spans="2:13" x14ac:dyDescent="0.2">
      <c r="B29" s="223" t="s">
        <v>395</v>
      </c>
      <c r="C29" s="357"/>
      <c r="D29" s="357"/>
      <c r="E29" s="224"/>
      <c r="F29" s="225"/>
      <c r="G29" s="226"/>
      <c r="H29" s="227"/>
      <c r="I29" s="227"/>
      <c r="J29" s="226"/>
      <c r="K29" s="226"/>
      <c r="L29" s="226"/>
      <c r="M29" s="226"/>
    </row>
    <row r="30" spans="2:13" x14ac:dyDescent="0.2">
      <c r="B30" s="223"/>
      <c r="C30" s="357"/>
      <c r="D30" s="357"/>
      <c r="E30" s="224"/>
      <c r="F30" s="225"/>
      <c r="G30" s="226"/>
      <c r="H30" s="227"/>
      <c r="I30" s="227"/>
      <c r="J30" s="226"/>
      <c r="K30" s="226"/>
      <c r="L30" s="226"/>
      <c r="M30" s="226"/>
    </row>
    <row r="31" spans="2:13" x14ac:dyDescent="0.2">
      <c r="B31" s="223"/>
      <c r="C31" s="357"/>
      <c r="D31" s="357"/>
      <c r="E31" s="224"/>
      <c r="F31" s="225"/>
      <c r="G31" s="226"/>
      <c r="H31" s="227"/>
      <c r="I31" s="227"/>
      <c r="J31" s="226"/>
      <c r="K31" s="226"/>
      <c r="L31" s="226"/>
      <c r="M31" s="226"/>
    </row>
    <row r="32" spans="2:13" x14ac:dyDescent="0.2">
      <c r="B32" s="223"/>
      <c r="C32" s="357"/>
      <c r="D32" s="357"/>
      <c r="E32" s="224"/>
      <c r="F32" s="225"/>
      <c r="G32" s="226"/>
      <c r="H32" s="227"/>
      <c r="I32" s="227"/>
      <c r="J32" s="226"/>
      <c r="K32" s="226"/>
      <c r="L32" s="226"/>
      <c r="M32" s="226"/>
    </row>
    <row r="33" spans="2:29" x14ac:dyDescent="0.2">
      <c r="B33" s="223"/>
      <c r="C33" s="357"/>
      <c r="D33" s="357"/>
      <c r="E33" s="224"/>
      <c r="F33" s="225"/>
      <c r="G33" s="226"/>
      <c r="H33" s="227"/>
      <c r="I33" s="227"/>
      <c r="J33" s="226"/>
      <c r="K33" s="226"/>
      <c r="L33" s="226"/>
      <c r="M33" s="226"/>
    </row>
    <row r="34" spans="2:29" x14ac:dyDescent="0.2">
      <c r="B34" s="223"/>
      <c r="C34" s="357"/>
      <c r="D34" s="357"/>
      <c r="E34" s="224"/>
      <c r="F34" s="225"/>
      <c r="G34" s="226"/>
      <c r="H34" s="227"/>
      <c r="I34" s="227"/>
      <c r="J34" s="226"/>
      <c r="K34" s="226"/>
      <c r="L34" s="226"/>
      <c r="M34" s="226"/>
    </row>
    <row r="35" spans="2:29" x14ac:dyDescent="0.2">
      <c r="B35" s="223"/>
      <c r="C35" s="357"/>
      <c r="D35" s="357"/>
      <c r="E35" s="224"/>
      <c r="F35" s="225"/>
      <c r="G35" s="226"/>
      <c r="H35" s="227"/>
      <c r="I35" s="227"/>
      <c r="J35" s="226"/>
      <c r="K35" s="226"/>
      <c r="L35" s="226"/>
      <c r="M35" s="226"/>
      <c r="N35" s="48"/>
      <c r="O35" s="48"/>
      <c r="P35" s="48"/>
      <c r="Q35" s="48"/>
      <c r="R35" s="48"/>
      <c r="S35" s="48"/>
      <c r="T35" s="48"/>
      <c r="U35" s="48"/>
      <c r="V35" s="48"/>
      <c r="W35" s="48"/>
      <c r="X35" s="48"/>
      <c r="Y35" s="48"/>
      <c r="Z35" s="48"/>
      <c r="AA35" s="48"/>
      <c r="AB35" s="48"/>
      <c r="AC35" s="48"/>
    </row>
    <row r="36" spans="2:29" x14ac:dyDescent="0.2">
      <c r="B36" s="228" t="s">
        <v>257</v>
      </c>
      <c r="C36" s="228"/>
      <c r="D36" s="228"/>
      <c r="E36" s="238"/>
      <c r="F36" s="231"/>
      <c r="G36" s="239">
        <f>SUM(G29:G35)</f>
        <v>0</v>
      </c>
      <c r="H36" s="231"/>
      <c r="I36" s="231"/>
      <c r="J36" s="239">
        <f>SUM(J29:J35)</f>
        <v>0</v>
      </c>
      <c r="K36" s="239">
        <f>SUM(K29:K35)</f>
        <v>0</v>
      </c>
      <c r="L36" s="239">
        <f>SUM(L29:L35)</f>
        <v>0</v>
      </c>
      <c r="M36" s="239">
        <f>SUM(M29:M35)</f>
        <v>0</v>
      </c>
    </row>
    <row r="37" spans="2:29" x14ac:dyDescent="0.2">
      <c r="B37" s="228" t="s">
        <v>137</v>
      </c>
      <c r="C37" s="228"/>
      <c r="D37" s="228"/>
      <c r="E37" s="228"/>
      <c r="F37" s="231"/>
      <c r="G37" s="239">
        <f>SUM(G19+G27+G36)</f>
        <v>0</v>
      </c>
      <c r="H37" s="231"/>
      <c r="I37" s="231"/>
      <c r="J37" s="239">
        <f>SUM(J19+J27+J36)</f>
        <v>0</v>
      </c>
      <c r="K37" s="239">
        <f>SUM(K19+K27+K36)</f>
        <v>0</v>
      </c>
      <c r="L37" s="239">
        <f>SUM(L19+L27+L36)</f>
        <v>0</v>
      </c>
      <c r="M37" s="239">
        <f>SUM(M19+M27+M36)</f>
        <v>0</v>
      </c>
    </row>
    <row r="38" spans="2:29" x14ac:dyDescent="0.2">
      <c r="B38" s="48"/>
      <c r="C38" s="48"/>
      <c r="D38" s="48"/>
      <c r="E38" s="48"/>
      <c r="F38" s="48"/>
      <c r="G38" s="48"/>
      <c r="H38" s="48"/>
      <c r="I38" s="48"/>
      <c r="J38" s="48"/>
      <c r="K38" s="48"/>
      <c r="L38" s="48"/>
      <c r="M38" s="48"/>
    </row>
    <row r="39" spans="2:29" x14ac:dyDescent="0.2">
      <c r="F39" s="241"/>
      <c r="G39" s="241"/>
      <c r="J39" s="241"/>
      <c r="K39" s="241"/>
      <c r="L39" s="241"/>
      <c r="M39" s="241"/>
    </row>
    <row r="40" spans="2:29" x14ac:dyDescent="0.2">
      <c r="F40" s="48"/>
      <c r="H40" s="242"/>
      <c r="N40" s="48"/>
    </row>
    <row r="41" spans="2:29" x14ac:dyDescent="0.2">
      <c r="B41" s="48"/>
      <c r="C41" s="48"/>
      <c r="D41" s="48"/>
      <c r="E41" s="48"/>
      <c r="F41" s="48"/>
      <c r="G41" s="48"/>
      <c r="H41" s="48"/>
      <c r="I41" s="48"/>
      <c r="J41" s="48"/>
      <c r="K41" s="48"/>
      <c r="L41" s="48"/>
      <c r="M41" s="48"/>
    </row>
    <row r="42" spans="2:29" x14ac:dyDescent="0.2">
      <c r="B42" s="48"/>
      <c r="C42" s="48"/>
      <c r="D42" s="48"/>
      <c r="E42" s="48"/>
      <c r="F42" s="48"/>
      <c r="G42" s="48"/>
      <c r="H42" s="48"/>
      <c r="I42" s="48"/>
      <c r="J42" s="48"/>
      <c r="K42" s="48"/>
      <c r="L42" s="48"/>
      <c r="M42" s="48"/>
    </row>
  </sheetData>
  <sheetProtection sheet="1"/>
  <mergeCells count="3">
    <mergeCell ref="H6:I6"/>
    <mergeCell ref="J6:K6"/>
    <mergeCell ref="L6:M6"/>
  </mergeCells>
  <phoneticPr fontId="0" type="noConversion"/>
  <pageMargins left="0.38" right="0.5" top="0.78" bottom="0.4" header="0.5" footer="0"/>
  <pageSetup scale="77" orientation="landscape" blackAndWhite="1" r:id="rId1"/>
  <headerFooter alignWithMargins="0">
    <oddHeader xml:space="preserve">&amp;RState of Kansas
County
</oddHeader>
    <oddFooter>&amp;CPage No. 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J48"/>
  <sheetViews>
    <sheetView zoomScaleNormal="100" workbookViewId="0"/>
  </sheetViews>
  <sheetFormatPr defaultRowHeight="15.75" x14ac:dyDescent="0.2"/>
  <cols>
    <col min="1" max="1" width="4.77734375" style="48" customWidth="1"/>
    <col min="2" max="2" width="25.77734375" style="48" customWidth="1"/>
    <col min="3" max="5" width="9.77734375" style="48" customWidth="1"/>
    <col min="6" max="6" width="17.109375" style="48" customWidth="1"/>
    <col min="7" max="9" width="15.77734375" style="48" customWidth="1"/>
    <col min="10" max="16384" width="8.88671875" style="48"/>
  </cols>
  <sheetData>
    <row r="1" spans="2:9" x14ac:dyDescent="0.2">
      <c r="B1" s="184" t="str">
        <f>inputPrYr!$C$2</f>
        <v>Edwards County</v>
      </c>
      <c r="C1" s="51"/>
      <c r="D1" s="51"/>
      <c r="E1" s="51"/>
      <c r="F1" s="51"/>
      <c r="G1" s="51"/>
      <c r="H1" s="51"/>
      <c r="I1" s="243">
        <f>inputPrYr!C4</f>
        <v>2014</v>
      </c>
    </row>
    <row r="2" spans="2:9" x14ac:dyDescent="0.2">
      <c r="B2" s="51"/>
      <c r="C2" s="51"/>
      <c r="D2" s="51"/>
      <c r="E2" s="51"/>
      <c r="F2" s="51"/>
      <c r="G2" s="51"/>
      <c r="H2" s="51"/>
      <c r="I2" s="196"/>
    </row>
    <row r="3" spans="2:9" x14ac:dyDescent="0.2">
      <c r="B3" s="51"/>
      <c r="C3" s="59"/>
      <c r="D3" s="59"/>
      <c r="E3" s="59"/>
      <c r="F3" s="59"/>
      <c r="G3" s="59"/>
      <c r="H3" s="59"/>
      <c r="I3" s="244"/>
    </row>
    <row r="4" spans="2:9" x14ac:dyDescent="0.2">
      <c r="B4" s="212" t="s">
        <v>149</v>
      </c>
      <c r="C4" s="59"/>
      <c r="D4" s="59"/>
      <c r="E4" s="59"/>
      <c r="F4" s="59"/>
      <c r="G4" s="59"/>
      <c r="H4" s="59"/>
      <c r="I4" s="59"/>
    </row>
    <row r="5" spans="2:9" x14ac:dyDescent="0.2">
      <c r="B5" s="80"/>
      <c r="C5" s="213"/>
      <c r="D5" s="213"/>
      <c r="E5" s="213"/>
      <c r="F5" s="213"/>
      <c r="G5" s="213"/>
      <c r="H5" s="213"/>
      <c r="I5" s="213"/>
    </row>
    <row r="6" spans="2:9" x14ac:dyDescent="0.2">
      <c r="B6" s="245"/>
      <c r="C6" s="246"/>
      <c r="D6" s="246"/>
      <c r="E6" s="246"/>
      <c r="F6" s="214" t="s">
        <v>47</v>
      </c>
      <c r="G6" s="246"/>
      <c r="H6" s="246"/>
      <c r="I6" s="246"/>
    </row>
    <row r="7" spans="2:9" x14ac:dyDescent="0.2">
      <c r="B7" s="245"/>
      <c r="C7" s="217"/>
      <c r="D7" s="217" t="s">
        <v>138</v>
      </c>
      <c r="E7" s="217" t="s">
        <v>139</v>
      </c>
      <c r="F7" s="217" t="s">
        <v>66</v>
      </c>
      <c r="G7" s="217" t="s">
        <v>140</v>
      </c>
      <c r="H7" s="217" t="s">
        <v>141</v>
      </c>
      <c r="I7" s="217" t="s">
        <v>141</v>
      </c>
    </row>
    <row r="8" spans="2:9" x14ac:dyDescent="0.2">
      <c r="B8" s="425" t="s">
        <v>298</v>
      </c>
      <c r="C8" s="217" t="s">
        <v>142</v>
      </c>
      <c r="D8" s="217" t="s">
        <v>143</v>
      </c>
      <c r="E8" s="217" t="s">
        <v>128</v>
      </c>
      <c r="F8" s="217" t="s">
        <v>144</v>
      </c>
      <c r="G8" s="217" t="s">
        <v>184</v>
      </c>
      <c r="H8" s="217" t="s">
        <v>145</v>
      </c>
      <c r="I8" s="217" t="s">
        <v>145</v>
      </c>
    </row>
    <row r="9" spans="2:9" x14ac:dyDescent="0.2">
      <c r="B9" s="424" t="s">
        <v>297</v>
      </c>
      <c r="C9" s="220" t="s">
        <v>125</v>
      </c>
      <c r="D9" s="248" t="s">
        <v>146</v>
      </c>
      <c r="E9" s="220" t="s">
        <v>89</v>
      </c>
      <c r="F9" s="248" t="s">
        <v>203</v>
      </c>
      <c r="G9" s="249" t="str">
        <f>CONCATENATE("Jan 1,",I1-1,"")</f>
        <v>Jan 1,2013</v>
      </c>
      <c r="H9" s="220">
        <f>I1-1</f>
        <v>2013</v>
      </c>
      <c r="I9" s="220">
        <f>I1</f>
        <v>2014</v>
      </c>
    </row>
    <row r="10" spans="2:9" x14ac:dyDescent="0.2">
      <c r="B10" s="250" t="s">
        <v>457</v>
      </c>
      <c r="C10" s="356">
        <v>41194</v>
      </c>
      <c r="D10" s="251">
        <v>60</v>
      </c>
      <c r="E10" s="252">
        <v>3.2</v>
      </c>
      <c r="F10" s="78">
        <v>190816</v>
      </c>
      <c r="G10" s="78">
        <v>190816</v>
      </c>
      <c r="H10" s="78">
        <v>41904</v>
      </c>
      <c r="I10" s="78">
        <v>41904</v>
      </c>
    </row>
    <row r="11" spans="2:9" x14ac:dyDescent="0.2">
      <c r="B11" s="250" t="s">
        <v>357</v>
      </c>
      <c r="C11" s="356">
        <v>40798</v>
      </c>
      <c r="D11" s="251">
        <v>20</v>
      </c>
      <c r="E11" s="252">
        <v>0</v>
      </c>
      <c r="F11" s="78">
        <v>173357</v>
      </c>
      <c r="G11" s="78">
        <v>47274</v>
      </c>
      <c r="H11" s="78">
        <v>47274</v>
      </c>
      <c r="I11" s="78"/>
    </row>
    <row r="12" spans="2:9" x14ac:dyDescent="0.2">
      <c r="B12" s="250"/>
      <c r="C12" s="356"/>
      <c r="D12" s="251"/>
      <c r="E12" s="252"/>
      <c r="F12" s="78"/>
      <c r="G12" s="78"/>
      <c r="H12" s="78"/>
      <c r="I12" s="78"/>
    </row>
    <row r="13" spans="2:9" x14ac:dyDescent="0.2">
      <c r="B13" s="250"/>
      <c r="C13" s="250"/>
      <c r="D13" s="251"/>
      <c r="E13" s="252"/>
      <c r="F13" s="78"/>
      <c r="G13" s="78"/>
      <c r="H13" s="78"/>
      <c r="I13" s="78"/>
    </row>
    <row r="14" spans="2:9" x14ac:dyDescent="0.2">
      <c r="B14" s="250"/>
      <c r="C14" s="250"/>
      <c r="D14" s="251"/>
      <c r="E14" s="252"/>
      <c r="F14" s="78"/>
      <c r="G14" s="78"/>
      <c r="H14" s="78"/>
      <c r="I14" s="78"/>
    </row>
    <row r="15" spans="2:9" x14ac:dyDescent="0.2">
      <c r="B15" s="250"/>
      <c r="C15" s="250"/>
      <c r="D15" s="251"/>
      <c r="E15" s="252"/>
      <c r="F15" s="78"/>
      <c r="G15" s="78"/>
      <c r="H15" s="78"/>
      <c r="I15" s="78"/>
    </row>
    <row r="16" spans="2:9" x14ac:dyDescent="0.2">
      <c r="B16" s="250"/>
      <c r="C16" s="250"/>
      <c r="D16" s="251"/>
      <c r="E16" s="252"/>
      <c r="F16" s="78"/>
      <c r="G16" s="78"/>
      <c r="H16" s="78"/>
      <c r="I16" s="78"/>
    </row>
    <row r="17" spans="2:9" x14ac:dyDescent="0.2">
      <c r="B17" s="250"/>
      <c r="C17" s="250"/>
      <c r="D17" s="251"/>
      <c r="E17" s="252"/>
      <c r="F17" s="78"/>
      <c r="G17" s="78"/>
      <c r="H17" s="78"/>
      <c r="I17" s="78"/>
    </row>
    <row r="18" spans="2:9" x14ac:dyDescent="0.2">
      <c r="B18" s="250"/>
      <c r="C18" s="250"/>
      <c r="D18" s="251"/>
      <c r="E18" s="252"/>
      <c r="F18" s="78"/>
      <c r="G18" s="78"/>
      <c r="H18" s="78"/>
      <c r="I18" s="78"/>
    </row>
    <row r="19" spans="2:9" x14ac:dyDescent="0.2">
      <c r="B19" s="250"/>
      <c r="C19" s="250"/>
      <c r="D19" s="251"/>
      <c r="E19" s="252"/>
      <c r="F19" s="78"/>
      <c r="G19" s="78"/>
      <c r="H19" s="78"/>
      <c r="I19" s="78"/>
    </row>
    <row r="20" spans="2:9" x14ac:dyDescent="0.2">
      <c r="B20" s="250"/>
      <c r="C20" s="250"/>
      <c r="D20" s="251"/>
      <c r="E20" s="252"/>
      <c r="F20" s="78"/>
      <c r="G20" s="78"/>
      <c r="H20" s="78"/>
      <c r="I20" s="78"/>
    </row>
    <row r="21" spans="2:9" x14ac:dyDescent="0.2">
      <c r="B21" s="250"/>
      <c r="C21" s="250"/>
      <c r="D21" s="251"/>
      <c r="E21" s="252"/>
      <c r="F21" s="78"/>
      <c r="G21" s="78"/>
      <c r="H21" s="78"/>
      <c r="I21" s="78"/>
    </row>
    <row r="22" spans="2:9" x14ac:dyDescent="0.2">
      <c r="B22" s="250"/>
      <c r="C22" s="250"/>
      <c r="D22" s="251"/>
      <c r="E22" s="252"/>
      <c r="F22" s="78"/>
      <c r="G22" s="78"/>
      <c r="H22" s="78"/>
      <c r="I22" s="78"/>
    </row>
    <row r="23" spans="2:9" x14ac:dyDescent="0.2">
      <c r="B23" s="250"/>
      <c r="C23" s="250"/>
      <c r="D23" s="251"/>
      <c r="E23" s="252"/>
      <c r="F23" s="78"/>
      <c r="G23" s="78"/>
      <c r="H23" s="78"/>
      <c r="I23" s="78"/>
    </row>
    <row r="24" spans="2:9" x14ac:dyDescent="0.2">
      <c r="B24" s="250"/>
      <c r="C24" s="250"/>
      <c r="D24" s="251"/>
      <c r="E24" s="252"/>
      <c r="F24" s="78"/>
      <c r="G24" s="78"/>
      <c r="H24" s="78"/>
      <c r="I24" s="78"/>
    </row>
    <row r="25" spans="2:9" x14ac:dyDescent="0.2">
      <c r="B25" s="250"/>
      <c r="C25" s="250"/>
      <c r="D25" s="251"/>
      <c r="E25" s="252"/>
      <c r="F25" s="78"/>
      <c r="G25" s="78"/>
      <c r="H25" s="78"/>
      <c r="I25" s="78"/>
    </row>
    <row r="26" spans="2:9" x14ac:dyDescent="0.2">
      <c r="B26" s="250"/>
      <c r="C26" s="250"/>
      <c r="D26" s="251"/>
      <c r="E26" s="252"/>
      <c r="F26" s="78"/>
      <c r="G26" s="78"/>
      <c r="H26" s="78"/>
      <c r="I26" s="78"/>
    </row>
    <row r="27" spans="2:9" x14ac:dyDescent="0.2">
      <c r="B27" s="250"/>
      <c r="C27" s="250"/>
      <c r="D27" s="251"/>
      <c r="E27" s="252"/>
      <c r="F27" s="78"/>
      <c r="G27" s="78"/>
      <c r="H27" s="78"/>
      <c r="I27" s="78"/>
    </row>
    <row r="28" spans="2:9" x14ac:dyDescent="0.2">
      <c r="B28" s="250"/>
      <c r="C28" s="250"/>
      <c r="D28" s="251"/>
      <c r="E28" s="252"/>
      <c r="F28" s="78"/>
      <c r="G28" s="78"/>
      <c r="H28" s="78"/>
      <c r="I28" s="78"/>
    </row>
    <row r="29" spans="2:9" x14ac:dyDescent="0.2">
      <c r="B29" s="250"/>
      <c r="C29" s="250"/>
      <c r="D29" s="251"/>
      <c r="E29" s="252"/>
      <c r="F29" s="78"/>
      <c r="G29" s="78"/>
      <c r="H29" s="78"/>
      <c r="I29" s="78"/>
    </row>
    <row r="30" spans="2:9" x14ac:dyDescent="0.2">
      <c r="B30" s="250"/>
      <c r="C30" s="250"/>
      <c r="D30" s="251"/>
      <c r="E30" s="252"/>
      <c r="F30" s="78"/>
      <c r="G30" s="78"/>
      <c r="H30" s="78"/>
      <c r="I30" s="78"/>
    </row>
    <row r="31" spans="2:9" x14ac:dyDescent="0.2">
      <c r="B31" s="250"/>
      <c r="C31" s="250"/>
      <c r="D31" s="251"/>
      <c r="E31" s="252"/>
      <c r="F31" s="78"/>
      <c r="G31" s="78"/>
      <c r="H31" s="78"/>
      <c r="I31" s="78"/>
    </row>
    <row r="32" spans="2:9" x14ac:dyDescent="0.2">
      <c r="B32" s="250"/>
      <c r="C32" s="250"/>
      <c r="D32" s="251"/>
      <c r="E32" s="252"/>
      <c r="F32" s="78"/>
      <c r="G32" s="78"/>
      <c r="H32" s="78"/>
      <c r="I32" s="78"/>
    </row>
    <row r="33" spans="2:10" x14ac:dyDescent="0.2">
      <c r="B33" s="250"/>
      <c r="C33" s="250"/>
      <c r="D33" s="251"/>
      <c r="E33" s="252"/>
      <c r="F33" s="78"/>
      <c r="G33" s="78"/>
      <c r="H33" s="78"/>
      <c r="I33" s="78"/>
    </row>
    <row r="34" spans="2:10" x14ac:dyDescent="0.2">
      <c r="B34" s="250"/>
      <c r="C34" s="250"/>
      <c r="D34" s="251"/>
      <c r="E34" s="252"/>
      <c r="F34" s="78"/>
      <c r="G34" s="78"/>
      <c r="H34" s="78"/>
      <c r="I34" s="78"/>
    </row>
    <row r="35" spans="2:10" x14ac:dyDescent="0.2">
      <c r="B35" s="250"/>
      <c r="C35" s="250"/>
      <c r="D35" s="251"/>
      <c r="E35" s="252"/>
      <c r="F35" s="78"/>
      <c r="G35" s="78"/>
      <c r="H35" s="78"/>
      <c r="I35" s="78"/>
    </row>
    <row r="36" spans="2:10" x14ac:dyDescent="0.2">
      <c r="B36" s="250"/>
      <c r="C36" s="250"/>
      <c r="D36" s="251"/>
      <c r="E36" s="252"/>
      <c r="F36" s="78"/>
      <c r="G36" s="78"/>
      <c r="H36" s="78"/>
      <c r="I36" s="78"/>
    </row>
    <row r="37" spans="2:10" ht="16.5" thickBot="1" x14ac:dyDescent="0.25">
      <c r="B37" s="426"/>
      <c r="C37" s="51"/>
      <c r="D37" s="51"/>
      <c r="E37" s="51"/>
      <c r="F37" s="228" t="s">
        <v>73</v>
      </c>
      <c r="G37" s="253">
        <f>SUM(G10:G36)</f>
        <v>238090</v>
      </c>
      <c r="H37" s="253">
        <f>SUM(H10:H36)</f>
        <v>89178</v>
      </c>
      <c r="I37" s="253">
        <f>SUM(I10:I36)</f>
        <v>41904</v>
      </c>
      <c r="J37" s="254"/>
    </row>
    <row r="38" spans="2:10" ht="16.5" thickTop="1" x14ac:dyDescent="0.2">
      <c r="B38" s="51"/>
      <c r="C38" s="51"/>
      <c r="D38" s="51"/>
      <c r="E38" s="51"/>
      <c r="F38" s="51"/>
      <c r="G38" s="51"/>
      <c r="H38" s="184"/>
      <c r="I38" s="184"/>
    </row>
    <row r="39" spans="2:10" x14ac:dyDescent="0.2">
      <c r="B39" s="255" t="s">
        <v>42</v>
      </c>
      <c r="C39" s="256"/>
      <c r="D39" s="256"/>
      <c r="E39" s="256"/>
      <c r="F39" s="256"/>
      <c r="G39" s="256"/>
      <c r="H39" s="184"/>
      <c r="I39" s="184"/>
    </row>
    <row r="40" spans="2:10" x14ac:dyDescent="0.2">
      <c r="B40" s="109"/>
      <c r="C40" s="109"/>
      <c r="D40" s="242"/>
      <c r="E40" s="109"/>
      <c r="F40" s="109"/>
      <c r="G40" s="109"/>
      <c r="H40" s="241"/>
      <c r="I40" s="241"/>
    </row>
    <row r="41" spans="2:10" x14ac:dyDescent="0.2">
      <c r="B41" s="109"/>
      <c r="C41" s="109"/>
      <c r="D41" s="109"/>
      <c r="E41" s="109"/>
      <c r="F41" s="109"/>
      <c r="G41" s="109"/>
      <c r="H41" s="109"/>
      <c r="I41" s="109"/>
    </row>
    <row r="42" spans="2:10" x14ac:dyDescent="0.2">
      <c r="B42" s="109"/>
      <c r="C42" s="109"/>
      <c r="D42" s="109"/>
      <c r="E42" s="109"/>
      <c r="F42" s="109"/>
      <c r="G42" s="109"/>
      <c r="H42" s="109"/>
      <c r="I42" s="109"/>
    </row>
    <row r="43" spans="2:10" x14ac:dyDescent="0.2">
      <c r="B43" s="109"/>
      <c r="C43" s="109"/>
      <c r="D43" s="109"/>
      <c r="E43" s="109"/>
      <c r="F43" s="109"/>
      <c r="G43" s="109"/>
      <c r="H43" s="109"/>
      <c r="I43" s="109"/>
    </row>
    <row r="44" spans="2:10" x14ac:dyDescent="0.2">
      <c r="B44" s="109"/>
      <c r="C44" s="109"/>
      <c r="D44" s="109"/>
      <c r="E44" s="109"/>
      <c r="F44" s="109"/>
      <c r="G44" s="109"/>
      <c r="H44" s="109"/>
      <c r="I44" s="109"/>
    </row>
    <row r="45" spans="2:10" x14ac:dyDescent="0.2">
      <c r="B45" s="109"/>
      <c r="C45" s="109"/>
      <c r="D45" s="109"/>
      <c r="E45" s="109"/>
      <c r="F45" s="109"/>
      <c r="G45" s="109"/>
      <c r="H45" s="109"/>
      <c r="I45" s="109"/>
    </row>
    <row r="46" spans="2:10" x14ac:dyDescent="0.2">
      <c r="B46" s="109"/>
      <c r="C46" s="109"/>
      <c r="D46" s="109"/>
      <c r="E46" s="109"/>
      <c r="F46" s="109"/>
      <c r="G46" s="109"/>
      <c r="H46" s="109"/>
      <c r="I46" s="109"/>
    </row>
    <row r="47" spans="2:10" x14ac:dyDescent="0.2">
      <c r="B47" s="109"/>
      <c r="C47" s="109"/>
      <c r="D47" s="109"/>
      <c r="E47" s="109"/>
      <c r="F47" s="109"/>
      <c r="G47" s="109"/>
      <c r="H47" s="109"/>
      <c r="I47" s="109"/>
    </row>
    <row r="48" spans="2:10" x14ac:dyDescent="0.2">
      <c r="B48" s="109"/>
      <c r="C48" s="109"/>
      <c r="D48" s="109"/>
      <c r="E48" s="109"/>
      <c r="F48" s="109"/>
      <c r="G48" s="109"/>
      <c r="H48" s="109"/>
      <c r="I48" s="109"/>
    </row>
  </sheetData>
  <sheetProtection sheet="1"/>
  <phoneticPr fontId="0" type="noConversion"/>
  <pageMargins left="0.17" right="0.5" top="0.78" bottom="0.4" header="0.5" footer="0"/>
  <pageSetup scale="87" orientation="landscape" blackAndWhite="1" r:id="rId1"/>
  <headerFooter alignWithMargins="0">
    <oddHeader xml:space="preserve">&amp;RState of Kansas
County
</oddHeader>
    <oddFooter>&amp;CPage No.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15</vt:i4>
      </vt:variant>
    </vt:vector>
  </HeadingPairs>
  <TitlesOfParts>
    <vt:vector size="40" baseType="lpstr">
      <vt:lpstr>inputPrYr</vt:lpstr>
      <vt:lpstr>inputOth</vt:lpstr>
      <vt:lpstr>inputBudSum</vt:lpstr>
      <vt:lpstr>cert</vt:lpstr>
      <vt:lpstr>computation</vt:lpstr>
      <vt:lpstr>mvalloc</vt:lpstr>
      <vt:lpstr>transfers</vt:lpstr>
      <vt:lpstr>debt</vt:lpstr>
      <vt:lpstr>lpform</vt:lpstr>
      <vt:lpstr>general</vt:lpstr>
      <vt:lpstr>gen-detail</vt:lpstr>
      <vt:lpstr>road</vt:lpstr>
      <vt:lpstr>NoxWeed  EmpBenefits</vt:lpstr>
      <vt:lpstr>Health  Hospital</vt:lpstr>
      <vt:lpstr>SpDrug  SpParks</vt:lpstr>
      <vt:lpstr>NoxWeedCO  911Emergency</vt:lpstr>
      <vt:lpstr>911Wireless  EdwardCo911</vt:lpstr>
      <vt:lpstr>Blank Page</vt:lpstr>
      <vt:lpstr>Blank Page 2</vt:lpstr>
      <vt:lpstr>nonbudA</vt:lpstr>
      <vt:lpstr>nonbudB</vt:lpstr>
      <vt:lpstr>nonbudC</vt:lpstr>
      <vt:lpstr>summ</vt:lpstr>
      <vt:lpstr>Nhood</vt:lpstr>
      <vt:lpstr>Resolution</vt:lpstr>
      <vt:lpstr>'911Wireless  EdwardCo911'!Print_Area</vt:lpstr>
      <vt:lpstr>'Blank Page'!Print_Area</vt:lpstr>
      <vt:lpstr>'Blank Page 2'!Print_Area</vt:lpstr>
      <vt:lpstr>computation!Print_Area</vt:lpstr>
      <vt:lpstr>'gen-detail'!Print_Area</vt:lpstr>
      <vt:lpstr>general!Print_Area</vt:lpstr>
      <vt:lpstr>'Health  Hospital'!Print_Area</vt:lpstr>
      <vt:lpstr>inputBudSum!Print_Area</vt:lpstr>
      <vt:lpstr>inputOth!Print_Area</vt:lpstr>
      <vt:lpstr>inputPrYr!Print_Area</vt:lpstr>
      <vt:lpstr>'NoxWeed  EmpBenefits'!Print_Area</vt:lpstr>
      <vt:lpstr>'NoxWeedCO  911Emergency'!Print_Area</vt:lpstr>
      <vt:lpstr>road!Print_Area</vt:lpstr>
      <vt:lpstr>'SpDrug  SpParks'!Print_Area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Edwards County Clerk</cp:lastModifiedBy>
  <cp:lastPrinted>2013-07-15T23:25:37Z</cp:lastPrinted>
  <dcterms:created xsi:type="dcterms:W3CDTF">1998-08-26T13:26:11Z</dcterms:created>
  <dcterms:modified xsi:type="dcterms:W3CDTF">2013-07-15T23:28:47Z</dcterms:modified>
</cp:coreProperties>
</file>