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05" windowWidth="9630" windowHeight="1170" tabRatio="909" activeTab="10"/>
  </bookViews>
  <sheets>
    <sheet name="Instructions" sheetId="1" r:id="rId1"/>
    <sheet name="inputPrYr" sheetId="2" r:id="rId2"/>
    <sheet name="inputOth" sheetId="29" r:id="rId3"/>
    <sheet name="inputBudSum" sheetId="49" r:id="rId4"/>
    <sheet name="cert" sheetId="3" r:id="rId5"/>
    <sheet name="computation" sheetId="24" r:id="rId6"/>
    <sheet name="mvalloc" sheetId="5" r:id="rId7"/>
    <sheet name="transfers" sheetId="27" r:id="rId8"/>
    <sheet name="TransferStatutes" sheetId="37" r:id="rId9"/>
    <sheet name="debt" sheetId="22" r:id="rId10"/>
    <sheet name="lpform" sheetId="23" r:id="rId11"/>
    <sheet name="Library Grant " sheetId="48" r:id="rId12"/>
    <sheet name="general" sheetId="7" r:id="rId13"/>
    <sheet name="GenDetail" sheetId="9" r:id="rId14"/>
    <sheet name="DebtSvs-Library" sheetId="28" r:id="rId15"/>
    <sheet name="Emp Ben-St Res" sheetId="8" r:id="rId16"/>
    <sheet name="Airport" sheetId="10" r:id="rId17"/>
    <sheet name="levy page11" sheetId="11" r:id="rId18"/>
    <sheet name="levy page12" sheetId="12" r:id="rId19"/>
    <sheet name="levy page13" sheetId="13" r:id="rId20"/>
    <sheet name="Sp Hwy-Sp Parks" sheetId="14" r:id="rId21"/>
    <sheet name="Fuller-Refuse" sheetId="15" r:id="rId22"/>
    <sheet name="Bed Tax" sheetId="16" r:id="rId23"/>
    <sheet name="Water" sheetId="17" r:id="rId24"/>
    <sheet name="SinNoLevy18" sheetId="31" r:id="rId25"/>
    <sheet name="SinNoLevy19" sheetId="32" r:id="rId26"/>
    <sheet name="SinNoLevy20" sheetId="33" r:id="rId27"/>
    <sheet name="SinNoLevy21" sheetId="34" r:id="rId28"/>
    <sheet name="Cap Imp-Eq Res" sheetId="30" r:id="rId29"/>
    <sheet name="NonBudB" sheetId="35" r:id="rId30"/>
    <sheet name="NonBudFunds" sheetId="43" r:id="rId31"/>
    <sheet name="summ" sheetId="21" r:id="rId32"/>
    <sheet name="nhood" sheetId="36" r:id="rId33"/>
    <sheet name="Ordinance" sheetId="26" r:id="rId34"/>
    <sheet name="Tab A" sheetId="38" r:id="rId35"/>
    <sheet name="Tab B" sheetId="39" r:id="rId36"/>
    <sheet name="Tab C" sheetId="40" r:id="rId37"/>
    <sheet name="Tab D" sheetId="41" r:id="rId38"/>
    <sheet name="Tab E" sheetId="42" r:id="rId39"/>
    <sheet name="Mill Rate Computation" sheetId="45" r:id="rId40"/>
    <sheet name="Helpful Links" sheetId="46" r:id="rId41"/>
    <sheet name="Legend" sheetId="25" r:id="rId42"/>
  </sheets>
  <definedNames>
    <definedName name="_xlnm.Print_Area" localSheetId="16">Airport!$B$1:$E$83</definedName>
    <definedName name="_xlnm.Print_Area" localSheetId="14">'DebtSvs-Library'!$B$1:$E$83</definedName>
    <definedName name="_xlnm.Print_Area" localSheetId="15">'Emp Ben-St Res'!$A$1:$E$83</definedName>
    <definedName name="_xlnm.Print_Area" localSheetId="13">GenDetail!$A$1:$D$61</definedName>
    <definedName name="_xlnm.Print_Area" localSheetId="12">general!$B$1:$E$121</definedName>
    <definedName name="_xlnm.Print_Area" localSheetId="1">inputPrYr!$A$1:$E$118</definedName>
    <definedName name="_xlnm.Print_Area" localSheetId="0">Instructions!$A$1:$A$102</definedName>
    <definedName name="_xlnm.Print_Area" localSheetId="17">'levy page11'!$A$1:$E$83</definedName>
    <definedName name="_xlnm.Print_Area" localSheetId="18">'levy page12'!$A$1:$E$83</definedName>
    <definedName name="_xlnm.Print_Area" localSheetId="19">'levy page13'!$A$1:$E$83</definedName>
    <definedName name="_xlnm.Print_Area" localSheetId="11">'Library Grant '!$A$1:$J$40</definedName>
    <definedName name="_xlnm.Print_Area" localSheetId="10">lpform!$B$1:$I$38</definedName>
    <definedName name="_xlnm.Print_Area" localSheetId="39">'Mill Rate Computation'!#REF!</definedName>
    <definedName name="_xlnm.Print_Area" localSheetId="31">summ!$A$2:$H$61</definedName>
  </definedNames>
  <calcPr calcId="125725"/>
</workbook>
</file>

<file path=xl/calcChain.xml><?xml version="1.0" encoding="utf-8"?>
<calcChain xmlns="http://schemas.openxmlformats.org/spreadsheetml/2006/main">
  <c r="G19" i="2"/>
  <c r="D48"/>
  <c r="D48" i="13"/>
  <c r="D60" s="1"/>
  <c r="D8"/>
  <c r="D48" i="12"/>
  <c r="D8"/>
  <c r="D48" i="11"/>
  <c r="D8"/>
  <c r="D48" i="10"/>
  <c r="D8"/>
  <c r="D20"/>
  <c r="D19" s="1"/>
  <c r="D48" i="8"/>
  <c r="D60"/>
  <c r="D8"/>
  <c r="D48" i="28"/>
  <c r="D60" s="1"/>
  <c r="D59" s="1"/>
  <c r="D8"/>
  <c r="D20" s="1"/>
  <c r="D21" s="1"/>
  <c r="D9" i="7"/>
  <c r="D56" s="1"/>
  <c r="D55" s="1"/>
  <c r="J29" i="12"/>
  <c r="J28"/>
  <c r="J29" i="11"/>
  <c r="J28"/>
  <c r="J29" i="10"/>
  <c r="J28"/>
  <c r="J29" i="8"/>
  <c r="J28"/>
  <c r="J29" i="28"/>
  <c r="J28"/>
  <c r="J67"/>
  <c r="J27"/>
  <c r="J67" i="8"/>
  <c r="J27"/>
  <c r="J67" i="10"/>
  <c r="J27"/>
  <c r="J67" i="11"/>
  <c r="J27"/>
  <c r="J67" i="12"/>
  <c r="J27"/>
  <c r="J67" i="13"/>
  <c r="J27"/>
  <c r="D59" i="7"/>
  <c r="D21" i="3"/>
  <c r="J148" i="45"/>
  <c r="H134"/>
  <c r="C137"/>
  <c r="J137"/>
  <c r="C123"/>
  <c r="H120"/>
  <c r="H114"/>
  <c r="F117"/>
  <c r="H117"/>
  <c r="F123"/>
  <c r="H100"/>
  <c r="C103"/>
  <c r="J103"/>
  <c r="F97"/>
  <c r="H97"/>
  <c r="F103"/>
  <c r="H94"/>
  <c r="C83"/>
  <c r="H80"/>
  <c r="H74"/>
  <c r="F77"/>
  <c r="H77"/>
  <c r="F83"/>
  <c r="J83"/>
  <c r="H48"/>
  <c r="F50"/>
  <c r="J50"/>
  <c r="H41"/>
  <c r="B28"/>
  <c r="H28"/>
  <c r="H25"/>
  <c r="C25"/>
  <c r="G30" i="2"/>
  <c r="G29"/>
  <c r="G28"/>
  <c r="G27"/>
  <c r="G26"/>
  <c r="G25"/>
  <c r="G24"/>
  <c r="G23"/>
  <c r="G22"/>
  <c r="G21"/>
  <c r="G18"/>
  <c r="G17"/>
  <c r="A6" i="21"/>
  <c r="A8"/>
  <c r="B59"/>
  <c r="A58"/>
  <c r="G20" i="49"/>
  <c r="G23" s="1"/>
  <c r="G22"/>
  <c r="G21"/>
  <c r="G19"/>
  <c r="D19" i="3"/>
  <c r="B19"/>
  <c r="B19" i="48"/>
  <c r="B18"/>
  <c r="B17"/>
  <c r="B16"/>
  <c r="B15"/>
  <c r="E19"/>
  <c r="E18"/>
  <c r="E17"/>
  <c r="E16"/>
  <c r="G16"/>
  <c r="G14"/>
  <c r="B78"/>
  <c r="E14"/>
  <c r="B89"/>
  <c r="B8"/>
  <c r="B7"/>
  <c r="B5"/>
  <c r="E36" i="17"/>
  <c r="D36"/>
  <c r="C36"/>
  <c r="E35" i="16"/>
  <c r="D35"/>
  <c r="C35"/>
  <c r="E44" i="13"/>
  <c r="D44"/>
  <c r="C44"/>
  <c r="E44" i="12"/>
  <c r="D44"/>
  <c r="C44"/>
  <c r="E44" i="11"/>
  <c r="D44"/>
  <c r="C44"/>
  <c r="E44" i="10"/>
  <c r="D44"/>
  <c r="C44"/>
  <c r="E44" i="8"/>
  <c r="D44"/>
  <c r="C44"/>
  <c r="E44" i="28"/>
  <c r="D44"/>
  <c r="C44"/>
  <c r="E64" i="7"/>
  <c r="D64"/>
  <c r="C64"/>
  <c r="D39" i="13"/>
  <c r="D79"/>
  <c r="D39" i="12"/>
  <c r="D79"/>
  <c r="D39" i="11"/>
  <c r="D79"/>
  <c r="D39" i="10"/>
  <c r="D79"/>
  <c r="D79" i="8"/>
  <c r="D79" i="28"/>
  <c r="D39"/>
  <c r="D75"/>
  <c r="G2" i="5"/>
  <c r="C23" i="3"/>
  <c r="B66" i="2"/>
  <c r="B8" i="36"/>
  <c r="A18" i="21"/>
  <c r="B45" i="28"/>
  <c r="C9" i="5"/>
  <c r="B9"/>
  <c r="B23" i="3"/>
  <c r="A63" i="29"/>
  <c r="A23"/>
  <c r="C75" i="13"/>
  <c r="C35"/>
  <c r="C75" i="12"/>
  <c r="C35"/>
  <c r="C75" i="11"/>
  <c r="C95" s="1"/>
  <c r="B77" s="1"/>
  <c r="C35"/>
  <c r="C75" i="10"/>
  <c r="C35"/>
  <c r="C93" s="1"/>
  <c r="C75" i="8"/>
  <c r="C35"/>
  <c r="C75" i="28"/>
  <c r="A37" i="21"/>
  <c r="E28"/>
  <c r="G84" i="13" s="1"/>
  <c r="C28" i="21"/>
  <c r="C27"/>
  <c r="C26"/>
  <c r="C25"/>
  <c r="C24"/>
  <c r="C23"/>
  <c r="C22"/>
  <c r="C21"/>
  <c r="C20"/>
  <c r="C19"/>
  <c r="C18"/>
  <c r="B18" i="36"/>
  <c r="B17"/>
  <c r="B16"/>
  <c r="B15"/>
  <c r="B14"/>
  <c r="B13"/>
  <c r="B12"/>
  <c r="B11"/>
  <c r="B10"/>
  <c r="B9"/>
  <c r="D54" i="21"/>
  <c r="D53"/>
  <c r="D52"/>
  <c r="D51"/>
  <c r="D55" s="1"/>
  <c r="B54"/>
  <c r="B53"/>
  <c r="B52"/>
  <c r="B51"/>
  <c r="B46"/>
  <c r="B48"/>
  <c r="D48"/>
  <c r="E27" i="48" s="1"/>
  <c r="F48" i="21"/>
  <c r="G27" i="48"/>
  <c r="E28" s="1"/>
  <c r="A28" i="21"/>
  <c r="A27"/>
  <c r="A26"/>
  <c r="A25"/>
  <c r="A24"/>
  <c r="A23"/>
  <c r="A22"/>
  <c r="A21"/>
  <c r="A20"/>
  <c r="A19"/>
  <c r="G23" i="3"/>
  <c r="G33"/>
  <c r="C19" i="5"/>
  <c r="C18"/>
  <c r="C17"/>
  <c r="C16"/>
  <c r="C15"/>
  <c r="C14"/>
  <c r="C13"/>
  <c r="C12"/>
  <c r="C11"/>
  <c r="C10"/>
  <c r="B19"/>
  <c r="B18"/>
  <c r="B17"/>
  <c r="B16"/>
  <c r="B15"/>
  <c r="B14"/>
  <c r="B13"/>
  <c r="B12"/>
  <c r="B11"/>
  <c r="B10"/>
  <c r="D31" i="3"/>
  <c r="D33"/>
  <c r="D27"/>
  <c r="D29"/>
  <c r="D25"/>
  <c r="D23"/>
  <c r="C33"/>
  <c r="C32"/>
  <c r="C31"/>
  <c r="C30"/>
  <c r="C29"/>
  <c r="C28"/>
  <c r="C27"/>
  <c r="C26"/>
  <c r="C25"/>
  <c r="C24"/>
  <c r="B33"/>
  <c r="B32"/>
  <c r="B31"/>
  <c r="B30"/>
  <c r="B29"/>
  <c r="B28"/>
  <c r="B27"/>
  <c r="B26"/>
  <c r="B25"/>
  <c r="B24"/>
  <c r="A73" i="29"/>
  <c r="A72"/>
  <c r="A71"/>
  <c r="A70"/>
  <c r="A69"/>
  <c r="A68"/>
  <c r="A67"/>
  <c r="A66"/>
  <c r="A65"/>
  <c r="A64"/>
  <c r="A33"/>
  <c r="A32"/>
  <c r="A31"/>
  <c r="A30"/>
  <c r="A29"/>
  <c r="A28"/>
  <c r="A27"/>
  <c r="A26"/>
  <c r="A25"/>
  <c r="A24"/>
  <c r="B76" i="2"/>
  <c r="B75"/>
  <c r="B74"/>
  <c r="B73"/>
  <c r="B72"/>
  <c r="B71"/>
  <c r="B70"/>
  <c r="B69"/>
  <c r="B68"/>
  <c r="B67"/>
  <c r="D22" i="3"/>
  <c r="D34" i="29"/>
  <c r="C35" i="28"/>
  <c r="D75" i="8"/>
  <c r="D35"/>
  <c r="D75" i="10"/>
  <c r="D35"/>
  <c r="D75" i="11"/>
  <c r="D35"/>
  <c r="D75" i="12"/>
  <c r="D95" s="1"/>
  <c r="D35"/>
  <c r="D75" i="13"/>
  <c r="D35"/>
  <c r="D39" i="8"/>
  <c r="B5" i="28"/>
  <c r="A22" i="29"/>
  <c r="A21"/>
  <c r="D77" i="2"/>
  <c r="D113" i="7"/>
  <c r="C113"/>
  <c r="D117"/>
  <c r="C56"/>
  <c r="C55"/>
  <c r="C70"/>
  <c r="C74"/>
  <c r="D35" i="28"/>
  <c r="E1"/>
  <c r="C40" s="1"/>
  <c r="B1"/>
  <c r="D73"/>
  <c r="D72" s="1"/>
  <c r="C73"/>
  <c r="C72"/>
  <c r="C60"/>
  <c r="C61"/>
  <c r="D33"/>
  <c r="D32" s="1"/>
  <c r="C33"/>
  <c r="G38"/>
  <c r="C20"/>
  <c r="C21"/>
  <c r="A34" i="39"/>
  <c r="A8" i="42"/>
  <c r="A46" i="41"/>
  <c r="A41"/>
  <c r="A6"/>
  <c r="A38" i="40"/>
  <c r="A33"/>
  <c r="A19"/>
  <c r="A6"/>
  <c r="A33" i="39"/>
  <c r="A6"/>
  <c r="A77" i="38"/>
  <c r="A74"/>
  <c r="A33"/>
  <c r="A28"/>
  <c r="A25"/>
  <c r="A16"/>
  <c r="A6"/>
  <c r="D22" i="36"/>
  <c r="D24"/>
  <c r="E31" i="2"/>
  <c r="J5" i="24"/>
  <c r="A80" i="2"/>
  <c r="A79"/>
  <c r="D62"/>
  <c r="C8" i="5"/>
  <c r="C7"/>
  <c r="C20" i="8"/>
  <c r="C19"/>
  <c r="F1" i="36"/>
  <c r="C5" s="1"/>
  <c r="A63" i="2"/>
  <c r="D45" i="9"/>
  <c r="E73" i="7"/>
  <c r="C45" i="9"/>
  <c r="D73" i="7"/>
  <c r="D57" i="9"/>
  <c r="E75" i="7"/>
  <c r="C57" i="9"/>
  <c r="D75" i="7"/>
  <c r="D51" i="9"/>
  <c r="E74" i="7"/>
  <c r="C51" i="9"/>
  <c r="D74" i="7"/>
  <c r="D39" i="9"/>
  <c r="E72" i="7"/>
  <c r="C39" i="9"/>
  <c r="D72" i="7"/>
  <c r="D33" i="9"/>
  <c r="E71" i="7"/>
  <c r="C33" i="9"/>
  <c r="D71" i="7"/>
  <c r="C27" i="9"/>
  <c r="D70" i="7"/>
  <c r="D27" i="9"/>
  <c r="E70" i="7"/>
  <c r="D21" i="9"/>
  <c r="E69" i="7"/>
  <c r="C21" i="9"/>
  <c r="D69" i="7"/>
  <c r="B57" i="9"/>
  <c r="C75" i="7"/>
  <c r="B51" i="9"/>
  <c r="B45"/>
  <c r="C73" i="7"/>
  <c r="B39" i="9"/>
  <c r="C72" i="7"/>
  <c r="B33" i="9"/>
  <c r="C71" i="7"/>
  <c r="B27" i="9"/>
  <c r="B21"/>
  <c r="C69" i="7"/>
  <c r="D15" i="9"/>
  <c r="C15"/>
  <c r="D68" i="7"/>
  <c r="B15" i="9"/>
  <c r="B75" i="7"/>
  <c r="B74"/>
  <c r="B73"/>
  <c r="B72"/>
  <c r="B71"/>
  <c r="B70"/>
  <c r="B69"/>
  <c r="B68"/>
  <c r="C73" i="13"/>
  <c r="C60"/>
  <c r="C61"/>
  <c r="D73"/>
  <c r="D28" i="21"/>
  <c r="C33" i="13"/>
  <c r="G38"/>
  <c r="C20"/>
  <c r="C21"/>
  <c r="C34"/>
  <c r="D6"/>
  <c r="D33"/>
  <c r="C73" i="12"/>
  <c r="C60"/>
  <c r="C61"/>
  <c r="D73"/>
  <c r="D26" i="21"/>
  <c r="C33" i="12"/>
  <c r="C20"/>
  <c r="C21"/>
  <c r="D33"/>
  <c r="C73" i="11"/>
  <c r="G78"/>
  <c r="C60"/>
  <c r="C61"/>
  <c r="D73"/>
  <c r="D95"/>
  <c r="C33"/>
  <c r="C20"/>
  <c r="C21"/>
  <c r="D33"/>
  <c r="C73" i="10"/>
  <c r="G78"/>
  <c r="C60"/>
  <c r="C61"/>
  <c r="D73"/>
  <c r="C33"/>
  <c r="C20"/>
  <c r="C21"/>
  <c r="C34"/>
  <c r="C19"/>
  <c r="D33"/>
  <c r="D21" i="21"/>
  <c r="C33" i="8"/>
  <c r="B19" i="21"/>
  <c r="D33" i="8"/>
  <c r="C73"/>
  <c r="C97"/>
  <c r="G78"/>
  <c r="C60"/>
  <c r="C59"/>
  <c r="D73"/>
  <c r="D97"/>
  <c r="B77"/>
  <c r="E1" i="7"/>
  <c r="H113"/>
  <c r="H123"/>
  <c r="E1" i="8"/>
  <c r="H85" s="1"/>
  <c r="E1" i="10"/>
  <c r="H35" s="1"/>
  <c r="H86"/>
  <c r="E1" i="11"/>
  <c r="H85" s="1"/>
  <c r="E1" i="12"/>
  <c r="E1" i="13"/>
  <c r="H85"/>
  <c r="C60" i="17"/>
  <c r="D60"/>
  <c r="D36" i="21"/>
  <c r="E60" i="17"/>
  <c r="C47" i="31"/>
  <c r="B37" i="21"/>
  <c r="D47" i="31"/>
  <c r="D37" i="21"/>
  <c r="E47" i="31"/>
  <c r="C62" i="17"/>
  <c r="C63" s="1"/>
  <c r="D62"/>
  <c r="D49" i="31"/>
  <c r="C49"/>
  <c r="C28" i="14"/>
  <c r="C15"/>
  <c r="C16"/>
  <c r="C29"/>
  <c r="D28"/>
  <c r="E28"/>
  <c r="F29" i="21"/>
  <c r="C30" i="14"/>
  <c r="C31" s="1"/>
  <c r="D30"/>
  <c r="D31" s="1"/>
  <c r="C59"/>
  <c r="D59"/>
  <c r="E59"/>
  <c r="E58" s="1"/>
  <c r="C61"/>
  <c r="D61"/>
  <c r="C28" i="15"/>
  <c r="B31" i="21"/>
  <c r="D28" i="15"/>
  <c r="D31" i="21"/>
  <c r="D27" i="15"/>
  <c r="E28"/>
  <c r="E29" s="1"/>
  <c r="E30" s="1"/>
  <c r="E36" i="3"/>
  <c r="C30" i="15"/>
  <c r="D30"/>
  <c r="E1" i="14"/>
  <c r="E1" i="15"/>
  <c r="D5"/>
  <c r="D36" s="1"/>
  <c r="C59"/>
  <c r="C58"/>
  <c r="D59"/>
  <c r="D60" s="1"/>
  <c r="D63" s="1"/>
  <c r="E59"/>
  <c r="C61"/>
  <c r="D61"/>
  <c r="C28" i="16"/>
  <c r="D28"/>
  <c r="E28"/>
  <c r="C30"/>
  <c r="C31" s="1"/>
  <c r="D30"/>
  <c r="E1"/>
  <c r="E59"/>
  <c r="C59"/>
  <c r="C58"/>
  <c r="D59"/>
  <c r="D58" s="1"/>
  <c r="C61"/>
  <c r="C62" s="1"/>
  <c r="D61"/>
  <c r="D30" i="17"/>
  <c r="C30"/>
  <c r="C28"/>
  <c r="C31"/>
  <c r="D28"/>
  <c r="D27" s="1"/>
  <c r="E28"/>
  <c r="F35" i="21" s="1"/>
  <c r="E1" i="17"/>
  <c r="B30"/>
  <c r="D5"/>
  <c r="D37"/>
  <c r="E1" i="31"/>
  <c r="E47" i="32"/>
  <c r="C47"/>
  <c r="C46"/>
  <c r="D47"/>
  <c r="C49"/>
  <c r="C50" s="1"/>
  <c r="D49"/>
  <c r="E1"/>
  <c r="C47" i="33"/>
  <c r="B39" i="21"/>
  <c r="D47" i="33"/>
  <c r="E47"/>
  <c r="E46"/>
  <c r="C49"/>
  <c r="C50" s="1"/>
  <c r="D49"/>
  <c r="D50" s="1"/>
  <c r="E1"/>
  <c r="D5" s="1"/>
  <c r="E19" i="34"/>
  <c r="C47"/>
  <c r="D47"/>
  <c r="E47"/>
  <c r="F40" i="21"/>
  <c r="E1" i="34"/>
  <c r="C5"/>
  <c r="D49"/>
  <c r="C49"/>
  <c r="B65" i="2"/>
  <c r="A48"/>
  <c r="D15"/>
  <c r="J28" i="35"/>
  <c r="H28"/>
  <c r="F28"/>
  <c r="D28"/>
  <c r="D17"/>
  <c r="B28"/>
  <c r="B17"/>
  <c r="B18"/>
  <c r="J28" i="30"/>
  <c r="J29"/>
  <c r="J30"/>
  <c r="J17"/>
  <c r="J18"/>
  <c r="H28"/>
  <c r="H17"/>
  <c r="H18"/>
  <c r="F28"/>
  <c r="F17"/>
  <c r="F18"/>
  <c r="F29"/>
  <c r="F30"/>
  <c r="D28"/>
  <c r="K28"/>
  <c r="B41" i="21"/>
  <c r="D17" i="30"/>
  <c r="D18"/>
  <c r="B28"/>
  <c r="B17"/>
  <c r="B18"/>
  <c r="E15" i="2"/>
  <c r="G16"/>
  <c r="E28" i="24"/>
  <c r="G11"/>
  <c r="E14"/>
  <c r="G16"/>
  <c r="E15"/>
  <c r="E19"/>
  <c r="E20"/>
  <c r="E21"/>
  <c r="G24"/>
  <c r="J6"/>
  <c r="K1" i="35"/>
  <c r="F2"/>
  <c r="K1" i="30"/>
  <c r="F2"/>
  <c r="E1" i="29"/>
  <c r="C59"/>
  <c r="D51" i="3"/>
  <c r="D22" i="5"/>
  <c r="E23"/>
  <c r="F24"/>
  <c r="E14" i="7"/>
  <c r="E15"/>
  <c r="E16"/>
  <c r="D7" i="36"/>
  <c r="D8"/>
  <c r="C16" i="21"/>
  <c r="C17"/>
  <c r="B7" i="36"/>
  <c r="D26"/>
  <c r="D28" s="1"/>
  <c r="A1"/>
  <c r="E47" i="17"/>
  <c r="D47"/>
  <c r="D46"/>
  <c r="C47"/>
  <c r="E46" i="16"/>
  <c r="E45" s="1"/>
  <c r="D46"/>
  <c r="C46"/>
  <c r="C47"/>
  <c r="D27" i="14"/>
  <c r="C27"/>
  <c r="E8"/>
  <c r="E9"/>
  <c r="E15" s="1"/>
  <c r="E14" s="1"/>
  <c r="D8"/>
  <c r="D9"/>
  <c r="C14"/>
  <c r="C19" i="12"/>
  <c r="C59" i="10"/>
  <c r="E18" i="34"/>
  <c r="D19"/>
  <c r="D18"/>
  <c r="C19"/>
  <c r="C18"/>
  <c r="E46"/>
  <c r="C46"/>
  <c r="E19" i="33"/>
  <c r="E18"/>
  <c r="D19"/>
  <c r="D18"/>
  <c r="C19"/>
  <c r="C20"/>
  <c r="C18"/>
  <c r="C46"/>
  <c r="E19" i="32"/>
  <c r="E18"/>
  <c r="D19"/>
  <c r="D18"/>
  <c r="C19"/>
  <c r="D46"/>
  <c r="E19" i="31"/>
  <c r="E18"/>
  <c r="D19"/>
  <c r="D18"/>
  <c r="C19"/>
  <c r="C18"/>
  <c r="D46"/>
  <c r="E15" i="17"/>
  <c r="E14" s="1"/>
  <c r="D15"/>
  <c r="D14"/>
  <c r="C15"/>
  <c r="C14"/>
  <c r="E15" i="16"/>
  <c r="E14"/>
  <c r="D15"/>
  <c r="D14"/>
  <c r="C15"/>
  <c r="C14"/>
  <c r="E27"/>
  <c r="E15" i="15"/>
  <c r="E14" s="1"/>
  <c r="D15"/>
  <c r="D14"/>
  <c r="C15"/>
  <c r="C16"/>
  <c r="E46"/>
  <c r="E45"/>
  <c r="D46"/>
  <c r="D45"/>
  <c r="C46"/>
  <c r="C45"/>
  <c r="C47"/>
  <c r="E46" i="14"/>
  <c r="E47" s="1"/>
  <c r="E45"/>
  <c r="D46"/>
  <c r="D45"/>
  <c r="C46"/>
  <c r="C45"/>
  <c r="D58"/>
  <c r="C19" i="13"/>
  <c r="C32"/>
  <c r="C59"/>
  <c r="D72"/>
  <c r="D72" i="12"/>
  <c r="C59"/>
  <c r="C32"/>
  <c r="C19" i="11"/>
  <c r="C59"/>
  <c r="D72"/>
  <c r="C72"/>
  <c r="C72" i="10"/>
  <c r="C32" i="8"/>
  <c r="D72"/>
  <c r="C72"/>
  <c r="C16" i="16"/>
  <c r="C16" i="17"/>
  <c r="C48" i="33"/>
  <c r="A85" i="29"/>
  <c r="A84"/>
  <c r="A83"/>
  <c r="A82"/>
  <c r="A81"/>
  <c r="A80"/>
  <c r="A79"/>
  <c r="A78"/>
  <c r="A77"/>
  <c r="A76"/>
  <c r="A75"/>
  <c r="A74"/>
  <c r="A62"/>
  <c r="A61"/>
  <c r="C5" i="35"/>
  <c r="E5"/>
  <c r="G5"/>
  <c r="I5"/>
  <c r="A5"/>
  <c r="C5" i="30"/>
  <c r="E5"/>
  <c r="G5"/>
  <c r="I5"/>
  <c r="A5"/>
  <c r="E44" i="3"/>
  <c r="E45"/>
  <c r="B41"/>
  <c r="D41"/>
  <c r="E16" i="21"/>
  <c r="G121" i="7"/>
  <c r="E17" i="21"/>
  <c r="G44" i="28" s="1"/>
  <c r="E18" i="21"/>
  <c r="E19"/>
  <c r="G44" i="8"/>
  <c r="E20" i="21"/>
  <c r="G84" i="8"/>
  <c r="E21" i="21"/>
  <c r="G44" i="10"/>
  <c r="E22" i="21"/>
  <c r="G84" i="10" s="1"/>
  <c r="E23" i="21"/>
  <c r="G44" i="11" s="1"/>
  <c r="E24" i="21"/>
  <c r="G84" i="11" s="1"/>
  <c r="E25" i="21"/>
  <c r="G44" i="12" s="1"/>
  <c r="E26" i="21"/>
  <c r="G84" i="12" s="1"/>
  <c r="E27" i="21"/>
  <c r="G44" i="13" s="1"/>
  <c r="G1" i="3"/>
  <c r="B9" s="1"/>
  <c r="B47"/>
  <c r="B46"/>
  <c r="A42" i="21"/>
  <c r="A41"/>
  <c r="M1" i="22"/>
  <c r="D82" i="2"/>
  <c r="E82"/>
  <c r="A13"/>
  <c r="G42" i="22"/>
  <c r="F53" i="21" s="1"/>
  <c r="G32" i="22"/>
  <c r="F52" i="21"/>
  <c r="G20" i="22"/>
  <c r="F51" i="21"/>
  <c r="B1" i="22"/>
  <c r="A1" i="30"/>
  <c r="A1" i="35"/>
  <c r="A4" i="26"/>
  <c r="A21"/>
  <c r="A27"/>
  <c r="A15"/>
  <c r="A31" i="2"/>
  <c r="E26" i="27"/>
  <c r="D26"/>
  <c r="D28" s="1"/>
  <c r="D44" i="21" s="1"/>
  <c r="C26" i="27"/>
  <c r="C28"/>
  <c r="B44" i="21" s="1"/>
  <c r="F33"/>
  <c r="F30"/>
  <c r="D33"/>
  <c r="D30"/>
  <c r="D29"/>
  <c r="F39"/>
  <c r="A54" i="29"/>
  <c r="B30" i="21"/>
  <c r="B40"/>
  <c r="B38"/>
  <c r="A40"/>
  <c r="A39"/>
  <c r="A38"/>
  <c r="A36"/>
  <c r="A35"/>
  <c r="A34"/>
  <c r="A33"/>
  <c r="A32"/>
  <c r="A31"/>
  <c r="A30"/>
  <c r="A29"/>
  <c r="A17"/>
  <c r="A16"/>
  <c r="E35" i="15"/>
  <c r="D35"/>
  <c r="C35"/>
  <c r="B36"/>
  <c r="B5"/>
  <c r="E35" i="14"/>
  <c r="D35"/>
  <c r="C35"/>
  <c r="B36"/>
  <c r="B5"/>
  <c r="B45" i="13"/>
  <c r="B5"/>
  <c r="B45" i="12"/>
  <c r="B5"/>
  <c r="B45" i="11"/>
  <c r="B5"/>
  <c r="B45" i="10"/>
  <c r="B5"/>
  <c r="B45" i="8"/>
  <c r="B5"/>
  <c r="D1" i="9"/>
  <c r="B6" i="7"/>
  <c r="B65"/>
  <c r="B5" i="16"/>
  <c r="B36"/>
  <c r="B5" i="17"/>
  <c r="B37"/>
  <c r="B1" i="32"/>
  <c r="B1" i="33"/>
  <c r="B1" i="34"/>
  <c r="B5"/>
  <c r="B5" i="33"/>
  <c r="B5" i="32"/>
  <c r="B5" i="31"/>
  <c r="B1"/>
  <c r="D45" i="3"/>
  <c r="D44"/>
  <c r="D43"/>
  <c r="D42"/>
  <c r="D47"/>
  <c r="D46"/>
  <c r="B45"/>
  <c r="B44"/>
  <c r="B43"/>
  <c r="B42"/>
  <c r="B40"/>
  <c r="B39"/>
  <c r="B38"/>
  <c r="B37"/>
  <c r="B36"/>
  <c r="B35"/>
  <c r="B34"/>
  <c r="C22"/>
  <c r="B22"/>
  <c r="C21"/>
  <c r="B21"/>
  <c r="B3"/>
  <c r="H1" i="21"/>
  <c r="J39"/>
  <c r="B13"/>
  <c r="A1" i="29"/>
  <c r="J1" i="24"/>
  <c r="A3"/>
  <c r="A42"/>
  <c r="B8" i="5"/>
  <c r="B7"/>
  <c r="B1"/>
  <c r="A1" i="27"/>
  <c r="F1"/>
  <c r="D7" s="1"/>
  <c r="E28"/>
  <c r="F44" i="21" s="1"/>
  <c r="M20" i="22"/>
  <c r="M32"/>
  <c r="M42"/>
  <c r="M43" s="1"/>
  <c r="L20"/>
  <c r="L32"/>
  <c r="L42"/>
  <c r="L43" s="1"/>
  <c r="K20"/>
  <c r="K32"/>
  <c r="K42"/>
  <c r="K43"/>
  <c r="J20"/>
  <c r="J32"/>
  <c r="J42"/>
  <c r="I1" i="23"/>
  <c r="G9"/>
  <c r="K7" i="35"/>
  <c r="F17"/>
  <c r="F18"/>
  <c r="F29"/>
  <c r="F30"/>
  <c r="H17"/>
  <c r="H18"/>
  <c r="J17"/>
  <c r="J18"/>
  <c r="K7" i="30"/>
  <c r="B64" i="2"/>
  <c r="D63"/>
  <c r="A53" i="29"/>
  <c r="A51"/>
  <c r="A19"/>
  <c r="A14"/>
  <c r="A13" i="26"/>
  <c r="A7"/>
  <c r="D40" i="3"/>
  <c r="D39"/>
  <c r="D38"/>
  <c r="D37"/>
  <c r="D36"/>
  <c r="D35"/>
  <c r="D34"/>
  <c r="D32"/>
  <c r="D30"/>
  <c r="D28"/>
  <c r="D26"/>
  <c r="D24"/>
  <c r="D50"/>
  <c r="B5"/>
  <c r="E38"/>
  <c r="C1" i="24"/>
  <c r="A1" i="9"/>
  <c r="C59"/>
  <c r="B61" i="7"/>
  <c r="B1"/>
  <c r="B1" i="23"/>
  <c r="I28"/>
  <c r="H28"/>
  <c r="G28"/>
  <c r="F54" i="21" s="1"/>
  <c r="B1" i="12"/>
  <c r="B1" i="13"/>
  <c r="B1" i="15"/>
  <c r="B1" i="16"/>
  <c r="B1" i="17"/>
  <c r="B1" i="8"/>
  <c r="B1" i="10"/>
  <c r="B1" i="11"/>
  <c r="B1" i="14"/>
  <c r="A5" i="21"/>
  <c r="D45" i="16"/>
  <c r="B34" i="21"/>
  <c r="F34"/>
  <c r="C48" i="17"/>
  <c r="C61"/>
  <c r="C46"/>
  <c r="E46"/>
  <c r="B36" i="21"/>
  <c r="C59" i="17"/>
  <c r="E41" i="3"/>
  <c r="F36" i="21"/>
  <c r="E59" i="17"/>
  <c r="A15" i="29"/>
  <c r="D15" i="14"/>
  <c r="D14" s="1"/>
  <c r="C40" i="13"/>
  <c r="C40" i="8"/>
  <c r="B30" i="15"/>
  <c r="B35" i="8"/>
  <c r="A9" i="29"/>
  <c r="C40" i="11"/>
  <c r="J6" i="22"/>
  <c r="C20" i="34"/>
  <c r="C48"/>
  <c r="F31" i="21"/>
  <c r="C50" i="34"/>
  <c r="C47" i="14"/>
  <c r="C60"/>
  <c r="D37"/>
  <c r="D47"/>
  <c r="D60"/>
  <c r="B5" i="24"/>
  <c r="B24"/>
  <c r="B9"/>
  <c r="D13" i="21"/>
  <c r="C40" i="12"/>
  <c r="A10" i="21"/>
  <c r="I9" i="23"/>
  <c r="H9"/>
  <c r="F13" i="21"/>
  <c r="B75" i="11"/>
  <c r="C80" i="10"/>
  <c r="C57" i="7"/>
  <c r="C66"/>
  <c r="C32" i="28"/>
  <c r="C15" i="24"/>
  <c r="D62" i="14"/>
  <c r="D50" i="32"/>
  <c r="B35" i="11"/>
  <c r="B75" i="8"/>
  <c r="D38" i="21"/>
  <c r="C20" i="31"/>
  <c r="C48"/>
  <c r="G28" i="3"/>
  <c r="H112" i="7"/>
  <c r="G32" i="3"/>
  <c r="G24"/>
  <c r="G29"/>
  <c r="G25"/>
  <c r="G30"/>
  <c r="G26"/>
  <c r="G27"/>
  <c r="G31"/>
  <c r="G22"/>
  <c r="G21"/>
  <c r="B17" i="21"/>
  <c r="B28" i="24"/>
  <c r="C14"/>
  <c r="B6"/>
  <c r="B20" i="21"/>
  <c r="D20"/>
  <c r="D22"/>
  <c r="B23"/>
  <c r="B24"/>
  <c r="D24"/>
  <c r="B28"/>
  <c r="B27"/>
  <c r="B50"/>
  <c r="F50"/>
  <c r="D50"/>
  <c r="J36"/>
  <c r="J43"/>
  <c r="J46"/>
  <c r="J52"/>
  <c r="J32"/>
  <c r="J38"/>
  <c r="J45"/>
  <c r="J51"/>
  <c r="J54"/>
  <c r="M34"/>
  <c r="A38" i="29"/>
  <c r="B59"/>
  <c r="B35" i="13"/>
  <c r="B75"/>
  <c r="M53" i="21"/>
  <c r="B47" i="48"/>
  <c r="B91"/>
  <c r="B46"/>
  <c r="E13" i="5"/>
  <c r="E51" i="10"/>
  <c r="F14" i="5"/>
  <c r="E12" i="11"/>
  <c r="F13" i="5"/>
  <c r="E52" i="10"/>
  <c r="B38" i="24"/>
  <c r="B13"/>
  <c r="G14" i="21"/>
  <c r="B11" i="24"/>
  <c r="B61" i="15"/>
  <c r="C5" i="13"/>
  <c r="C45" s="1"/>
  <c r="E5"/>
  <c r="E45" s="1"/>
  <c r="C5" i="11"/>
  <c r="C45" s="1"/>
  <c r="E5"/>
  <c r="E45" s="1"/>
  <c r="C5" i="8"/>
  <c r="C45" s="1"/>
  <c r="E5"/>
  <c r="E45" s="1"/>
  <c r="C6" i="7"/>
  <c r="C65" s="1"/>
  <c r="D5" i="14"/>
  <c r="D36" s="1"/>
  <c r="C5" i="15"/>
  <c r="C36" s="1"/>
  <c r="E5"/>
  <c r="E36" s="1"/>
  <c r="E5" i="17"/>
  <c r="E37" s="1"/>
  <c r="D5" i="13"/>
  <c r="D45" s="1"/>
  <c r="C5" i="12"/>
  <c r="C45" s="1"/>
  <c r="D5" i="11"/>
  <c r="D45" s="1"/>
  <c r="D5" i="8"/>
  <c r="D45" s="1"/>
  <c r="C5" i="14"/>
  <c r="C36" s="1"/>
  <c r="C5" i="31"/>
  <c r="C94" i="13"/>
  <c r="D95"/>
  <c r="C80"/>
  <c r="C80" i="11"/>
  <c r="C80" i="8"/>
  <c r="C80" i="28"/>
  <c r="C59"/>
  <c r="C90"/>
  <c r="C19"/>
  <c r="E19" i="5"/>
  <c r="E51" i="13" s="1"/>
  <c r="F19" i="5"/>
  <c r="E52" i="13" s="1"/>
  <c r="E18" i="5"/>
  <c r="E11" i="13" s="1"/>
  <c r="F18" i="5"/>
  <c r="E12" i="13" s="1"/>
  <c r="F17" i="5"/>
  <c r="E52" i="12" s="1"/>
  <c r="E17" i="5"/>
  <c r="E51" i="12" s="1"/>
  <c r="E16" i="5"/>
  <c r="E11" i="12" s="1"/>
  <c r="F16" i="5"/>
  <c r="E12" i="12" s="1"/>
  <c r="E15" i="5"/>
  <c r="E51" i="11" s="1"/>
  <c r="F15" i="5"/>
  <c r="E52" i="11" s="1"/>
  <c r="E14" i="5"/>
  <c r="E11" i="11" s="1"/>
  <c r="G38"/>
  <c r="C95" i="13"/>
  <c r="B77" s="1"/>
  <c r="B18" i="24"/>
  <c r="G64" i="28"/>
  <c r="H122" i="7"/>
  <c r="G105"/>
  <c r="H44" i="28"/>
  <c r="G28" i="8"/>
  <c r="H33"/>
  <c r="H35"/>
  <c r="H38"/>
  <c r="H43"/>
  <c r="H45"/>
  <c r="G64"/>
  <c r="G71"/>
  <c r="H74"/>
  <c r="H76"/>
  <c r="H79"/>
  <c r="H84"/>
  <c r="H86"/>
  <c r="H33" i="10"/>
  <c r="G24" i="11"/>
  <c r="G31"/>
  <c r="H34"/>
  <c r="H36"/>
  <c r="H39"/>
  <c r="H44"/>
  <c r="H46"/>
  <c r="H38" i="12"/>
  <c r="G24" i="13"/>
  <c r="G31"/>
  <c r="H34"/>
  <c r="H36"/>
  <c r="H39"/>
  <c r="H44"/>
  <c r="H46"/>
  <c r="H73" i="10"/>
  <c r="H75"/>
  <c r="H83"/>
  <c r="G64" i="11"/>
  <c r="G71"/>
  <c r="H74"/>
  <c r="H76"/>
  <c r="H79"/>
  <c r="H84"/>
  <c r="H86"/>
  <c r="H73" i="12"/>
  <c r="H83"/>
  <c r="G64" i="13"/>
  <c r="G71"/>
  <c r="H74"/>
  <c r="H76"/>
  <c r="H79"/>
  <c r="H84"/>
  <c r="H86"/>
  <c r="H78" i="28"/>
  <c r="G24" i="8"/>
  <c r="G31"/>
  <c r="H34"/>
  <c r="H36"/>
  <c r="H39"/>
  <c r="H44"/>
  <c r="H46"/>
  <c r="G68"/>
  <c r="H73"/>
  <c r="H75"/>
  <c r="H78"/>
  <c r="H83"/>
  <c r="G31" i="10"/>
  <c r="H46"/>
  <c r="G28" i="11"/>
  <c r="H33"/>
  <c r="H35"/>
  <c r="H38"/>
  <c r="H43"/>
  <c r="H45"/>
  <c r="G24" i="12"/>
  <c r="H34"/>
  <c r="H36"/>
  <c r="H39"/>
  <c r="H44"/>
  <c r="G28" i="13"/>
  <c r="H33"/>
  <c r="H35"/>
  <c r="H38"/>
  <c r="H43"/>
  <c r="H45"/>
  <c r="G71" i="10"/>
  <c r="G68" i="11"/>
  <c r="H73"/>
  <c r="H75"/>
  <c r="H78"/>
  <c r="H83"/>
  <c r="G64" i="12"/>
  <c r="H76"/>
  <c r="H79"/>
  <c r="H84"/>
  <c r="G68" i="13"/>
  <c r="H73"/>
  <c r="H75"/>
  <c r="H78"/>
  <c r="H83"/>
  <c r="D20" i="8"/>
  <c r="D21" s="1"/>
  <c r="D34" s="1"/>
  <c r="D20" i="11"/>
  <c r="D19" s="1"/>
  <c r="D20" i="12"/>
  <c r="D19" s="1"/>
  <c r="D20" i="13"/>
  <c r="D19" s="1"/>
  <c r="D59" i="8"/>
  <c r="D60" i="10"/>
  <c r="D59"/>
  <c r="D60" i="11"/>
  <c r="D59"/>
  <c r="D60" i="12"/>
  <c r="D59"/>
  <c r="D63" i="17"/>
  <c r="C93" i="13"/>
  <c r="D50" i="31"/>
  <c r="C46"/>
  <c r="C64" i="17"/>
  <c r="D38"/>
  <c r="D48"/>
  <c r="D61"/>
  <c r="D93" i="13"/>
  <c r="C74" i="11"/>
  <c r="C96"/>
  <c r="C95" i="10"/>
  <c r="D15" i="5"/>
  <c r="E50" i="11" s="1"/>
  <c r="E60" s="1"/>
  <c r="G74" s="1"/>
  <c r="D17" i="5"/>
  <c r="E50" i="12" s="1"/>
  <c r="E60" s="1"/>
  <c r="G74" s="1"/>
  <c r="D14" i="5"/>
  <c r="E10" i="11" s="1"/>
  <c r="E20" s="1"/>
  <c r="D13" i="5"/>
  <c r="E50" i="10" s="1"/>
  <c r="E60" s="1"/>
  <c r="D19" i="5"/>
  <c r="E50" i="13" s="1"/>
  <c r="E60" s="1"/>
  <c r="G74" s="1"/>
  <c r="D18" i="5"/>
  <c r="E10" i="13" s="1"/>
  <c r="E20" s="1"/>
  <c r="G34" s="1"/>
  <c r="D16" i="5"/>
  <c r="E10" i="12" s="1"/>
  <c r="E20" s="1"/>
  <c r="G34" s="1"/>
  <c r="D19" i="8"/>
  <c r="J68" i="28"/>
  <c r="J69"/>
  <c r="C19" i="36"/>
  <c r="D9"/>
  <c r="D11"/>
  <c r="D13"/>
  <c r="D15"/>
  <c r="E15"/>
  <c r="E30" i="12" s="1"/>
  <c r="E33" s="1"/>
  <c r="D17" i="36"/>
  <c r="D6"/>
  <c r="D16"/>
  <c r="D10"/>
  <c r="D12"/>
  <c r="D18"/>
  <c r="D14"/>
  <c r="E14"/>
  <c r="E70" i="11" s="1"/>
  <c r="E73" s="1"/>
  <c r="E16" i="36"/>
  <c r="E70" i="12"/>
  <c r="E73" s="1"/>
  <c r="E18" i="36"/>
  <c r="E70" i="13" s="1"/>
  <c r="E73" s="1"/>
  <c r="E17" i="36"/>
  <c r="E30" i="13" s="1"/>
  <c r="E33" s="1"/>
  <c r="E13" i="36"/>
  <c r="E30" i="11" s="1"/>
  <c r="E33" s="1"/>
  <c r="E12" i="36"/>
  <c r="E70" i="10"/>
  <c r="E73" s="1"/>
  <c r="J68" i="8"/>
  <c r="J69"/>
  <c r="J68" i="13"/>
  <c r="J69"/>
  <c r="J68" i="11"/>
  <c r="J69"/>
  <c r="M54" i="21"/>
  <c r="J105" i="7"/>
  <c r="J106"/>
  <c r="J104"/>
  <c r="J68" i="10"/>
  <c r="J69"/>
  <c r="J68" i="12"/>
  <c r="J69"/>
  <c r="J28" i="13"/>
  <c r="J29"/>
  <c r="E15" i="48"/>
  <c r="E22" s="1"/>
  <c r="A58" i="29"/>
  <c r="C43" i="21"/>
  <c r="D46"/>
  <c r="B61" i="9"/>
  <c r="J7" i="24"/>
  <c r="H43" i="28"/>
  <c r="H84"/>
  <c r="H74"/>
  <c r="H33"/>
  <c r="E5" i="10"/>
  <c r="E45"/>
  <c r="B14" i="3"/>
  <c r="B3" i="36"/>
  <c r="G64" i="10"/>
  <c r="G24"/>
  <c r="H78"/>
  <c r="G28"/>
  <c r="H46" i="28"/>
  <c r="G71"/>
  <c r="C5" i="33"/>
  <c r="C5" i="10"/>
  <c r="C45" s="1"/>
  <c r="C5" i="17"/>
  <c r="C37" s="1"/>
  <c r="D5" i="28"/>
  <c r="D45" s="1"/>
  <c r="B84" i="48"/>
  <c r="A36" i="29"/>
  <c r="B62" i="17"/>
  <c r="A16" i="29"/>
  <c r="E5" i="33"/>
  <c r="D5" i="36"/>
  <c r="H85" i="28"/>
  <c r="H35"/>
  <c r="B49" i="33"/>
  <c r="H73" i="28"/>
  <c r="H45" i="10"/>
  <c r="H38" i="28"/>
  <c r="B35"/>
  <c r="C40" i="10"/>
  <c r="E5" i="28"/>
  <c r="E45" s="1"/>
  <c r="E5" i="36"/>
  <c r="H79" i="10"/>
  <c r="H39"/>
  <c r="G68" i="28"/>
  <c r="H43" i="10"/>
  <c r="C5" i="28"/>
  <c r="C45"/>
  <c r="H34"/>
  <c r="A22" i="36"/>
  <c r="H44" i="10"/>
  <c r="G68"/>
  <c r="H76"/>
  <c r="H36"/>
  <c r="H83" i="28"/>
  <c r="G24"/>
  <c r="H38" i="10"/>
  <c r="H79" i="28"/>
  <c r="G31"/>
  <c r="D5" i="10"/>
  <c r="D45" s="1"/>
  <c r="B75"/>
  <c r="G101" i="7"/>
  <c r="B75" i="28"/>
  <c r="B5" i="36"/>
  <c r="A7" i="29"/>
  <c r="H75" i="28"/>
  <c r="G28"/>
  <c r="H84" i="10"/>
  <c r="H39" i="28"/>
  <c r="B35" i="10"/>
  <c r="H74"/>
  <c r="H34"/>
  <c r="H45" i="28"/>
  <c r="H85" i="10"/>
  <c r="H86" i="28"/>
  <c r="H76"/>
  <c r="H36"/>
  <c r="A8" i="29"/>
  <c r="A52"/>
  <c r="A46"/>
  <c r="E38" i="17"/>
  <c r="E48"/>
  <c r="E61"/>
  <c r="E62"/>
  <c r="D64"/>
  <c r="E29" i="48"/>
  <c r="G84" i="28"/>
  <c r="E5" i="32"/>
  <c r="D5"/>
  <c r="C5"/>
  <c r="B37" i="13"/>
  <c r="D6" i="33"/>
  <c r="D20"/>
  <c r="D48"/>
  <c r="C51"/>
  <c r="B5" i="9"/>
  <c r="D5"/>
  <c r="C5"/>
  <c r="B26" i="21"/>
  <c r="C72" i="12"/>
  <c r="C95"/>
  <c r="G78"/>
  <c r="C74"/>
  <c r="B29" i="35"/>
  <c r="D25" i="21"/>
  <c r="D32" i="12"/>
  <c r="D93"/>
  <c r="D46" i="11"/>
  <c r="D61"/>
  <c r="D74" s="1"/>
  <c r="K30" i="35"/>
  <c r="C21" i="8"/>
  <c r="C34"/>
  <c r="E42" i="3"/>
  <c r="F37" i="21"/>
  <c r="E46" i="31"/>
  <c r="C7" i="27"/>
  <c r="E7"/>
  <c r="C20" i="32"/>
  <c r="C48"/>
  <c r="C18"/>
  <c r="C45" i="16"/>
  <c r="D46" i="34"/>
  <c r="D40" i="21"/>
  <c r="D50" i="34"/>
  <c r="G38" i="10"/>
  <c r="C32"/>
  <c r="B49" i="32"/>
  <c r="C51" i="34"/>
  <c r="D6"/>
  <c r="D20"/>
  <c r="D48"/>
  <c r="B21" i="21"/>
  <c r="D6" i="31"/>
  <c r="D20"/>
  <c r="D48"/>
  <c r="C51"/>
  <c r="J29" i="35"/>
  <c r="J30"/>
  <c r="D5" i="16"/>
  <c r="D36"/>
  <c r="C5"/>
  <c r="C36"/>
  <c r="E5"/>
  <c r="E36"/>
  <c r="B61"/>
  <c r="B30"/>
  <c r="C34" i="12"/>
  <c r="D21" i="13"/>
  <c r="D34" s="1"/>
  <c r="C68" i="7"/>
  <c r="C76" s="1"/>
  <c r="C111" s="1"/>
  <c r="B59" i="9"/>
  <c r="G78" i="28"/>
  <c r="C93"/>
  <c r="H86" i="12"/>
  <c r="E5"/>
  <c r="E45" s="1"/>
  <c r="H85"/>
  <c r="H46"/>
  <c r="G28"/>
  <c r="C80"/>
  <c r="H35"/>
  <c r="G68"/>
  <c r="G31"/>
  <c r="G71"/>
  <c r="H43"/>
  <c r="H75"/>
  <c r="H33"/>
  <c r="H78"/>
  <c r="B75"/>
  <c r="B35"/>
  <c r="D5"/>
  <c r="D45" s="1"/>
  <c r="H45"/>
  <c r="H74"/>
  <c r="D95" i="8"/>
  <c r="D19" i="21"/>
  <c r="D32" i="8"/>
  <c r="C93" i="12"/>
  <c r="B25" i="21"/>
  <c r="G38" i="12"/>
  <c r="D18" i="21"/>
  <c r="C20" i="5"/>
  <c r="C6"/>
  <c r="D5"/>
  <c r="B6"/>
  <c r="E46" i="32"/>
  <c r="E43" i="3"/>
  <c r="F38" i="21"/>
  <c r="E58" i="15"/>
  <c r="F32" i="21"/>
  <c r="E37" i="3"/>
  <c r="E68" i="7"/>
  <c r="E76" s="1"/>
  <c r="D59" i="9"/>
  <c r="E10" i="3"/>
  <c r="F12"/>
  <c r="B8"/>
  <c r="G51"/>
  <c r="C61"/>
  <c r="E5" i="31"/>
  <c r="B49"/>
  <c r="D5"/>
  <c r="C58" i="14"/>
  <c r="C62"/>
  <c r="C50" i="31"/>
  <c r="D5" i="34"/>
  <c r="B49"/>
  <c r="E5"/>
  <c r="B61" i="14"/>
  <c r="E5"/>
  <c r="E36" s="1"/>
  <c r="B30"/>
  <c r="D95" i="10"/>
  <c r="B77" s="1"/>
  <c r="D72"/>
  <c r="C93" i="11"/>
  <c r="C32"/>
  <c r="D27" i="21"/>
  <c r="D32" i="13"/>
  <c r="G78"/>
  <c r="C72"/>
  <c r="D59" i="17"/>
  <c r="L6" i="22"/>
  <c r="G7"/>
  <c r="D27" i="16"/>
  <c r="D31"/>
  <c r="C74" i="10"/>
  <c r="B22" i="21"/>
  <c r="J123" i="45"/>
  <c r="H29" i="30"/>
  <c r="H30"/>
  <c r="K28" i="35"/>
  <c r="B42" i="21"/>
  <c r="D46" i="33"/>
  <c r="D39" i="21"/>
  <c r="E39" i="3"/>
  <c r="E58" i="16"/>
  <c r="C27"/>
  <c r="B33" i="21"/>
  <c r="D32" i="11"/>
  <c r="D93"/>
  <c r="D23" i="21"/>
  <c r="H29" i="35"/>
  <c r="H30"/>
  <c r="C29" i="16"/>
  <c r="D18" i="35"/>
  <c r="D29"/>
  <c r="D30"/>
  <c r="K17"/>
  <c r="C27" i="15"/>
  <c r="C34" i="11"/>
  <c r="C74" i="13"/>
  <c r="A6" i="29"/>
  <c r="D46" i="12"/>
  <c r="D61"/>
  <c r="D74" s="1"/>
  <c r="C96"/>
  <c r="D51" i="31"/>
  <c r="E6"/>
  <c r="E20"/>
  <c r="E48"/>
  <c r="E49"/>
  <c r="C32" i="16"/>
  <c r="D6"/>
  <c r="D16"/>
  <c r="D29"/>
  <c r="B37" i="12"/>
  <c r="D51" i="33"/>
  <c r="E6"/>
  <c r="E20"/>
  <c r="E48"/>
  <c r="E49"/>
  <c r="D46" i="10"/>
  <c r="D61"/>
  <c r="D74"/>
  <c r="D96" s="1"/>
  <c r="B78" s="1"/>
  <c r="C96"/>
  <c r="C51" i="32"/>
  <c r="D6"/>
  <c r="D20"/>
  <c r="D48"/>
  <c r="K18" i="35"/>
  <c r="E6" i="34"/>
  <c r="E20"/>
  <c r="E48"/>
  <c r="E49"/>
  <c r="D51"/>
  <c r="D46" i="13"/>
  <c r="C96"/>
  <c r="D6" i="11"/>
  <c r="D21"/>
  <c r="D34"/>
  <c r="D94" s="1"/>
  <c r="B38" s="1"/>
  <c r="C94"/>
  <c r="K29" i="35"/>
  <c r="B30"/>
  <c r="D27" i="5"/>
  <c r="D9" s="1"/>
  <c r="E28"/>
  <c r="E8" s="1"/>
  <c r="D6" i="12"/>
  <c r="D21"/>
  <c r="D34"/>
  <c r="G33" s="1"/>
  <c r="C94"/>
  <c r="E10" i="5"/>
  <c r="E11" i="8" s="1"/>
  <c r="D8" i="5"/>
  <c r="E10" i="28" s="1"/>
  <c r="D51" i="32"/>
  <c r="E6"/>
  <c r="E20"/>
  <c r="E48"/>
  <c r="E49"/>
  <c r="D32" i="16"/>
  <c r="E6"/>
  <c r="E16"/>
  <c r="E29"/>
  <c r="E30"/>
  <c r="G33" i="11"/>
  <c r="D94" i="12"/>
  <c r="B38" s="1"/>
  <c r="D29" i="30"/>
  <c r="D30"/>
  <c r="K17"/>
  <c r="K30"/>
  <c r="B29"/>
  <c r="K18"/>
  <c r="K29"/>
  <c r="B30"/>
  <c r="D31" i="15"/>
  <c r="D32" i="10"/>
  <c r="D93"/>
  <c r="D121" i="7"/>
  <c r="E6"/>
  <c r="E65" s="1"/>
  <c r="H110"/>
  <c r="B113"/>
  <c r="H111"/>
  <c r="H116"/>
  <c r="G108"/>
  <c r="H115"/>
  <c r="H120"/>
  <c r="C118"/>
  <c r="D6"/>
  <c r="D65" s="1"/>
  <c r="H121"/>
  <c r="B35" i="21"/>
  <c r="C29" i="17"/>
  <c r="C32"/>
  <c r="C27"/>
  <c r="D6"/>
  <c r="D16"/>
  <c r="C60" i="16"/>
  <c r="C63"/>
  <c r="B32" i="21"/>
  <c r="C60" i="15"/>
  <c r="C63"/>
  <c r="C62"/>
  <c r="D37"/>
  <c r="D47"/>
  <c r="C31"/>
  <c r="C29"/>
  <c r="C32"/>
  <c r="C14"/>
  <c r="D63" i="14"/>
  <c r="E37"/>
  <c r="C63"/>
  <c r="B29" i="21"/>
  <c r="C32" i="14"/>
  <c r="D6"/>
  <c r="D16"/>
  <c r="D29" s="1"/>
  <c r="D6" i="10"/>
  <c r="D21"/>
  <c r="D34" s="1"/>
  <c r="C94"/>
  <c r="C61" i="8"/>
  <c r="C74"/>
  <c r="C95"/>
  <c r="B37" s="1"/>
  <c r="G38"/>
  <c r="C96"/>
  <c r="D6"/>
  <c r="C74" i="28"/>
  <c r="C94"/>
  <c r="B18" i="21"/>
  <c r="D46" i="28"/>
  <c r="C34"/>
  <c r="C91"/>
  <c r="J43" i="22"/>
  <c r="G43"/>
  <c r="E9" i="5"/>
  <c r="E51" i="28" s="1"/>
  <c r="G18" i="48" s="1"/>
  <c r="D10" i="5"/>
  <c r="E10" i="8" s="1"/>
  <c r="G22" i="24"/>
  <c r="G26" s="1"/>
  <c r="G30" s="1"/>
  <c r="G32" s="1"/>
  <c r="J34" s="1"/>
  <c r="J36" s="1"/>
  <c r="D37" i="16"/>
  <c r="D47"/>
  <c r="D6" i="15"/>
  <c r="D16"/>
  <c r="D29"/>
  <c r="D46" i="8"/>
  <c r="D61"/>
  <c r="D74" s="1"/>
  <c r="C98"/>
  <c r="D6" i="28"/>
  <c r="E6" i="15"/>
  <c r="E16"/>
  <c r="D32"/>
  <c r="G18" i="49"/>
  <c r="D96" i="12" l="1"/>
  <c r="B78" s="1"/>
  <c r="G73"/>
  <c r="F29" i="5"/>
  <c r="B77" i="12"/>
  <c r="B37" i="10"/>
  <c r="E11" i="5"/>
  <c r="E51" i="8" s="1"/>
  <c r="E46" i="10"/>
  <c r="E6" i="11"/>
  <c r="D11" i="5"/>
  <c r="E50" i="8" s="1"/>
  <c r="E12" i="5"/>
  <c r="E11" i="10" s="1"/>
  <c r="D12" i="5"/>
  <c r="E10" i="10" s="1"/>
  <c r="B37" i="11"/>
  <c r="E43" i="21"/>
  <c r="D76" i="7"/>
  <c r="D111" s="1"/>
  <c r="A32" i="36"/>
  <c r="B55" i="21"/>
  <c r="E11" i="28"/>
  <c r="E7" i="5"/>
  <c r="E50" i="28"/>
  <c r="D7" i="5"/>
  <c r="D94" i="13"/>
  <c r="B38" s="1"/>
  <c r="E6"/>
  <c r="E21" s="1"/>
  <c r="G33"/>
  <c r="F22" i="21"/>
  <c r="E27" i="3"/>
  <c r="E77" i="10"/>
  <c r="F76"/>
  <c r="E72"/>
  <c r="E28" i="3"/>
  <c r="F36" i="11"/>
  <c r="E32"/>
  <c r="E37"/>
  <c r="F23" i="21"/>
  <c r="E72" i="12"/>
  <c r="F26" i="21"/>
  <c r="E31" i="3"/>
  <c r="F76" i="12"/>
  <c r="E77"/>
  <c r="E72" i="11"/>
  <c r="F24" i="21"/>
  <c r="E29" i="3"/>
  <c r="E77" i="11"/>
  <c r="F76"/>
  <c r="E30" i="3"/>
  <c r="F36" i="12"/>
  <c r="E37"/>
  <c r="E32"/>
  <c r="F25" i="21"/>
  <c r="G74" i="10"/>
  <c r="E61"/>
  <c r="F11" i="5"/>
  <c r="E52" i="8" s="1"/>
  <c r="F8" i="5"/>
  <c r="F10"/>
  <c r="E12" i="8" s="1"/>
  <c r="F12" i="5"/>
  <c r="E12" i="10" s="1"/>
  <c r="F9" i="5"/>
  <c r="E52" i="28" s="1"/>
  <c r="G19" i="48" s="1"/>
  <c r="D59" i="13"/>
  <c r="D61"/>
  <c r="D74" s="1"/>
  <c r="D32" i="14"/>
  <c r="E6"/>
  <c r="E16" s="1"/>
  <c r="C143" i="7"/>
  <c r="B16" i="21"/>
  <c r="B43" s="1"/>
  <c r="G115" i="7"/>
  <c r="C110"/>
  <c r="C112"/>
  <c r="G73" i="11"/>
  <c r="D96"/>
  <c r="B78" s="1"/>
  <c r="E46"/>
  <c r="E61" s="1"/>
  <c r="E32" i="3"/>
  <c r="F36" i="13"/>
  <c r="E32"/>
  <c r="E37"/>
  <c r="E38" s="1"/>
  <c r="F27" i="21"/>
  <c r="E77" i="13"/>
  <c r="E33" i="3"/>
  <c r="F28" i="21"/>
  <c r="F76" i="13"/>
  <c r="E72"/>
  <c r="G34" i="11"/>
  <c r="E21"/>
  <c r="G46" i="10"/>
  <c r="G46" i="13"/>
  <c r="G86" i="8"/>
  <c r="G123" i="7"/>
  <c r="G46" i="11"/>
  <c r="G46" i="8"/>
  <c r="G86" i="12"/>
  <c r="G46" i="28"/>
  <c r="G86"/>
  <c r="G86" i="13"/>
  <c r="G86" i="11"/>
  <c r="M38" i="21"/>
  <c r="M46" s="1"/>
  <c r="G46" i="12"/>
  <c r="G86" i="10"/>
  <c r="D16" i="21"/>
  <c r="D143" i="7"/>
  <c r="D110"/>
  <c r="E20" i="8"/>
  <c r="G34" s="1"/>
  <c r="E60"/>
  <c r="G74" s="1"/>
  <c r="E20" i="10"/>
  <c r="G34" s="1"/>
  <c r="G73"/>
  <c r="E6" i="12"/>
  <c r="E21" s="1"/>
  <c r="E46"/>
  <c r="E61" s="1"/>
  <c r="E11" i="36"/>
  <c r="E30" i="10" s="1"/>
  <c r="E33" s="1"/>
  <c r="E7" i="36"/>
  <c r="E30" i="28" s="1"/>
  <c r="E33" s="1"/>
  <c r="E29" i="14"/>
  <c r="E30" s="1"/>
  <c r="E10" i="36"/>
  <c r="E70" i="8" s="1"/>
  <c r="E73" s="1"/>
  <c r="F76" s="1"/>
  <c r="E6" i="36"/>
  <c r="E9"/>
  <c r="E30" i="8" s="1"/>
  <c r="E33" s="1"/>
  <c r="E32" s="1"/>
  <c r="B31" i="27"/>
  <c r="B45" i="21"/>
  <c r="E8" i="36"/>
  <c r="E70" i="28" s="1"/>
  <c r="E73" s="1"/>
  <c r="F55" i="21"/>
  <c r="E27" i="15"/>
  <c r="E60" i="14"/>
  <c r="E61" s="1"/>
  <c r="E35" i="3"/>
  <c r="D29" i="17"/>
  <c r="D32" s="1"/>
  <c r="D7" i="49"/>
  <c r="E26" i="3"/>
  <c r="E37" i="10"/>
  <c r="F36"/>
  <c r="F21" i="21"/>
  <c r="E32" i="10"/>
  <c r="F19" i="21"/>
  <c r="D19" i="36"/>
  <c r="E72" i="28"/>
  <c r="E23" i="3"/>
  <c r="F18" i="21"/>
  <c r="E77" i="28"/>
  <c r="F76"/>
  <c r="F36"/>
  <c r="E37"/>
  <c r="E22" i="3"/>
  <c r="F17" i="21"/>
  <c r="E32" i="28"/>
  <c r="E19" i="36"/>
  <c r="E108" i="7"/>
  <c r="E111" s="1"/>
  <c r="E27" i="17"/>
  <c r="E40" i="3"/>
  <c r="D35" i="21"/>
  <c r="E6" i="17"/>
  <c r="E16" s="1"/>
  <c r="E29" s="1"/>
  <c r="E30" s="1"/>
  <c r="D31"/>
  <c r="E34" i="3"/>
  <c r="E27" i="14"/>
  <c r="G33" i="10"/>
  <c r="E6"/>
  <c r="E21" s="1"/>
  <c r="D94"/>
  <c r="B38" s="1"/>
  <c r="E25" i="3"/>
  <c r="F20" i="21"/>
  <c r="E72" i="8"/>
  <c r="E77"/>
  <c r="D98"/>
  <c r="B78" s="1"/>
  <c r="G73"/>
  <c r="E46"/>
  <c r="E61" s="1"/>
  <c r="F36"/>
  <c r="E37"/>
  <c r="G33"/>
  <c r="D96"/>
  <c r="B38" s="1"/>
  <c r="E6"/>
  <c r="E21" s="1"/>
  <c r="D93" i="28"/>
  <c r="B77" s="1"/>
  <c r="D61"/>
  <c r="D74" s="1"/>
  <c r="D19"/>
  <c r="G48" i="3"/>
  <c r="D34" i="21"/>
  <c r="D60" i="16"/>
  <c r="D62"/>
  <c r="D32" i="21"/>
  <c r="D62" i="15"/>
  <c r="D58"/>
  <c r="E37"/>
  <c r="E47" s="1"/>
  <c r="E60" s="1"/>
  <c r="E61" s="1"/>
  <c r="D90" i="28"/>
  <c r="B37" s="1"/>
  <c r="D34"/>
  <c r="D17" i="21"/>
  <c r="E24" i="3" l="1"/>
  <c r="C144" i="7"/>
  <c r="D7"/>
  <c r="D57" s="1"/>
  <c r="E46" i="13"/>
  <c r="E61" s="1"/>
  <c r="D96"/>
  <c r="B78" s="1"/>
  <c r="G73"/>
  <c r="E60" i="28"/>
  <c r="G74" s="1"/>
  <c r="G17" i="48"/>
  <c r="B115" i="7"/>
  <c r="E39" i="13"/>
  <c r="E40" s="1"/>
  <c r="G35"/>
  <c r="G36" s="1"/>
  <c r="G39" s="1"/>
  <c r="E12" i="28"/>
  <c r="E20" s="1"/>
  <c r="G34" s="1"/>
  <c r="F7" i="5"/>
  <c r="E11" i="7"/>
  <c r="D20" i="5"/>
  <c r="E20"/>
  <c r="E12" i="7"/>
  <c r="E78" i="13"/>
  <c r="E38" i="12"/>
  <c r="E78" i="11"/>
  <c r="E78" i="12"/>
  <c r="E38" i="11"/>
  <c r="E78" i="10"/>
  <c r="E38"/>
  <c r="E39" s="1"/>
  <c r="E40" s="1"/>
  <c r="F114" i="7"/>
  <c r="E110"/>
  <c r="E21" i="3"/>
  <c r="E48" s="1"/>
  <c r="F16" i="21"/>
  <c r="F43" s="1"/>
  <c r="F45" s="1"/>
  <c r="E115" i="7"/>
  <c r="E78" i="8"/>
  <c r="G75" s="1"/>
  <c r="E38"/>
  <c r="G73" i="28"/>
  <c r="E46"/>
  <c r="E61" s="1"/>
  <c r="D94"/>
  <c r="B78" s="1"/>
  <c r="E37" i="16"/>
  <c r="E47" s="1"/>
  <c r="E60" s="1"/>
  <c r="E61" s="1"/>
  <c r="D63"/>
  <c r="D43" i="21"/>
  <c r="D45" s="1"/>
  <c r="E6" i="28"/>
  <c r="E21" s="1"/>
  <c r="D91"/>
  <c r="B38" s="1"/>
  <c r="G33"/>
  <c r="E19" i="13" l="1"/>
  <c r="G27" i="21"/>
  <c r="F32" i="3"/>
  <c r="H27" i="21"/>
  <c r="G43" i="13" s="1"/>
  <c r="E39" i="11"/>
  <c r="E40" s="1"/>
  <c r="G35"/>
  <c r="G75"/>
  <c r="G76" s="1"/>
  <c r="G79" s="1"/>
  <c r="E79"/>
  <c r="E80" s="1"/>
  <c r="E79" i="13"/>
  <c r="G75"/>
  <c r="E80"/>
  <c r="G75" i="10"/>
  <c r="G76" s="1"/>
  <c r="G79" s="1"/>
  <c r="E79"/>
  <c r="E80" s="1"/>
  <c r="G75" i="12"/>
  <c r="E79"/>
  <c r="E80" s="1"/>
  <c r="E39"/>
  <c r="E40" s="1"/>
  <c r="G35"/>
  <c r="E13" i="7"/>
  <c r="E56" s="1"/>
  <c r="G111" s="1"/>
  <c r="F20" i="5"/>
  <c r="D112" i="7"/>
  <c r="D66"/>
  <c r="K35" i="13"/>
  <c r="E79" i="8"/>
  <c r="E80" s="1"/>
  <c r="E39"/>
  <c r="E40" s="1"/>
  <c r="F26" i="3"/>
  <c r="E19" i="10"/>
  <c r="G21" i="21"/>
  <c r="H21"/>
  <c r="G43" i="10" s="1"/>
  <c r="G35"/>
  <c r="G36" s="1"/>
  <c r="G39" s="1"/>
  <c r="G76" i="8"/>
  <c r="G79" s="1"/>
  <c r="E78" i="28"/>
  <c r="E38"/>
  <c r="E19" i="12" l="1"/>
  <c r="H25" i="21"/>
  <c r="G43" i="12" s="1"/>
  <c r="G25" i="21"/>
  <c r="F30" i="3"/>
  <c r="G36" i="12"/>
  <c r="G39" s="1"/>
  <c r="K35"/>
  <c r="G76"/>
  <c r="G79" s="1"/>
  <c r="K75"/>
  <c r="E59" i="13"/>
  <c r="H28" i="21"/>
  <c r="G83" i="13" s="1"/>
  <c r="F33" i="3"/>
  <c r="G28" i="21"/>
  <c r="H23"/>
  <c r="G43" i="11" s="1"/>
  <c r="F28" i="3"/>
  <c r="G23" i="21"/>
  <c r="E19" i="11"/>
  <c r="G110" i="7"/>
  <c r="D144"/>
  <c r="B116" s="1"/>
  <c r="E7"/>
  <c r="E57" s="1"/>
  <c r="F31" i="3"/>
  <c r="E59" i="12"/>
  <c r="G26" i="21"/>
  <c r="H26"/>
  <c r="G83" i="12" s="1"/>
  <c r="K75" i="10"/>
  <c r="H22" i="21"/>
  <c r="G83" i="10" s="1"/>
  <c r="E59"/>
  <c r="F27" i="3"/>
  <c r="G22" i="21"/>
  <c r="G76" i="13"/>
  <c r="G79" s="1"/>
  <c r="K75"/>
  <c r="K75" i="11"/>
  <c r="G24" i="21"/>
  <c r="H24"/>
  <c r="G83" i="11" s="1"/>
  <c r="E59"/>
  <c r="F29" i="3"/>
  <c r="G36" i="11"/>
  <c r="G39" s="1"/>
  <c r="K35"/>
  <c r="G35" i="8"/>
  <c r="K35" s="1"/>
  <c r="G20" i="21"/>
  <c r="H20" s="1"/>
  <c r="G83" i="8" s="1"/>
  <c r="F25" i="3"/>
  <c r="E59" i="8"/>
  <c r="K75"/>
  <c r="F24" i="3"/>
  <c r="G19" i="21"/>
  <c r="H19" s="1"/>
  <c r="G43" i="8" s="1"/>
  <c r="E19"/>
  <c r="E79" i="28"/>
  <c r="G75" s="1"/>
  <c r="E39"/>
  <c r="E40" s="1"/>
  <c r="E66" i="7" l="1"/>
  <c r="E116"/>
  <c r="G36" i="8"/>
  <c r="G39" s="1"/>
  <c r="E80" i="28"/>
  <c r="K75" s="1"/>
  <c r="G17" i="21"/>
  <c r="F22" i="3"/>
  <c r="E19" i="28"/>
  <c r="J38" i="24"/>
  <c r="J40" s="1"/>
  <c r="G35" i="28"/>
  <c r="K35" s="1"/>
  <c r="G76"/>
  <c r="G79" s="1"/>
  <c r="E117" i="7" l="1"/>
  <c r="G112" s="1"/>
  <c r="E59" i="28"/>
  <c r="G15" i="48"/>
  <c r="G22" s="1"/>
  <c r="G18" i="21"/>
  <c r="H18" s="1"/>
  <c r="F23" i="3"/>
  <c r="G36" i="28"/>
  <c r="G39" s="1"/>
  <c r="H17" i="21"/>
  <c r="G113" i="7" l="1"/>
  <c r="G116" s="1"/>
  <c r="E118"/>
  <c r="G29" i="48"/>
  <c r="E30" s="1"/>
  <c r="D31" s="1"/>
  <c r="G83" i="28"/>
  <c r="E23" i="48"/>
  <c r="D24"/>
  <c r="F33" s="1"/>
  <c r="F80" i="28" s="1"/>
  <c r="G43"/>
  <c r="E55" i="7" l="1"/>
  <c r="G16" i="21"/>
  <c r="F21" i="3"/>
  <c r="F48" s="1"/>
  <c r="F49" s="1"/>
  <c r="K112" i="7"/>
  <c r="I48" i="11" l="1"/>
  <c r="I88" i="10"/>
  <c r="I88" i="11"/>
  <c r="I88" i="28"/>
  <c r="I125" i="7"/>
  <c r="I88" i="12"/>
  <c r="I88" i="8"/>
  <c r="I48" i="12"/>
  <c r="I48" i="13"/>
  <c r="I48" i="8"/>
  <c r="I48" i="28"/>
  <c r="I48" i="10"/>
  <c r="I88" i="13"/>
  <c r="H16" i="21"/>
  <c r="G43"/>
  <c r="M45" s="1"/>
  <c r="M47" s="1"/>
  <c r="M41" l="1"/>
  <c r="J41" s="1"/>
  <c r="M40"/>
  <c r="J40" s="1"/>
  <c r="G120" i="7"/>
  <c r="H43" i="21"/>
  <c r="G122" i="7" l="1"/>
  <c r="G85" i="10"/>
  <c r="G45"/>
  <c r="G85" i="11"/>
  <c r="G85" i="13"/>
  <c r="G85" i="28"/>
  <c r="G45" i="8"/>
  <c r="G45" i="12"/>
  <c r="M51" i="21"/>
  <c r="G85" i="8"/>
  <c r="G45" i="28"/>
  <c r="G45" i="13"/>
  <c r="G85" i="12"/>
  <c r="G45" i="11"/>
</calcChain>
</file>

<file path=xl/sharedStrings.xml><?xml version="1.0" encoding="utf-8"?>
<sst xmlns="http://schemas.openxmlformats.org/spreadsheetml/2006/main" count="2082" uniqueCount="1075">
  <si>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</si>
  <si>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</si>
  <si>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</si>
  <si>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</si>
  <si>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</si>
  <si>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</si>
  <si>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</si>
  <si>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</si>
  <si>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</si>
  <si>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</si>
  <si>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</si>
  <si>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</si>
  <si>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</si>
  <si>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</si>
  <si>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</si>
  <si>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</si>
  <si>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</si>
  <si>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</si>
  <si>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</si>
  <si>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</si>
  <si>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</si>
  <si>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</si>
  <si>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</si>
  <si>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</si>
  <si>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</si>
  <si>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</si>
  <si>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</si>
  <si>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</si>
  <si>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</si>
  <si>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</si>
  <si>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</si>
  <si>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</si>
  <si>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</si>
  <si>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</si>
  <si>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</si>
  <si>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</si>
  <si>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</si>
  <si>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</si>
  <si>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</si>
  <si>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</si>
  <si>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</si>
  <si>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</si>
  <si>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</si>
  <si>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</si>
  <si>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</si>
  <si>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</si>
  <si>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</si>
  <si>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</si>
  <si>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</si>
  <si>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</si>
  <si>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</si>
  <si>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</si>
  <si>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</si>
  <si>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</si>
  <si>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</si>
  <si>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</si>
  <si>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</si>
  <si>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</si>
  <si>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</si>
  <si>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</si>
  <si>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</si>
  <si>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</si>
  <si>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</si>
  <si>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</si>
  <si>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</si>
  <si>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</si>
  <si>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</si>
  <si>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</si>
  <si>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</si>
  <si>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</si>
  <si>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</si>
  <si>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</si>
  <si>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</si>
  <si>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</si>
  <si>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</si>
  <si>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</si>
  <si>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</si>
  <si>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</si>
  <si>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</si>
  <si>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</si>
  <si>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</si>
  <si>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</si>
  <si>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</si>
  <si>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</si>
  <si>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</si>
  <si>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</si>
  <si>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</si>
  <si>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</si>
  <si>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</si>
  <si>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</si>
  <si>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</si>
  <si>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</si>
  <si>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</si>
  <si>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</si>
  <si>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</si>
  <si>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</si>
  <si>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</si>
  <si>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</si>
  <si>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</si>
  <si>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</si>
  <si>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</si>
  <si>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</si>
  <si>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</si>
  <si>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</si>
  <si>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</si>
  <si>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</si>
  <si>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</si>
  <si>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</si>
  <si>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</si>
  <si>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</si>
  <si>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</si>
  <si>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</si>
  <si>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</si>
  <si>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</si>
  <si>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</si>
  <si>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</si>
  <si>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</si>
  <si>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</si>
  <si>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</si>
  <si>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</si>
  <si>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</si>
  <si>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</si>
  <si>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</si>
  <si>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</si>
  <si>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</si>
  <si>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</si>
  <si>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</si>
  <si>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</si>
  <si>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</si>
  <si>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</si>
  <si>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</si>
  <si>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</si>
  <si>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</si>
  <si>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</si>
  <si>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</si>
  <si>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</si>
  <si>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</si>
  <si>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</si>
  <si>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</si>
  <si>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</si>
  <si>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</si>
  <si>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</si>
  <si>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</si>
  <si>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</si>
  <si>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</si>
  <si>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</si>
  <si>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</si>
  <si>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</si>
  <si>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</si>
  <si>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</si>
  <si>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</si>
  <si>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</si>
  <si>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</si>
  <si>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</si>
  <si>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</si>
  <si>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</si>
  <si>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</si>
  <si>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</si>
  <si>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</si>
  <si>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</si>
  <si>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</si>
  <si>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</si>
  <si>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</si>
  <si>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</si>
  <si>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</si>
  <si>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</si>
  <si>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</si>
  <si>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</si>
  <si>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</si>
  <si>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</si>
  <si>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</si>
  <si>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</si>
  <si>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</si>
  <si>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</si>
  <si>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</si>
  <si>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</si>
  <si>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</si>
  <si>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</si>
  <si>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</si>
  <si>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</si>
  <si>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</si>
  <si>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</si>
  <si>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</si>
  <si>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</si>
  <si>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</si>
  <si>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</si>
  <si>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</si>
  <si>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</si>
  <si>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</si>
  <si>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</si>
  <si>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</si>
  <si>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</si>
  <si>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</si>
  <si>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</si>
  <si>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</si>
  <si>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</si>
  <si>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</si>
  <si>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</si>
  <si>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</si>
  <si>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</si>
  <si>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</si>
  <si>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</si>
  <si>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</si>
  <si>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</si>
  <si>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</si>
  <si>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</si>
  <si>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</si>
  <si>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</si>
  <si>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</si>
  <si>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</si>
  <si>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</si>
  <si>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</si>
  <si>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</si>
  <si>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</si>
  <si>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</si>
  <si>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</si>
  <si>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</si>
  <si>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</si>
  <si>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sz val="12"/>
        <rFont val="Times New Roman"/>
        <family val="1"/>
      </rPr>
      <t>Note</t>
    </r>
    <r>
      <rPr>
        <sz val="12"/>
        <rFont val="Times New Roman"/>
        <family val="1"/>
      </rPr>
      <t>: The delinquency rate can be up to 5% more than the actual delinquency rate from the previous year.</t>
    </r>
  </si>
  <si>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</si>
  <si>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</si>
  <si>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</si>
  <si>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</si>
  <si>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</si>
  <si>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</si>
  <si>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</si>
  <si>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</si>
  <si>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</si>
  <si>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</si>
  <si>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</si>
  <si>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</si>
  <si>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</si>
  <si>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</si>
  <si>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</si>
  <si>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</si>
  <si>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</si>
  <si>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</si>
  <si>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</si>
  <si>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</si>
  <si>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</si>
  <si>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</si>
  <si>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</si>
  <si>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</si>
  <si>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</si>
  <si>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</si>
  <si>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</si>
  <si>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</si>
  <si>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</si>
  <si>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</si>
  <si>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</si>
  <si>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</si>
  <si>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</si>
  <si>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</si>
  <si>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</si>
  <si>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</si>
  <si>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</si>
  <si>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</si>
  <si>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</si>
  <si>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</si>
  <si>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</si>
  <si>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</si>
  <si>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</si>
  <si>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</si>
  <si>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</si>
  <si>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</si>
  <si>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</si>
  <si>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</si>
  <si>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</si>
  <si>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</si>
  <si>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</si>
  <si>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</si>
  <si>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</si>
  <si>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</si>
  <si>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</si>
  <si>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</si>
  <si>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</si>
  <si>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</si>
  <si>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</si>
  <si>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</si>
  <si>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</si>
  <si>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</si>
  <si>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</si>
  <si>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</si>
  <si>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</si>
  <si>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</si>
  <si>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</si>
  <si>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</si>
  <si>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</si>
  <si>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</si>
  <si>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</si>
  <si>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</si>
  <si>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</si>
  <si>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</si>
  <si>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</si>
  <si>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</si>
  <si>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</si>
  <si>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</si>
  <si>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</si>
  <si>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</si>
  <si>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</si>
  <si>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</si>
  <si>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</si>
  <si>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</si>
  <si>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</si>
  <si>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</si>
  <si>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</si>
  <si>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</si>
  <si>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</si>
  <si>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</si>
  <si>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</si>
  <si>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</si>
  <si>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</si>
  <si>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</si>
  <si>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</si>
  <si>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</si>
  <si>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</si>
  <si>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</si>
  <si>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</si>
  <si>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</si>
  <si>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</si>
  <si>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</si>
  <si>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</si>
  <si>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</si>
  <si>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</si>
  <si>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</si>
  <si>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</si>
  <si>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</si>
  <si>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</si>
  <si>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</si>
  <si>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</si>
  <si>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</si>
  <si>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</si>
  <si>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</si>
  <si>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</si>
  <si>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</si>
  <si>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</si>
  <si>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</si>
  <si>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</si>
  <si>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</si>
  <si>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</si>
  <si>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</si>
  <si>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</si>
  <si>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</si>
  <si>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</si>
  <si>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</si>
  <si>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</si>
  <si>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</si>
  <si>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</si>
  <si>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</si>
  <si>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</si>
  <si>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</si>
  <si>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</si>
  <si>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</si>
  <si>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</si>
  <si>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</si>
  <si>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</si>
  <si>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</si>
  <si>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</si>
  <si>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</si>
  <si>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</si>
  <si>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</si>
  <si>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</si>
  <si>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</si>
  <si>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</si>
  <si>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</si>
  <si>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</si>
  <si>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</si>
  <si>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</si>
  <si>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</si>
  <si>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</si>
  <si>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</si>
  <si>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</si>
  <si>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</si>
  <si>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</si>
  <si>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</si>
  <si>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</si>
  <si>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</si>
  <si>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</si>
  <si>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</si>
  <si>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</si>
  <si>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</si>
  <si>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</si>
  <si>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</si>
  <si>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</si>
  <si>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</si>
  <si>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</si>
  <si>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</si>
  <si>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</si>
  <si>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</si>
  <si>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</si>
  <si>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</si>
  <si>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</si>
  <si>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</si>
  <si>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</si>
  <si>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</si>
  <si>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</si>
  <si>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</si>
  <si>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</si>
  <si>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</si>
  <si>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</si>
  <si>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</si>
  <si>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</si>
  <si>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</si>
  <si>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</si>
  <si>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</si>
  <si>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</si>
  <si>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</si>
  <si>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</si>
  <si>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</si>
  <si>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</si>
  <si>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</si>
  <si>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</si>
  <si>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</si>
  <si>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</si>
  <si>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</si>
  <si>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</si>
  <si>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</si>
  <si>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</si>
  <si>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</si>
  <si>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</si>
  <si>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</si>
  <si>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</si>
  <si>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</si>
  <si>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</si>
  <si>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</si>
  <si>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</si>
  <si>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</si>
  <si>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</si>
  <si>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</si>
  <si>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</si>
  <si>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</si>
  <si>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</si>
  <si>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</si>
  <si>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</si>
  <si>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</si>
  <si>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</si>
  <si>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</si>
  <si>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</si>
  <si>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</si>
  <si>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</si>
  <si>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</si>
  <si>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</si>
  <si>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</si>
  <si>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</si>
  <si>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</si>
  <si>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</si>
  <si>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</si>
  <si>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</si>
  <si>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</si>
  <si>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</si>
  <si>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</si>
  <si>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</si>
  <si>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</si>
  <si>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</si>
  <si>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</si>
  <si>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</si>
  <si>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</si>
  <si>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</si>
  <si>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</si>
  <si>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</si>
  <si>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</si>
  <si>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</si>
  <si>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</si>
  <si>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</si>
  <si>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</si>
  <si>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</si>
  <si>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</si>
  <si>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</si>
  <si>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</si>
  <si>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</si>
  <si>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</si>
  <si>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</si>
  <si>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</si>
  <si>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</si>
  <si>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</si>
  <si>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</si>
  <si>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</si>
  <si>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</si>
  <si>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</si>
  <si>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</si>
  <si>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</si>
  <si>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</si>
  <si>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</si>
  <si>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</si>
  <si>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</si>
  <si>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</si>
  <si>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</si>
  <si>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</si>
  <si>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</si>
  <si>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</si>
  <si>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</si>
  <si>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</si>
  <si>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</si>
  <si>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</si>
  <si>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</si>
  <si>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</si>
  <si>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</si>
  <si>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</si>
  <si>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</si>
  <si>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</si>
  <si>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</si>
  <si>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</si>
  <si>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</si>
  <si>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</si>
  <si>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</si>
  <si>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</si>
  <si>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</si>
  <si>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</si>
  <si>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</si>
  <si>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</si>
  <si>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</si>
  <si>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</si>
  <si>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</si>
  <si>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</si>
  <si>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</si>
  <si>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</si>
  <si>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</si>
  <si>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</si>
  <si>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</si>
  <si>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</si>
  <si>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</si>
  <si>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</si>
  <si>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</si>
  <si>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</si>
  <si>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</si>
  <si>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</si>
  <si>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</si>
  <si>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</si>
  <si>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</si>
  <si>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</si>
  <si>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</si>
  <si>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</si>
  <si>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</si>
  <si>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</si>
  <si>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</si>
  <si>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</si>
  <si>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</si>
  <si>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</si>
  <si>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</si>
  <si>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</si>
  <si>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</si>
  <si>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</si>
  <si>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</si>
  <si>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</si>
  <si>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</si>
  <si>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</si>
  <si>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</si>
  <si>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</si>
  <si>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</si>
  <si>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</si>
  <si>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</si>
  <si>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</si>
  <si>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</si>
  <si>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</si>
  <si>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</si>
  <si>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</si>
  <si>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</si>
  <si>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</si>
  <si>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</si>
  <si>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</si>
  <si>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</si>
  <si>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</si>
  <si>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</si>
  <si>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</si>
  <si>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</si>
  <si>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</si>
  <si>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</si>
  <si>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</si>
  <si>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</si>
  <si>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</si>
  <si>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</si>
  <si>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</si>
  <si>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</si>
  <si>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</si>
  <si>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</si>
  <si>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</si>
  <si>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</si>
  <si>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</si>
  <si>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</si>
  <si>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</si>
  <si>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</si>
  <si>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</si>
  <si>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</si>
  <si>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</si>
  <si>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</si>
  <si>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</si>
  <si>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</si>
  <si>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</si>
  <si>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</si>
  <si>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</si>
  <si>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</si>
  <si>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</si>
  <si>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</si>
  <si>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</si>
  <si>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</si>
  <si>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</si>
  <si>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</si>
  <si>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</si>
  <si>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</si>
  <si>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</si>
  <si>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</si>
  <si>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</si>
  <si>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</si>
  <si>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</si>
  <si>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</si>
  <si>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</si>
  <si>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</si>
  <si>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</si>
  <si>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</si>
  <si>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</si>
  <si>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</si>
  <si>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</si>
  <si>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</si>
  <si>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</si>
  <si>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</si>
  <si>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</si>
  <si>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</si>
  <si>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</si>
  <si>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</si>
  <si>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</si>
  <si>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</si>
  <si>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</si>
  <si>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</si>
  <si>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</si>
  <si>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</si>
  <si>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</si>
  <si>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</si>
  <si>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</si>
  <si>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</si>
  <si>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</si>
  <si>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</si>
  <si>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</si>
  <si>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</si>
  <si>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</si>
  <si>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</si>
  <si>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</si>
  <si>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</si>
  <si>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</si>
  <si>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</si>
  <si>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</si>
  <si>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</si>
  <si>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</si>
  <si>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</si>
  <si>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</si>
  <si>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</si>
  <si>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</si>
  <si>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</si>
  <si>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</si>
  <si>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</si>
  <si>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</si>
  <si>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</si>
  <si>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</si>
  <si>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</si>
  <si>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</si>
  <si>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</si>
  <si>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</si>
  <si>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</si>
  <si>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</si>
  <si>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</si>
  <si>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</si>
  <si>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</si>
  <si>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</si>
  <si>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</si>
  <si>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</si>
  <si>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</si>
  <si>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</si>
  <si>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</si>
  <si>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</si>
  <si>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</si>
  <si>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</si>
  <si>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</si>
  <si>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</si>
  <si>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</si>
  <si>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</si>
  <si>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</si>
  <si>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</si>
  <si>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</si>
  <si>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</si>
  <si>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</si>
  <si>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</si>
  <si>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</si>
  <si>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</si>
  <si>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</si>
  <si>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</si>
  <si>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</si>
  <si>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</si>
  <si>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</si>
  <si>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</si>
  <si>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</si>
  <si>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</si>
  <si>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</si>
  <si>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</si>
  <si>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</si>
  <si>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</si>
  <si>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</si>
  <si>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</si>
  <si>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</si>
  <si>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</si>
  <si>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</si>
  <si>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</si>
  <si>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</si>
  <si>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</si>
  <si>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</si>
  <si>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</si>
  <si>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</si>
  <si>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</si>
  <si>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</si>
  <si>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</si>
  <si>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</si>
  <si>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</si>
  <si>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</si>
  <si>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</si>
  <si>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</si>
  <si>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</si>
  <si>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</si>
  <si>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</si>
  <si>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</si>
  <si>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</si>
  <si>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</si>
  <si>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</si>
  <si>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</si>
  <si>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</si>
  <si>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</si>
  <si>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</si>
  <si>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</si>
  <si>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</si>
  <si>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</si>
  <si>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</si>
  <si>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</si>
  <si>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</si>
  <si>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</si>
  <si>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</si>
  <si>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</si>
  <si>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</si>
  <si>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</si>
  <si>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</si>
  <si>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</si>
  <si>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</si>
  <si>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</si>
  <si>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</si>
  <si>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</si>
  <si>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</si>
  <si>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</si>
  <si>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</si>
  <si>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</si>
  <si>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</si>
  <si>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</si>
  <si>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</si>
  <si>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r>
      <rPr>
        <b/>
        <sz val="12"/>
        <rFont val="Times New Roman"/>
        <family val="1"/>
      </rPr>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</si>
  <si>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</si>
  <si>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</si>
  <si>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</si>
  <si>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</si>
  <si>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</si>
  <si>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Compensating Use Tax</t>
  </si>
  <si>
    <t>Local Sales Tax</t>
  </si>
  <si>
    <t>Franchise Tax</t>
  </si>
  <si>
    <t>Licenses</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</si>
  <si>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</si>
  <si>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</si>
  <si>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</si>
  <si>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</si>
  <si>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</si>
  <si>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</si>
  <si>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</si>
  <si>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</si>
  <si>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</si>
  <si>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</si>
  <si>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</si>
  <si>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</si>
  <si>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</si>
  <si>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</si>
  <si>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</si>
  <si>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</si>
  <si>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</si>
  <si>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</si>
  <si>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</si>
  <si>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</si>
  <si>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</si>
  <si>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</si>
  <si>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</si>
  <si>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</si>
  <si>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</si>
  <si>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</si>
  <si>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</si>
  <si>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</si>
  <si>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</si>
  <si>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</si>
  <si>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</si>
  <si>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</si>
  <si>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</si>
  <si>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</si>
  <si>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</si>
  <si>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</si>
  <si>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</si>
  <si>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</si>
  <si>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</si>
  <si>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</si>
  <si>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</si>
  <si>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</si>
  <si>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</si>
  <si>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</si>
  <si>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</si>
  <si>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</si>
  <si>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</si>
  <si>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</si>
  <si>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</si>
  <si>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</si>
  <si>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</si>
  <si>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</si>
  <si>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</si>
  <si>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</si>
  <si>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</si>
  <si>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</si>
  <si>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</si>
  <si>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</si>
  <si>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</si>
  <si>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</si>
  <si>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</si>
  <si>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</si>
  <si>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</si>
  <si>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</si>
  <si>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</si>
  <si>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</si>
  <si>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</si>
  <si>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</si>
  <si>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</si>
  <si>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</si>
  <si>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</si>
  <si>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</si>
  <si>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</si>
  <si>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</si>
  <si>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</si>
  <si>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</si>
  <si>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</si>
  <si>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</si>
  <si>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</si>
  <si>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</si>
  <si>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</si>
  <si>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</si>
  <si>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</si>
  <si>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</si>
  <si>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</si>
  <si>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</si>
  <si>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</si>
  <si>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</si>
  <si>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</si>
  <si>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</si>
  <si>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</si>
  <si>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</si>
  <si>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</si>
  <si>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</si>
  <si>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</si>
  <si>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</si>
  <si>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</si>
  <si>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</si>
  <si>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</si>
  <si>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</si>
  <si>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</si>
  <si>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</si>
  <si>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</si>
  <si>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</si>
  <si>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</si>
  <si>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</si>
  <si>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</si>
  <si>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</si>
  <si>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</si>
  <si>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</si>
  <si>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</si>
  <si>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</si>
  <si>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</si>
  <si>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</si>
  <si>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</si>
  <si>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</si>
  <si>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</si>
  <si>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</si>
  <si>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</si>
  <si>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</si>
  <si>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</si>
  <si>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</si>
  <si>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</si>
  <si>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</si>
  <si>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</si>
  <si>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</si>
  <si>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</si>
  <si>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</si>
  <si>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</si>
  <si>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</si>
  <si>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</si>
  <si>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</si>
  <si>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</si>
  <si>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</si>
  <si>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</si>
  <si>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</si>
  <si>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</si>
  <si>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</si>
  <si>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</si>
  <si>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</si>
  <si>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</si>
  <si>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</si>
  <si>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</si>
  <si>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</si>
  <si>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</si>
  <si>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</si>
  <si>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</si>
  <si>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</si>
  <si>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</si>
  <si>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</si>
  <si>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</si>
  <si>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</si>
  <si>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</si>
  <si>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</si>
  <si>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</si>
  <si>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</si>
  <si>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</si>
  <si>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</si>
  <si>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</si>
  <si>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</si>
  <si>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</si>
  <si>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</si>
  <si>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</si>
  <si>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</si>
  <si>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</si>
  <si>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</si>
  <si>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</si>
  <si>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</si>
  <si>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</si>
  <si>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</si>
  <si>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</si>
  <si>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</si>
  <si>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</si>
  <si>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</si>
  <si>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</si>
  <si>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</si>
  <si>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</si>
  <si>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</si>
  <si>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</si>
  <si>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</si>
  <si>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</si>
  <si>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</si>
  <si>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</si>
  <si>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</si>
  <si>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</si>
  <si>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</si>
  <si>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</si>
  <si>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</si>
  <si>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</si>
  <si>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</si>
  <si>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</si>
  <si>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</si>
  <si>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</si>
  <si>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</si>
  <si>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</si>
  <si>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</si>
  <si>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</si>
  <si>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</si>
  <si>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</si>
  <si>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</si>
  <si>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</si>
  <si>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</si>
  <si>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</si>
  <si>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</si>
  <si>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</si>
  <si>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</si>
  <si>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</si>
  <si>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</si>
  <si>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</si>
  <si>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</si>
  <si>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</si>
  <si>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</si>
  <si>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</si>
  <si>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</si>
  <si>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</si>
  <si>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</si>
  <si>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 xml:space="preserve">peter.haxton@library.ks.gov </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</si>
  <si>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</si>
  <si>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</si>
  <si>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</si>
  <si>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</si>
  <si>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</si>
  <si>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</si>
  <si>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</si>
  <si>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</si>
  <si>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</si>
  <si>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</si>
  <si>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HOXIE</t>
  </si>
  <si>
    <t>SHERIDAN COUNTY</t>
  </si>
  <si>
    <t>Employee Benefits</t>
  </si>
  <si>
    <t>12-16, 102</t>
  </si>
  <si>
    <t>Street Resurfacing</t>
  </si>
  <si>
    <t>14-353</t>
  </si>
  <si>
    <t>Airport</t>
  </si>
  <si>
    <t>3-113</t>
  </si>
  <si>
    <t>Special Parks &amp; Recreation</t>
  </si>
  <si>
    <t>Fuller Cemetery</t>
  </si>
  <si>
    <t>Refuse Utiltiy</t>
  </si>
  <si>
    <t>Bed Tax</t>
  </si>
  <si>
    <t>Water Utiltiy</t>
  </si>
  <si>
    <t>Capital Improvement</t>
  </si>
  <si>
    <t>Equipment Reserve</t>
  </si>
  <si>
    <t>Janet Bainter</t>
  </si>
  <si>
    <t>7:00 p.m.</t>
  </si>
  <si>
    <t>The City Office</t>
  </si>
  <si>
    <t>The City Office, 829 Main St., Hoxie, KS</t>
  </si>
  <si>
    <t>Capital Project - Streets</t>
  </si>
  <si>
    <t>Street - East Sheridan</t>
  </si>
  <si>
    <t>5.9%-5.0%</t>
  </si>
  <si>
    <t>Water Utility</t>
  </si>
  <si>
    <t>Street Loan from KDOT</t>
  </si>
  <si>
    <t>Connect Link</t>
  </si>
  <si>
    <t>Dog &amp; Cat tags</t>
  </si>
  <si>
    <t>Court</t>
  </si>
  <si>
    <t>Pool</t>
  </si>
  <si>
    <t>Building Rent</t>
  </si>
  <si>
    <t>Equipment Rental</t>
  </si>
  <si>
    <t>Reimbursed Expense</t>
  </si>
  <si>
    <t>Refunds</t>
  </si>
  <si>
    <t>Transfer from Water</t>
  </si>
  <si>
    <t>Transfer from Refuse</t>
  </si>
  <si>
    <t>General Administration</t>
  </si>
  <si>
    <t xml:space="preserve">  Personal Services</t>
  </si>
  <si>
    <t xml:space="preserve">  Contract Services</t>
  </si>
  <si>
    <t>Streets</t>
  </si>
  <si>
    <t>Parks and Pool</t>
  </si>
  <si>
    <t>Police</t>
  </si>
  <si>
    <t>Cemetery</t>
  </si>
  <si>
    <t>Transfer to Equip. Res</t>
  </si>
  <si>
    <t>Transfer to Street Resurfacing</t>
  </si>
  <si>
    <t>Transfer to Capital Improvement</t>
  </si>
  <si>
    <t xml:space="preserve">   Contract Services</t>
  </si>
  <si>
    <t>Special Assessment</t>
  </si>
  <si>
    <t xml:space="preserve">  Bond Payment</t>
  </si>
  <si>
    <t xml:space="preserve">  Interest Payment</t>
  </si>
  <si>
    <t xml:space="preserve">  Fees</t>
  </si>
  <si>
    <t xml:space="preserve">  Main Street Project payment</t>
  </si>
  <si>
    <t xml:space="preserve">  Main Street Project interest</t>
  </si>
  <si>
    <t>Personal Services</t>
  </si>
  <si>
    <t>Contract Services</t>
  </si>
  <si>
    <t>Liquor</t>
  </si>
  <si>
    <t>Lots</t>
  </si>
  <si>
    <t>Farm</t>
  </si>
  <si>
    <t>Grave Opening</t>
  </si>
  <si>
    <t>Permits</t>
  </si>
  <si>
    <t>Commodities</t>
  </si>
  <si>
    <t>Customer</t>
  </si>
  <si>
    <t>Late Charges</t>
  </si>
  <si>
    <t>Bags</t>
  </si>
  <si>
    <t>Containers</t>
  </si>
  <si>
    <t>Contract/Landfill</t>
  </si>
  <si>
    <t>Transfer to General</t>
  </si>
  <si>
    <t>Transfer to Equip. Reserve</t>
  </si>
  <si>
    <t>State Payments</t>
  </si>
  <si>
    <t>Reimbursed Expense/Refund</t>
  </si>
  <si>
    <t>Customer/Late Charges</t>
  </si>
  <si>
    <t>Connect fee/Reconnect</t>
  </si>
  <si>
    <t>Bulk</t>
  </si>
  <si>
    <t>Transfer to Equip Res</t>
  </si>
  <si>
    <t>Transfer to Debt Services</t>
  </si>
  <si>
    <t>Sewer Maintenance</t>
  </si>
  <si>
    <t xml:space="preserve">  Dispatching</t>
  </si>
  <si>
    <t>Water</t>
  </si>
  <si>
    <t>Debt Services</t>
  </si>
  <si>
    <t xml:space="preserve">Refuse </t>
  </si>
  <si>
    <t>Transfer from General</t>
  </si>
  <si>
    <t>Equipment</t>
  </si>
  <si>
    <t>Transfer to Emp. Ben.</t>
  </si>
  <si>
    <t>Temporary notes for Streets</t>
  </si>
  <si>
    <t>Cash Basis Reserve</t>
  </si>
  <si>
    <t>August 12, 2013</t>
  </si>
  <si>
    <t>K.S.A. 12-825d</t>
  </si>
  <si>
    <t>K.S.A. 12-1, 118</t>
  </si>
  <si>
    <t>K.S.A. 12-1, 117</t>
  </si>
  <si>
    <t>K.S.A. 12-16,102</t>
  </si>
  <si>
    <t>Contract Serviced</t>
  </si>
  <si>
    <t>Capital Outlay</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</si>
</sst>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
    <numFmt numFmtId="173" formatCode="#,##0.000"/>
    <numFmt numFmtId="174" formatCode="[$-409]mmmm\ d\,\ yyyy;@"/>
    <numFmt numFmtId="175" formatCode="[$-409]h:mm\ AM/PM;@"/>
    <numFmt numFmtId="176" formatCode="&quot;$&quot;#,##0"/>
    <numFmt numFmtId="177" formatCode="&quot;$&quot;#,##0.00"/>
    <numFmt numFmtId="178" formatCode="#,###"/>
    <numFmt numFmtId="179" formatCode="0.0%"/>
    <numFmt numFmtId="180" formatCode="#,##0.000_);[Red]\(#,##0.000\)"/>
  </numFmts>
  <fonts count="61">
    <font>
      <sz val="12"/>
      <name val="Courier"/>
    </font>
    <font>
      <b/>
      <sz val="12"/>
      <name val="Courier"/>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9"/>
      <name val="Times New Roman"/>
      <family val="1"/>
    </font>
    <font>
      <sz val="11"/>
      <name val="Souvenir Lt BT"/>
    </font>
    <font>
      <u/>
      <sz val="12"/>
      <color indexed="12"/>
      <name val="Courier"/>
      <family val="3"/>
    </font>
    <font>
      <sz val="8"/>
      <name val="Courier"/>
      <family val="3"/>
    </font>
    <font>
      <b/>
      <u/>
      <sz val="12"/>
      <name val="Times New Roman"/>
      <family val="1"/>
    </font>
    <font>
      <sz val="8"/>
      <name val="Times New Roman"/>
      <family val="1"/>
    </font>
    <font>
      <b/>
      <u/>
      <sz val="12"/>
      <color indexed="10"/>
      <name val="Times New Roman"/>
      <family val="1"/>
    </font>
    <font>
      <b/>
      <u/>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sz val="8"/>
      <color indexed="10"/>
      <name val="Times New Roman"/>
      <family val="1"/>
    </font>
    <font>
      <sz val="12"/>
      <name val="Courier New"/>
      <family val="3"/>
    </font>
    <font>
      <b/>
      <sz val="12"/>
      <name val="Courier"/>
      <family val="3"/>
    </font>
    <font>
      <i/>
      <sz val="12"/>
      <name val="Courier"/>
      <family val="3"/>
    </font>
    <font>
      <i/>
      <u/>
      <sz val="12"/>
      <name val="Courier"/>
      <family val="3"/>
    </font>
    <font>
      <sz val="12"/>
      <name val="Courier New"/>
      <family val="3"/>
    </font>
    <font>
      <u/>
      <sz val="12"/>
      <color indexed="12"/>
      <name val="Courier New"/>
      <family val="3"/>
    </font>
    <font>
      <sz val="10"/>
      <name val="Times New Roman"/>
      <family val="1"/>
    </font>
    <font>
      <b/>
      <u/>
      <sz val="10"/>
      <name val="Times New Roman"/>
      <family val="1"/>
    </font>
    <font>
      <b/>
      <sz val="10"/>
      <name val="Times New Roman"/>
      <family val="1"/>
    </font>
    <font>
      <sz val="8"/>
      <color indexed="10"/>
      <name val="Times New Roman"/>
      <family val="1"/>
    </font>
    <font>
      <b/>
      <u/>
      <sz val="8"/>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sz val="10"/>
      <name val="Courier"/>
      <family val="3"/>
    </font>
    <font>
      <u/>
      <sz val="12"/>
      <color indexed="10"/>
      <name val="Times New Roman"/>
      <family val="1"/>
    </font>
    <font>
      <sz val="10"/>
      <color indexed="10"/>
      <name val="Times New Roman"/>
      <family val="1"/>
    </font>
    <font>
      <sz val="11"/>
      <color theme="1"/>
      <name val="Calibri"/>
      <family val="2"/>
      <scheme val="minor"/>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b/>
      <u/>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11"/>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
      <patternFill patternType="solid">
        <fgColor rgb="FFFFFFCC"/>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s>
  <cellStyleXfs count="408">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32" fillId="0" borderId="0"/>
    <xf numFmtId="0" fontId="28" fillId="0" borderId="0"/>
    <xf numFmtId="0" fontId="28" fillId="0" borderId="0"/>
    <xf numFmtId="0" fontId="28" fillId="0" borderId="0"/>
    <xf numFmtId="0" fontId="32" fillId="0" borderId="0"/>
    <xf numFmtId="0" fontId="28" fillId="0" borderId="0"/>
    <xf numFmtId="0" fontId="28" fillId="0" borderId="0"/>
    <xf numFmtId="0" fontId="28" fillId="0" borderId="0"/>
    <xf numFmtId="0" fontId="28" fillId="0" borderId="0"/>
    <xf numFmtId="0" fontId="28" fillId="0" borderId="0"/>
    <xf numFmtId="0" fontId="28" fillId="0" borderId="0"/>
    <xf numFmtId="0" fontId="3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cellStyleXfs>
  <cellXfs count="910">
    <xf numFmtId="0" fontId="0" fillId="0" borderId="0" xfId="0"/>
    <xf numFmtId="0" fontId="4" fillId="0" borderId="0" xfId="0" applyFont="1"/>
    <xf numFmtId="0" fontId="9" fillId="0" borderId="0" xfId="0" applyFont="1" applyAlignment="1">
      <alignment vertical="justify" wrapText="1"/>
    </xf>
    <xf numFmtId="0" fontId="0" fillId="0" borderId="0" xfId="0" applyAlignment="1">
      <alignment vertical="justify" wrapText="1"/>
    </xf>
    <xf numFmtId="0" fontId="4" fillId="0" borderId="0" xfId="0" applyFont="1" applyAlignment="1">
      <alignment horizontal="left" vertical="justify" wrapText="1"/>
    </xf>
    <xf numFmtId="0" fontId="4" fillId="0" borderId="0" xfId="0" applyFont="1" applyAlignment="1" applyProtection="1">
      <alignment horizontal="left" vertical="justify"/>
      <protection locked="0"/>
    </xf>
    <xf numFmtId="0" fontId="4" fillId="0" borderId="0" xfId="0" applyFont="1" applyAlignment="1">
      <alignment vertical="justify"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xf>
    <xf numFmtId="0" fontId="17" fillId="0" borderId="0" xfId="0" applyFont="1" applyFill="1" applyAlignment="1">
      <alignment vertical="center" wrapText="1"/>
    </xf>
    <xf numFmtId="0" fontId="3" fillId="0" borderId="0" xfId="0" applyFont="1" applyAlignment="1">
      <alignment vertical="center" wrapText="1"/>
    </xf>
    <xf numFmtId="0" fontId="4" fillId="2" borderId="0" xfId="0" applyFont="1" applyFill="1" applyAlignment="1">
      <alignment vertical="center"/>
    </xf>
    <xf numFmtId="0" fontId="4" fillId="0" borderId="0" xfId="0" applyFont="1" applyFill="1" applyAlignment="1">
      <alignment vertical="center"/>
    </xf>
    <xf numFmtId="0" fontId="4" fillId="3" borderId="0" xfId="0" applyFont="1" applyFill="1" applyAlignment="1">
      <alignment vertical="center" wrapText="1"/>
    </xf>
    <xf numFmtId="0" fontId="4" fillId="4" borderId="0" xfId="0" applyFont="1" applyFill="1" applyAlignment="1">
      <alignment vertical="center" wrapText="1"/>
    </xf>
    <xf numFmtId="0" fontId="4" fillId="5" borderId="0" xfId="0" applyFont="1" applyFill="1" applyAlignment="1">
      <alignment vertical="center"/>
    </xf>
    <xf numFmtId="37" fontId="4" fillId="0" borderId="0" xfId="0" applyNumberFormat="1" applyFont="1" applyFill="1" applyAlignment="1" applyProtection="1">
      <alignment horizontal="left" vertical="center" wrapText="1"/>
    </xf>
    <xf numFmtId="37" fontId="12" fillId="3" borderId="0" xfId="0" applyNumberFormat="1" applyFont="1" applyFill="1" applyAlignment="1" applyProtection="1">
      <alignment horizontal="left" vertical="center"/>
    </xf>
    <xf numFmtId="0" fontId="4" fillId="3" borderId="0" xfId="0" applyFont="1" applyFill="1" applyAlignment="1" applyProtection="1">
      <alignment vertical="center"/>
    </xf>
    <xf numFmtId="0" fontId="4" fillId="0" borderId="0" xfId="0" applyFont="1" applyAlignment="1" applyProtection="1">
      <alignment vertical="center"/>
      <protection locked="0"/>
    </xf>
    <xf numFmtId="37" fontId="3" fillId="3" borderId="0" xfId="0" applyNumberFormat="1" applyFont="1" applyFill="1" applyAlignment="1" applyProtection="1">
      <alignment horizontal="left" vertical="center"/>
    </xf>
    <xf numFmtId="37" fontId="4" fillId="2" borderId="1" xfId="0" applyNumberFormat="1" applyFont="1" applyFill="1" applyBorder="1" applyAlignment="1" applyProtection="1">
      <alignment horizontal="left" vertical="center"/>
      <protection locked="0"/>
    </xf>
    <xf numFmtId="0" fontId="4" fillId="2" borderId="1" xfId="0" applyFont="1" applyFill="1" applyBorder="1" applyAlignment="1" applyProtection="1">
      <alignment vertical="center"/>
    </xf>
    <xf numFmtId="37" fontId="4" fillId="2" borderId="2" xfId="0" applyNumberFormat="1" applyFont="1" applyFill="1" applyBorder="1" applyAlignment="1" applyProtection="1">
      <alignment horizontal="left" vertical="center"/>
      <protection locked="0"/>
    </xf>
    <xf numFmtId="0" fontId="4" fillId="2" borderId="2" xfId="0"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4" fillId="3" borderId="0" xfId="0" applyNumberFormat="1" applyFont="1" applyFill="1" applyAlignment="1" applyProtection="1">
      <alignment horizontal="left" vertical="center"/>
      <protection locked="0"/>
    </xf>
    <xf numFmtId="0" fontId="3" fillId="2" borderId="3" xfId="0" applyFont="1" applyFill="1" applyBorder="1" applyAlignment="1" applyProtection="1">
      <alignment horizontal="center" vertical="center"/>
      <protection locked="0"/>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4" fillId="3" borderId="0" xfId="0" applyNumberFormat="1" applyFont="1" applyFill="1" applyAlignment="1" applyProtection="1">
      <alignment horizontal="centerContinuous" vertical="center"/>
    </xf>
    <xf numFmtId="37" fontId="14" fillId="3" borderId="0" xfId="0" applyNumberFormat="1" applyFont="1" applyFill="1" applyAlignment="1" applyProtection="1">
      <alignment horizontal="center" vertical="center"/>
    </xf>
    <xf numFmtId="0" fontId="3" fillId="6" borderId="0" xfId="0" applyFont="1" applyFill="1" applyAlignment="1" applyProtection="1">
      <alignment vertical="center"/>
    </xf>
    <xf numFmtId="0" fontId="4" fillId="6" borderId="0" xfId="0" applyFont="1" applyFill="1" applyAlignment="1" applyProtection="1">
      <alignment vertical="center"/>
    </xf>
    <xf numFmtId="37" fontId="3" fillId="7" borderId="0" xfId="0" applyNumberFormat="1" applyFont="1" applyFill="1" applyAlignment="1" applyProtection="1">
      <alignment horizontal="left" vertical="center"/>
    </xf>
    <xf numFmtId="0" fontId="4" fillId="7" borderId="0" xfId="0" applyFont="1" applyFill="1" applyAlignment="1" applyProtection="1">
      <alignment vertical="center"/>
    </xf>
    <xf numFmtId="0" fontId="5" fillId="3" borderId="0" xfId="0" applyFont="1" applyFill="1" applyAlignment="1" applyProtection="1">
      <alignment horizontal="center" vertical="center"/>
    </xf>
    <xf numFmtId="0" fontId="3" fillId="3" borderId="0" xfId="0" applyFont="1" applyFill="1" applyAlignment="1" applyProtection="1">
      <alignment vertical="center"/>
    </xf>
    <xf numFmtId="0" fontId="5" fillId="6"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xf>
    <xf numFmtId="37" fontId="4" fillId="3" borderId="0" xfId="0" applyNumberFormat="1" applyFont="1" applyFill="1" applyAlignment="1" applyProtection="1">
      <alignment horizontal="center" vertical="center"/>
    </xf>
    <xf numFmtId="0" fontId="4" fillId="6" borderId="5" xfId="0" applyFont="1" applyFill="1" applyBorder="1" applyAlignment="1" applyProtection="1">
      <alignment horizontal="center" vertical="center"/>
      <protection locked="0"/>
    </xf>
    <xf numFmtId="37" fontId="4" fillId="4" borderId="5" xfId="0" applyNumberFormat="1" applyFont="1" applyFill="1" applyBorder="1" applyAlignment="1" applyProtection="1">
      <alignment horizontal="center" vertical="center" wrapText="1"/>
    </xf>
    <xf numFmtId="37" fontId="4" fillId="3" borderId="3"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 fontId="4" fillId="2" borderId="3" xfId="0" applyNumberFormat="1" applyFont="1" applyFill="1" applyBorder="1" applyAlignment="1" applyProtection="1">
      <alignment vertical="center"/>
      <protection locked="0"/>
    </xf>
    <xf numFmtId="3" fontId="4" fillId="8" borderId="3" xfId="0" applyNumberFormat="1" applyFont="1" applyFill="1" applyBorder="1" applyAlignment="1" applyProtection="1">
      <alignment vertical="center"/>
      <protection locked="0"/>
    </xf>
    <xf numFmtId="3" fontId="4" fillId="3" borderId="0" xfId="0" applyNumberFormat="1" applyFont="1" applyFill="1" applyAlignment="1" applyProtection="1">
      <alignment vertical="center"/>
    </xf>
    <xf numFmtId="171" fontId="4" fillId="3" borderId="0" xfId="0" applyNumberFormat="1" applyFont="1" applyFill="1" applyBorder="1" applyAlignment="1" applyProtection="1">
      <alignment vertical="center"/>
    </xf>
    <xf numFmtId="0" fontId="4" fillId="8" borderId="3" xfId="0" applyFont="1" applyFill="1" applyBorder="1" applyAlignment="1" applyProtection="1">
      <alignment vertical="center"/>
      <protection locked="0"/>
    </xf>
    <xf numFmtId="37" fontId="4" fillId="3" borderId="1" xfId="0" applyNumberFormat="1" applyFont="1" applyFill="1" applyBorder="1" applyAlignment="1" applyProtection="1">
      <alignment horizontal="left" vertical="center"/>
    </xf>
    <xf numFmtId="0" fontId="4" fillId="3" borderId="1" xfId="0" applyFont="1" applyFill="1" applyBorder="1" applyAlignment="1" applyProtection="1">
      <alignment vertical="center"/>
    </xf>
    <xf numFmtId="3" fontId="4" fillId="3" borderId="2" xfId="0" applyNumberFormat="1" applyFont="1" applyFill="1" applyBorder="1" applyAlignment="1" applyProtection="1">
      <alignment vertical="center"/>
    </xf>
    <xf numFmtId="3" fontId="4" fillId="9" borderId="3" xfId="0" applyNumberFormat="1" applyFont="1" applyFill="1" applyBorder="1" applyAlignment="1" applyProtection="1">
      <alignment vertical="center"/>
    </xf>
    <xf numFmtId="3" fontId="4" fillId="3" borderId="0" xfId="0" applyNumberFormat="1" applyFont="1" applyFill="1" applyBorder="1" applyAlignment="1" applyProtection="1">
      <alignment vertical="center"/>
    </xf>
    <xf numFmtId="164" fontId="4" fillId="3" borderId="3" xfId="0" applyNumberFormat="1" applyFont="1" applyFill="1" applyBorder="1" applyAlignment="1" applyProtection="1">
      <alignment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3" borderId="0"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37" fontId="4" fillId="6" borderId="0" xfId="0" applyNumberFormat="1" applyFont="1" applyFill="1" applyAlignment="1" applyProtection="1">
      <alignment horizontal="center" vertical="center"/>
    </xf>
    <xf numFmtId="37" fontId="3" fillId="6" borderId="0" xfId="0" applyNumberFormat="1" applyFont="1" applyFill="1" applyAlignment="1" applyProtection="1">
      <alignment horizontal="left" vertical="center"/>
    </xf>
    <xf numFmtId="0" fontId="4" fillId="6" borderId="1" xfId="0" applyFont="1" applyFill="1" applyBorder="1" applyAlignment="1">
      <alignment horizontal="center" vertical="center"/>
    </xf>
    <xf numFmtId="37" fontId="4" fillId="3" borderId="3" xfId="0" applyNumberFormat="1" applyFont="1" applyFill="1" applyBorder="1" applyAlignment="1" applyProtection="1">
      <alignment vertical="center"/>
    </xf>
    <xf numFmtId="0" fontId="4" fillId="3" borderId="5" xfId="0" applyFont="1" applyFill="1" applyBorder="1" applyAlignment="1" applyProtection="1">
      <alignment vertical="center"/>
    </xf>
    <xf numFmtId="171" fontId="4" fillId="8" borderId="3" xfId="0" applyNumberFormat="1" applyFont="1" applyFill="1" applyBorder="1" applyAlignment="1" applyProtection="1">
      <alignment vertical="center"/>
      <protection locked="0"/>
    </xf>
    <xf numFmtId="171" fontId="4" fillId="9" borderId="3" xfId="0" applyNumberFormat="1" applyFont="1" applyFill="1" applyBorder="1" applyAlignment="1" applyProtection="1">
      <alignment vertical="center"/>
    </xf>
    <xf numFmtId="37" fontId="4" fillId="6" borderId="1" xfId="0" applyNumberFormat="1" applyFont="1" applyFill="1" applyBorder="1" applyAlignment="1" applyProtection="1">
      <alignment horizontal="left" vertical="center"/>
    </xf>
    <xf numFmtId="0" fontId="4" fillId="6" borderId="1" xfId="0" applyFont="1" applyFill="1" applyBorder="1" applyAlignment="1" applyProtection="1">
      <alignment vertical="center"/>
    </xf>
    <xf numFmtId="0" fontId="4" fillId="3" borderId="7" xfId="0" applyFont="1" applyFill="1" applyBorder="1" applyAlignment="1" applyProtection="1">
      <alignment vertical="center"/>
    </xf>
    <xf numFmtId="0" fontId="4" fillId="6" borderId="2"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8" xfId="0" applyFont="1" applyFill="1" applyBorder="1" applyAlignment="1" applyProtection="1">
      <alignment vertical="center"/>
    </xf>
    <xf numFmtId="0" fontId="4" fillId="3" borderId="0" xfId="0" applyFont="1" applyFill="1" applyAlignment="1" applyProtection="1">
      <alignment vertical="center"/>
      <protection locked="0"/>
    </xf>
    <xf numFmtId="0" fontId="4" fillId="3"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protection locked="0"/>
    </xf>
    <xf numFmtId="0" fontId="4" fillId="3" borderId="7"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0" fillId="0" borderId="0" xfId="0" applyAlignment="1">
      <alignment vertical="center"/>
    </xf>
    <xf numFmtId="37" fontId="4" fillId="3" borderId="0" xfId="0" applyNumberFormat="1" applyFont="1" applyFill="1" applyAlignment="1">
      <alignment vertical="center"/>
    </xf>
    <xf numFmtId="0" fontId="0" fillId="3" borderId="0" xfId="0" applyFill="1" applyAlignment="1">
      <alignment vertical="center"/>
    </xf>
    <xf numFmtId="0" fontId="4" fillId="3" borderId="0" xfId="0" applyFont="1" applyFill="1" applyAlignment="1">
      <alignment vertical="center"/>
    </xf>
    <xf numFmtId="37" fontId="4" fillId="3" borderId="2" xfId="0" applyNumberFormat="1" applyFont="1" applyFill="1" applyBorder="1" applyAlignment="1" applyProtection="1">
      <alignment horizontal="left" vertical="center"/>
    </xf>
    <xf numFmtId="37" fontId="4" fillId="2" borderId="3" xfId="0" applyNumberFormat="1" applyFont="1" applyFill="1" applyBorder="1" applyAlignment="1" applyProtection="1">
      <alignment vertical="center"/>
      <protection locked="0"/>
    </xf>
    <xf numFmtId="37" fontId="3" fillId="3" borderId="2" xfId="0" applyNumberFormat="1" applyFont="1" applyFill="1" applyBorder="1" applyAlignment="1" applyProtection="1">
      <alignment horizontal="left" vertical="center"/>
    </xf>
    <xf numFmtId="0" fontId="0" fillId="3" borderId="0" xfId="0" applyFill="1" applyAlignment="1" applyProtection="1">
      <alignment vertical="center"/>
    </xf>
    <xf numFmtId="0" fontId="12" fillId="3" borderId="0" xfId="0" applyFont="1" applyFill="1" applyBorder="1" applyAlignment="1" applyProtection="1">
      <alignment horizontal="center" vertical="center"/>
    </xf>
    <xf numFmtId="171" fontId="4" fillId="2" borderId="1" xfId="0" applyNumberFormat="1" applyFont="1" applyFill="1" applyBorder="1" applyAlignment="1" applyProtection="1">
      <alignment vertical="center"/>
      <protection locked="0"/>
    </xf>
    <xf numFmtId="171" fontId="4" fillId="2" borderId="2" xfId="0" applyNumberFormat="1" applyFont="1" applyFill="1" applyBorder="1" applyAlignment="1" applyProtection="1">
      <alignment vertical="center"/>
      <protection locked="0"/>
    </xf>
    <xf numFmtId="0" fontId="4" fillId="3" borderId="9" xfId="0" applyFont="1" applyFill="1" applyBorder="1" applyAlignment="1" applyProtection="1">
      <alignment vertical="center"/>
    </xf>
    <xf numFmtId="171" fontId="4" fillId="2" borderId="9" xfId="0" applyNumberFormat="1" applyFont="1" applyFill="1" applyBorder="1" applyAlignment="1" applyProtection="1">
      <alignment vertical="center"/>
      <protection locked="0"/>
    </xf>
    <xf numFmtId="0" fontId="0" fillId="3" borderId="7" xfId="0" applyFill="1" applyBorder="1" applyAlignment="1" applyProtection="1">
      <alignment vertical="center"/>
    </xf>
    <xf numFmtId="0" fontId="0" fillId="3" borderId="1" xfId="0" applyFill="1" applyBorder="1" applyAlignment="1" applyProtection="1">
      <alignment vertical="center"/>
    </xf>
    <xf numFmtId="3" fontId="4" fillId="6" borderId="0" xfId="0" applyNumberFormat="1" applyFont="1" applyFill="1" applyAlignment="1" applyProtection="1">
      <alignment vertical="center"/>
    </xf>
    <xf numFmtId="3" fontId="4" fillId="3" borderId="7" xfId="0" applyNumberFormat="1" applyFont="1" applyFill="1" applyBorder="1" applyAlignment="1" applyProtection="1">
      <alignment vertical="center"/>
    </xf>
    <xf numFmtId="3" fontId="4" fillId="3" borderId="8" xfId="0" applyNumberFormat="1" applyFont="1" applyFill="1" applyBorder="1" applyAlignment="1" applyProtection="1">
      <alignment vertical="center"/>
    </xf>
    <xf numFmtId="37" fontId="4" fillId="5" borderId="0" xfId="0" applyNumberFormat="1" applyFont="1" applyFill="1" applyBorder="1" applyAlignment="1" applyProtection="1">
      <alignment horizontal="left" vertical="center"/>
    </xf>
    <xf numFmtId="0" fontId="4" fillId="5" borderId="0" xfId="0" applyFont="1" applyFill="1" applyBorder="1" applyAlignment="1" applyProtection="1">
      <alignment vertical="center"/>
    </xf>
    <xf numFmtId="172" fontId="4" fillId="5" borderId="0" xfId="0" applyNumberFormat="1" applyFont="1" applyFill="1" applyBorder="1" applyAlignment="1" applyProtection="1">
      <alignment vertical="center"/>
      <protection locked="0"/>
    </xf>
    <xf numFmtId="0" fontId="3" fillId="6" borderId="0" xfId="0" applyFont="1" applyFill="1" applyAlignment="1">
      <alignment vertical="center"/>
    </xf>
    <xf numFmtId="0" fontId="1" fillId="6" borderId="0" xfId="0" applyFont="1" applyFill="1" applyAlignment="1">
      <alignment vertical="center"/>
    </xf>
    <xf numFmtId="0" fontId="0" fillId="6" borderId="0" xfId="0" applyFill="1" applyAlignment="1" applyProtection="1">
      <alignment vertical="center"/>
      <protection locked="0"/>
    </xf>
    <xf numFmtId="0" fontId="4" fillId="3" borderId="1" xfId="0" applyFont="1" applyFill="1" applyBorder="1" applyAlignment="1">
      <alignment vertical="center"/>
    </xf>
    <xf numFmtId="0" fontId="0" fillId="3" borderId="1" xfId="0" applyFill="1" applyBorder="1" applyAlignment="1">
      <alignment vertical="center"/>
    </xf>
    <xf numFmtId="0" fontId="0" fillId="3" borderId="7" xfId="0" applyFill="1" applyBorder="1" applyAlignment="1">
      <alignment vertical="center"/>
    </xf>
    <xf numFmtId="0" fontId="4" fillId="3" borderId="2" xfId="0" applyFont="1" applyFill="1" applyBorder="1" applyAlignment="1">
      <alignment vertical="center"/>
    </xf>
    <xf numFmtId="0" fontId="0" fillId="3" borderId="2" xfId="0" applyFill="1" applyBorder="1" applyAlignment="1">
      <alignment vertical="center"/>
    </xf>
    <xf numFmtId="0" fontId="0" fillId="3" borderId="8" xfId="0" applyFill="1" applyBorder="1" applyAlignment="1">
      <alignment vertical="center"/>
    </xf>
    <xf numFmtId="0" fontId="0" fillId="5" borderId="0" xfId="0" applyFill="1" applyAlignment="1">
      <alignment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16" fillId="3" borderId="0" xfId="0" applyFont="1" applyFill="1" applyAlignment="1">
      <alignment vertical="center"/>
    </xf>
    <xf numFmtId="0" fontId="19" fillId="3" borderId="0" xfId="0" applyFont="1" applyFill="1" applyAlignment="1">
      <alignment vertical="center"/>
    </xf>
    <xf numFmtId="37" fontId="4" fillId="3" borderId="3" xfId="0" applyNumberFormat="1" applyFont="1" applyFill="1" applyBorder="1" applyAlignment="1">
      <alignment vertical="center"/>
    </xf>
    <xf numFmtId="0" fontId="4" fillId="3" borderId="0" xfId="0" applyFont="1" applyFill="1" applyAlignment="1" applyProtection="1">
      <alignment horizontal="right" vertical="center"/>
    </xf>
    <xf numFmtId="37" fontId="4" fillId="3" borderId="10" xfId="0" applyNumberFormat="1" applyFont="1" applyFill="1" applyBorder="1" applyAlignment="1" applyProtection="1">
      <alignment horizontal="centerContinuous" vertical="center"/>
    </xf>
    <xf numFmtId="0" fontId="4" fillId="3" borderId="2" xfId="0" applyFont="1" applyFill="1" applyBorder="1" applyAlignment="1" applyProtection="1">
      <alignment horizontal="centerContinuous" vertical="center"/>
    </xf>
    <xf numFmtId="0" fontId="4" fillId="3" borderId="8" xfId="0" applyFont="1" applyFill="1" applyBorder="1" applyAlignment="1" applyProtection="1">
      <alignment horizontal="centerContinuous" vertical="center"/>
    </xf>
    <xf numFmtId="37" fontId="4" fillId="3" borderId="1" xfId="0" applyNumberFormat="1" applyFont="1" applyFill="1" applyBorder="1" applyAlignment="1" applyProtection="1">
      <alignment horizontal="fill" vertical="center"/>
    </xf>
    <xf numFmtId="37" fontId="4" fillId="3" borderId="4" xfId="0" applyNumberFormat="1" applyFont="1" applyFill="1" applyBorder="1" applyAlignment="1" applyProtection="1">
      <alignment horizontal="left" vertical="center"/>
    </xf>
    <xf numFmtId="37" fontId="4" fillId="3" borderId="4" xfId="0" applyNumberFormat="1" applyFont="1" applyFill="1" applyBorder="1" applyAlignment="1" applyProtection="1">
      <alignment horizontal="center" vertical="center"/>
    </xf>
    <xf numFmtId="37" fontId="4" fillId="3" borderId="11" xfId="0" applyNumberFormat="1"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37" fontId="3" fillId="3" borderId="1" xfId="0" applyNumberFormat="1" applyFont="1" applyFill="1" applyBorder="1" applyAlignment="1" applyProtection="1">
      <alignment horizontal="left" vertical="center"/>
    </xf>
    <xf numFmtId="37" fontId="4" fillId="3" borderId="5" xfId="0" applyNumberFormat="1"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37" fontId="4" fillId="3" borderId="10" xfId="0" applyNumberFormat="1" applyFont="1" applyFill="1" applyBorder="1" applyAlignment="1" applyProtection="1">
      <alignment horizontal="left" vertical="center"/>
    </xf>
    <xf numFmtId="37" fontId="4" fillId="3" borderId="3" xfId="0" applyNumberFormat="1" applyFont="1" applyFill="1" applyBorder="1" applyAlignment="1" applyProtection="1">
      <alignment horizontal="center" vertical="center"/>
    </xf>
    <xf numFmtId="0" fontId="4" fillId="3" borderId="4" xfId="0" applyFont="1" applyFill="1" applyBorder="1" applyAlignment="1" applyProtection="1">
      <alignment vertical="center"/>
    </xf>
    <xf numFmtId="0" fontId="4" fillId="3" borderId="11" xfId="0" applyFont="1" applyFill="1" applyBorder="1" applyAlignment="1" applyProtection="1">
      <alignment vertical="center"/>
    </xf>
    <xf numFmtId="37" fontId="12" fillId="3" borderId="10" xfId="0" applyNumberFormat="1" applyFont="1" applyFill="1" applyBorder="1" applyAlignment="1" applyProtection="1">
      <alignment horizontal="left" vertical="center"/>
    </xf>
    <xf numFmtId="37" fontId="12" fillId="3" borderId="8" xfId="0" applyNumberFormat="1"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37" fontId="4" fillId="9" borderId="3" xfId="0" applyNumberFormat="1" applyFont="1" applyFill="1" applyBorder="1" applyAlignment="1" applyProtection="1">
      <alignment horizontal="center" vertical="center"/>
    </xf>
    <xf numFmtId="37" fontId="4" fillId="3" borderId="10" xfId="0" applyNumberFormat="1" applyFont="1" applyFill="1" applyBorder="1" applyAlignment="1" applyProtection="1">
      <alignment vertical="center"/>
    </xf>
    <xf numFmtId="37" fontId="4" fillId="3" borderId="8"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0" fontId="8" fillId="3" borderId="0" xfId="0" applyFont="1" applyFill="1" applyBorder="1" applyAlignment="1" applyProtection="1">
      <alignment vertical="center" shrinkToFit="1"/>
    </xf>
    <xf numFmtId="37" fontId="4" fillId="10" borderId="3" xfId="0" applyNumberFormat="1" applyFont="1" applyFill="1" applyBorder="1" applyAlignment="1" applyProtection="1">
      <alignment horizontal="left" vertical="center"/>
    </xf>
    <xf numFmtId="0" fontId="4" fillId="10" borderId="3" xfId="0" applyFont="1" applyFill="1" applyBorder="1" applyAlignment="1" applyProtection="1">
      <alignment vertical="center"/>
    </xf>
    <xf numFmtId="37" fontId="4" fillId="10" borderId="3" xfId="0" applyNumberFormat="1" applyFont="1" applyFill="1" applyBorder="1" applyAlignment="1" applyProtection="1">
      <alignment vertical="center"/>
    </xf>
    <xf numFmtId="37" fontId="4" fillId="3" borderId="0" xfId="0" applyNumberFormat="1" applyFont="1" applyFill="1" applyAlignment="1" applyProtection="1">
      <alignment horizontal="right" vertical="center"/>
    </xf>
    <xf numFmtId="0" fontId="4" fillId="3" borderId="0" xfId="0" applyFont="1" applyFill="1" applyBorder="1" applyAlignment="1" applyProtection="1">
      <alignment horizontal="right" vertical="center"/>
    </xf>
    <xf numFmtId="0" fontId="4" fillId="3" borderId="0" xfId="0" applyFont="1" applyFill="1" applyAlignment="1" applyProtection="1">
      <alignment horizontal="left" vertical="center"/>
    </xf>
    <xf numFmtId="0" fontId="4" fillId="3" borderId="0" xfId="0" applyFont="1" applyFill="1" applyAlignment="1" applyProtection="1">
      <alignment horizontal="center" vertical="center"/>
    </xf>
    <xf numFmtId="37" fontId="4" fillId="3" borderId="0" xfId="0" applyNumberFormat="1" applyFont="1" applyFill="1" applyAlignment="1" applyProtection="1">
      <alignment vertical="center"/>
    </xf>
    <xf numFmtId="0" fontId="3" fillId="3" borderId="0" xfId="0" applyFont="1" applyFill="1" applyAlignment="1" applyProtection="1">
      <alignment horizontal="center" vertical="center"/>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horizontal="righ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0" fontId="4" fillId="3" borderId="0" xfId="0" quotePrefix="1" applyFont="1" applyFill="1" applyAlignment="1" applyProtection="1">
      <alignment vertical="center"/>
    </xf>
    <xf numFmtId="3" fontId="4" fillId="3" borderId="9" xfId="0" applyNumberFormat="1"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3" xfId="0" applyNumberFormat="1" applyFont="1" applyFill="1" applyBorder="1" applyAlignment="1" applyProtection="1">
      <alignment vertical="center"/>
    </xf>
    <xf numFmtId="3" fontId="4" fillId="3" borderId="1" xfId="1" applyNumberFormat="1" applyFont="1" applyFill="1" applyBorder="1" applyAlignment="1" applyProtection="1">
      <alignment vertical="center"/>
    </xf>
    <xf numFmtId="0" fontId="6" fillId="0" borderId="0" xfId="0" applyFont="1" applyAlignment="1">
      <alignment vertical="center"/>
    </xf>
    <xf numFmtId="0" fontId="4" fillId="3" borderId="1"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37" fontId="4" fillId="3" borderId="14" xfId="0" applyNumberFormat="1" applyFont="1" applyFill="1" applyBorder="1" applyAlignment="1" applyProtection="1">
      <alignment horizontal="center" vertical="center"/>
    </xf>
    <xf numFmtId="0" fontId="4" fillId="3" borderId="11" xfId="0" applyNumberFormat="1" applyFont="1" applyFill="1" applyBorder="1" applyAlignment="1" applyProtection="1">
      <alignment horizontal="center" vertical="center"/>
    </xf>
    <xf numFmtId="166" fontId="4" fillId="3" borderId="0" xfId="0" applyNumberFormat="1" applyFont="1" applyFill="1" applyAlignment="1" applyProtection="1">
      <alignment vertical="center"/>
    </xf>
    <xf numFmtId="37" fontId="4" fillId="3" borderId="1"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165" fontId="4" fillId="9" borderId="1" xfId="0" applyNumberFormat="1" applyFont="1" applyFill="1" applyBorder="1" applyAlignment="1" applyProtection="1">
      <alignment vertical="center"/>
    </xf>
    <xf numFmtId="0" fontId="4" fillId="0" borderId="0" xfId="0" applyFont="1" applyAlignment="1" applyProtection="1">
      <alignment horizontal="center" vertical="center"/>
      <protection locked="0"/>
    </xf>
    <xf numFmtId="0" fontId="3" fillId="3"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1" fontId="4" fillId="3" borderId="5" xfId="0" applyNumberFormat="1" applyFont="1" applyFill="1" applyBorder="1" applyAlignment="1" applyProtection="1">
      <alignment horizontal="center" vertical="center"/>
    </xf>
    <xf numFmtId="0" fontId="4" fillId="2" borderId="3"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3" fillId="3" borderId="3" xfId="0" applyFont="1" applyFill="1" applyBorder="1" applyAlignment="1" applyProtection="1">
      <alignment horizontal="center" vertical="center"/>
    </xf>
    <xf numFmtId="3" fontId="4" fillId="3" borderId="3" xfId="0" applyNumberFormat="1" applyFont="1" applyFill="1" applyBorder="1" applyAlignment="1" applyProtection="1">
      <alignment horizontal="center" vertical="center"/>
    </xf>
    <xf numFmtId="37" fontId="3" fillId="3" borderId="3"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right" vertical="center"/>
    </xf>
    <xf numFmtId="0" fontId="3" fillId="3" borderId="0" xfId="407" applyFont="1" applyFill="1" applyAlignment="1" applyProtection="1">
      <alignment horizontal="centerContinuous" vertical="center"/>
    </xf>
    <xf numFmtId="0" fontId="4" fillId="3" borderId="1" xfId="0" applyFont="1" applyFill="1" applyBorder="1" applyAlignment="1" applyProtection="1">
      <alignment horizontal="fill" vertical="center"/>
    </xf>
    <xf numFmtId="0" fontId="4" fillId="3" borderId="15" xfId="0" applyFont="1" applyFill="1" applyBorder="1" applyAlignment="1" applyProtection="1">
      <alignment horizontal="centerContinuous" vertical="center"/>
    </xf>
    <xf numFmtId="0" fontId="4" fillId="3" borderId="14" xfId="0" applyFont="1" applyFill="1" applyBorder="1" applyAlignment="1" applyProtection="1">
      <alignment horizontal="centerContinuous" vertical="center"/>
    </xf>
    <xf numFmtId="1" fontId="4" fillId="3" borderId="12" xfId="0" applyNumberFormat="1" applyFont="1" applyFill="1" applyBorder="1" applyAlignment="1" applyProtection="1">
      <alignment horizontal="center" vertical="center"/>
    </xf>
    <xf numFmtId="0" fontId="4" fillId="3" borderId="3" xfId="0" applyFont="1" applyFill="1" applyBorder="1" applyAlignment="1" applyProtection="1">
      <alignment horizontal="left" vertical="center"/>
    </xf>
    <xf numFmtId="2" fontId="4" fillId="3" borderId="3" xfId="0" applyNumberFormat="1" applyFont="1" applyFill="1" applyBorder="1" applyAlignment="1" applyProtection="1">
      <alignment vertical="center"/>
    </xf>
    <xf numFmtId="3" fontId="4" fillId="3" borderId="3" xfId="0" applyNumberFormat="1" applyFont="1" applyFill="1" applyBorder="1" applyAlignment="1" applyProtection="1">
      <alignment vertical="center"/>
    </xf>
    <xf numFmtId="2" fontId="4" fillId="8" borderId="3" xfId="0" applyNumberFormat="1" applyFont="1" applyFill="1" applyBorder="1" applyAlignment="1" applyProtection="1">
      <alignment horizontal="center" vertical="center"/>
      <protection locked="0"/>
    </xf>
    <xf numFmtId="3" fontId="4" fillId="8" borderId="3" xfId="0" applyNumberFormat="1" applyFont="1" applyFill="1" applyBorder="1" applyAlignment="1" applyProtection="1">
      <alignment horizontal="center" vertical="center"/>
      <protection locked="0"/>
    </xf>
    <xf numFmtId="37" fontId="4" fillId="8" borderId="3" xfId="0" applyNumberFormat="1" applyFont="1" applyFill="1" applyBorder="1" applyAlignment="1" applyProtection="1">
      <alignment horizontal="center" vertical="center"/>
      <protection locked="0"/>
    </xf>
    <xf numFmtId="169" fontId="4" fillId="8" borderId="3" xfId="0" applyNumberFormat="1" applyFont="1" applyFill="1" applyBorder="1" applyAlignment="1" applyProtection="1">
      <alignment horizontal="center" vertical="center"/>
      <protection locked="0"/>
    </xf>
    <xf numFmtId="0" fontId="3" fillId="3" borderId="3" xfId="0" applyFont="1" applyFill="1" applyBorder="1" applyAlignment="1" applyProtection="1">
      <alignment horizontal="left" vertical="center"/>
    </xf>
    <xf numFmtId="168" fontId="3" fillId="3" borderId="3" xfId="0" applyNumberFormat="1" applyFont="1" applyFill="1" applyBorder="1" applyAlignment="1" applyProtection="1">
      <alignment horizontal="center" vertical="center"/>
    </xf>
    <xf numFmtId="2" fontId="3" fillId="3" borderId="3" xfId="0" applyNumberFormat="1" applyFont="1" applyFill="1" applyBorder="1" applyAlignment="1" applyProtection="1">
      <alignment horizontal="center" vertical="center"/>
    </xf>
    <xf numFmtId="3" fontId="3" fillId="3" borderId="3" xfId="0" applyNumberFormat="1" applyFont="1" applyFill="1" applyBorder="1" applyAlignment="1" applyProtection="1">
      <alignment horizontal="center" vertical="center"/>
    </xf>
    <xf numFmtId="37" fontId="3" fillId="9" borderId="3" xfId="0" applyNumberFormat="1" applyFont="1" applyFill="1" applyBorder="1" applyAlignment="1" applyProtection="1">
      <alignment horizontal="center" vertical="center"/>
    </xf>
    <xf numFmtId="169" fontId="3" fillId="3" borderId="3" xfId="0" applyNumberFormat="1" applyFont="1" applyFill="1" applyBorder="1" applyAlignment="1" applyProtection="1">
      <alignment horizontal="center" vertical="center"/>
    </xf>
    <xf numFmtId="168" fontId="4" fillId="3" borderId="3" xfId="0" applyNumberFormat="1" applyFont="1" applyFill="1" applyBorder="1" applyAlignment="1" applyProtection="1">
      <alignment horizontal="center" vertical="center"/>
    </xf>
    <xf numFmtId="2" fontId="4" fillId="3" borderId="3" xfId="0" applyNumberFormat="1" applyFont="1" applyFill="1" applyBorder="1" applyAlignment="1" applyProtection="1">
      <alignment horizontal="center" vertical="center"/>
    </xf>
    <xf numFmtId="169" fontId="4" fillId="3" borderId="3" xfId="0" applyNumberFormat="1" applyFont="1" applyFill="1" applyBorder="1" applyAlignment="1" applyProtection="1">
      <alignment horizontal="center" vertical="center"/>
    </xf>
    <xf numFmtId="1" fontId="3" fillId="3" borderId="3" xfId="0" applyNumberFormat="1" applyFont="1" applyFill="1" applyBorder="1" applyAlignment="1" applyProtection="1">
      <alignment horizontal="center" vertical="center"/>
    </xf>
    <xf numFmtId="3" fontId="3" fillId="9" borderId="3" xfId="0" applyNumberFormat="1" applyFont="1" applyFill="1" applyBorder="1" applyAlignment="1" applyProtection="1">
      <alignment horizontal="center" vertical="center"/>
    </xf>
    <xf numFmtId="1" fontId="4" fillId="3" borderId="3" xfId="0" applyNumberFormat="1" applyFont="1" applyFill="1" applyBorder="1" applyAlignment="1" applyProtection="1">
      <alignment horizontal="center" vertical="center"/>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 borderId="0" xfId="0" applyNumberFormat="1" applyFont="1" applyFill="1" applyAlignment="1" applyProtection="1">
      <alignment horizontal="right" vertical="center"/>
    </xf>
    <xf numFmtId="0" fontId="7" fillId="3" borderId="5" xfId="0" applyFont="1" applyFill="1" applyBorder="1" applyAlignment="1" applyProtection="1">
      <alignment horizontal="center" vertical="center"/>
    </xf>
    <xf numFmtId="14" fontId="4" fillId="3" borderId="5" xfId="0" quotePrefix="1" applyNumberFormat="1" applyFont="1" applyFill="1" applyBorder="1" applyAlignment="1" applyProtection="1">
      <alignment horizontal="center" vertical="center"/>
    </xf>
    <xf numFmtId="0" fontId="4" fillId="8" borderId="3" xfId="0" applyFont="1" applyFill="1" applyBorder="1" applyAlignment="1" applyProtection="1">
      <alignment horizontal="center" vertical="center"/>
      <protection locked="0"/>
    </xf>
    <xf numFmtId="1" fontId="4" fillId="8" borderId="3" xfId="0" applyNumberFormat="1" applyFont="1" applyFill="1" applyBorder="1" applyAlignment="1" applyProtection="1">
      <alignment horizontal="center" vertical="center"/>
      <protection locked="0"/>
    </xf>
    <xf numFmtId="0" fontId="3" fillId="3" borderId="0" xfId="0" applyFont="1" applyFill="1" applyAlignment="1" applyProtection="1">
      <alignment horizontal="left" vertical="center"/>
    </xf>
    <xf numFmtId="3" fontId="3" fillId="9" borderId="16" xfId="0" applyNumberFormat="1" applyFont="1" applyFill="1" applyBorder="1" applyAlignment="1" applyProtection="1">
      <alignment horizontal="center" vertical="center"/>
    </xf>
    <xf numFmtId="0" fontId="4" fillId="5" borderId="0" xfId="406" applyFont="1" applyFill="1" applyAlignment="1" applyProtection="1">
      <alignment vertical="center"/>
    </xf>
    <xf numFmtId="0" fontId="4" fillId="5" borderId="0" xfId="0" applyFont="1" applyFill="1" applyAlignment="1" applyProtection="1">
      <alignment vertical="center"/>
    </xf>
    <xf numFmtId="0" fontId="4" fillId="3" borderId="0" xfId="0" applyFont="1" applyFill="1" applyBorder="1" applyAlignment="1" applyProtection="1">
      <alignment horizontal="fill" vertical="center"/>
    </xf>
    <xf numFmtId="0" fontId="4" fillId="3" borderId="5" xfId="0" applyNumberFormat="1" applyFont="1" applyFill="1" applyBorder="1" applyAlignment="1" applyProtection="1">
      <alignment horizontal="center" vertical="center"/>
    </xf>
    <xf numFmtId="0" fontId="4" fillId="3" borderId="10" xfId="0" applyFont="1" applyFill="1" applyBorder="1" applyAlignment="1" applyProtection="1">
      <alignment horizontal="left" vertical="center"/>
    </xf>
    <xf numFmtId="3" fontId="4" fillId="8" borderId="10" xfId="0" applyNumberFormat="1" applyFont="1" applyFill="1" applyBorder="1" applyAlignment="1" applyProtection="1">
      <alignment vertical="center"/>
      <protection locked="0"/>
    </xf>
    <xf numFmtId="3" fontId="4" fillId="8" borderId="8" xfId="0" applyNumberFormat="1" applyFont="1" applyFill="1" applyBorder="1" applyAlignment="1" applyProtection="1">
      <alignment vertical="center"/>
      <protection locked="0"/>
    </xf>
    <xf numFmtId="0" fontId="4" fillId="3" borderId="12" xfId="0" applyFont="1" applyFill="1" applyBorder="1" applyAlignment="1" applyProtection="1">
      <alignment horizontal="left" vertical="center"/>
    </xf>
    <xf numFmtId="37" fontId="4" fillId="8" borderId="10" xfId="0" applyNumberFormat="1" applyFont="1" applyFill="1" applyBorder="1" applyAlignment="1" applyProtection="1">
      <alignment vertical="center"/>
      <protection locked="0"/>
    </xf>
    <xf numFmtId="37" fontId="4" fillId="8" borderId="8" xfId="0" applyNumberFormat="1" applyFont="1" applyFill="1" applyBorder="1" applyAlignment="1" applyProtection="1">
      <alignment vertical="center"/>
      <protection locked="0"/>
    </xf>
    <xf numFmtId="37" fontId="4" fillId="3" borderId="3" xfId="0" applyNumberFormat="1" applyFont="1" applyFill="1" applyBorder="1" applyAlignment="1" applyProtection="1">
      <alignment horizontal="fill" vertical="center"/>
    </xf>
    <xf numFmtId="37" fontId="4" fillId="8" borderId="3" xfId="0" applyNumberFormat="1" applyFont="1" applyFill="1" applyBorder="1" applyAlignment="1" applyProtection="1">
      <alignment vertical="center"/>
      <protection locked="0"/>
    </xf>
    <xf numFmtId="0" fontId="4" fillId="8" borderId="10" xfId="0" applyFont="1" applyFill="1" applyBorder="1" applyAlignment="1" applyProtection="1">
      <alignment horizontal="left" vertical="center"/>
      <protection locked="0"/>
    </xf>
    <xf numFmtId="37" fontId="16" fillId="10" borderId="8" xfId="0" applyNumberFormat="1" applyFont="1" applyFill="1" applyBorder="1" applyAlignment="1" applyProtection="1">
      <alignment horizontal="center" vertical="center"/>
    </xf>
    <xf numFmtId="37" fontId="3" fillId="3" borderId="10" xfId="0" applyNumberFormat="1" applyFont="1" applyFill="1" applyBorder="1" applyAlignment="1" applyProtection="1">
      <alignment horizontal="left" vertical="center"/>
    </xf>
    <xf numFmtId="3" fontId="3" fillId="9" borderId="3" xfId="0" applyNumberFormat="1" applyFont="1" applyFill="1" applyBorder="1" applyAlignment="1" applyProtection="1">
      <alignment vertical="center"/>
    </xf>
    <xf numFmtId="0" fontId="3" fillId="3" borderId="10" xfId="0" applyFont="1" applyFill="1" applyBorder="1" applyAlignment="1" applyProtection="1">
      <alignment horizontal="left" vertical="center"/>
    </xf>
    <xf numFmtId="0" fontId="4" fillId="9" borderId="10" xfId="0" applyFont="1" applyFill="1" applyBorder="1" applyAlignment="1" applyProtection="1">
      <alignment horizontal="left" vertical="center"/>
    </xf>
    <xf numFmtId="0" fontId="4" fillId="9" borderId="10" xfId="0" applyFont="1" applyFill="1" applyBorder="1" applyAlignment="1" applyProtection="1">
      <alignment vertical="center"/>
    </xf>
    <xf numFmtId="37" fontId="4" fillId="0" borderId="0" xfId="0" applyNumberFormat="1" applyFont="1" applyFill="1" applyBorder="1" applyAlignment="1" applyProtection="1">
      <alignment vertical="center"/>
      <protection locked="0"/>
    </xf>
    <xf numFmtId="0" fontId="4" fillId="8" borderId="10" xfId="0" applyFont="1" applyFill="1" applyBorder="1" applyAlignment="1" applyProtection="1">
      <alignment vertical="center"/>
      <protection locked="0"/>
    </xf>
    <xf numFmtId="0" fontId="4" fillId="3" borderId="10" xfId="0" applyFont="1" applyFill="1" applyBorder="1" applyAlignment="1" applyProtection="1">
      <alignment vertical="center"/>
    </xf>
    <xf numFmtId="37" fontId="3" fillId="9" borderId="3" xfId="0" applyNumberFormat="1" applyFont="1" applyFill="1" applyBorder="1" applyAlignment="1" applyProtection="1">
      <alignment vertical="center"/>
    </xf>
    <xf numFmtId="3" fontId="4" fillId="3" borderId="0" xfId="0" applyNumberFormat="1" applyFont="1" applyFill="1" applyAlignment="1" applyProtection="1">
      <alignment horizontal="center" vertical="center"/>
    </xf>
    <xf numFmtId="0" fontId="16" fillId="0" borderId="0" xfId="0" applyFont="1" applyAlignment="1" applyProtection="1">
      <alignment vertical="center"/>
    </xf>
    <xf numFmtId="0" fontId="14" fillId="3" borderId="0" xfId="0" applyFont="1" applyFill="1" applyAlignment="1" applyProtection="1">
      <alignment horizontal="center" vertical="center"/>
    </xf>
    <xf numFmtId="0" fontId="4" fillId="3" borderId="0" xfId="0" applyFont="1" applyFill="1" applyAlignment="1">
      <alignment horizontal="right" vertical="center"/>
    </xf>
    <xf numFmtId="0" fontId="4" fillId="3" borderId="0" xfId="0" applyFont="1" applyFill="1" applyAlignment="1" applyProtection="1">
      <alignment horizontal="fill" vertical="center"/>
    </xf>
    <xf numFmtId="1" fontId="4" fillId="3" borderId="4" xfId="0" applyNumberFormat="1" applyFont="1" applyFill="1" applyBorder="1" applyAlignment="1" applyProtection="1">
      <alignment horizontal="center" vertical="center"/>
    </xf>
    <xf numFmtId="0" fontId="4" fillId="2" borderId="3" xfId="0" applyFont="1" applyFill="1" applyBorder="1" applyAlignment="1" applyProtection="1">
      <alignment horizontal="left" vertical="center"/>
      <protection locked="0"/>
    </xf>
    <xf numFmtId="0" fontId="4" fillId="8" borderId="3"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37" fontId="3" fillId="10" borderId="16" xfId="0" applyNumberFormat="1" applyFont="1" applyFill="1" applyBorder="1" applyAlignment="1" applyProtection="1">
      <alignment vertical="center"/>
    </xf>
    <xf numFmtId="0" fontId="16" fillId="3" borderId="0" xfId="0" applyFont="1" applyFill="1" applyAlignment="1" applyProtection="1">
      <alignment vertical="center"/>
    </xf>
    <xf numFmtId="37" fontId="4" fillId="2" borderId="0" xfId="0" applyNumberFormat="1" applyFont="1" applyFill="1" applyAlignment="1" applyProtection="1">
      <alignment horizontal="left" vertical="center"/>
      <protection locked="0"/>
    </xf>
    <xf numFmtId="3" fontId="4" fillId="3" borderId="3" xfId="0" applyNumberFormat="1" applyFont="1" applyFill="1" applyBorder="1" applyAlignment="1" applyProtection="1">
      <alignment horizontal="fill" vertical="center"/>
    </xf>
    <xf numFmtId="3" fontId="16" fillId="10" borderId="8" xfId="0" applyNumberFormat="1" applyFont="1" applyFill="1" applyBorder="1" applyAlignment="1" applyProtection="1">
      <alignment horizontal="center" vertical="center"/>
    </xf>
    <xf numFmtId="3" fontId="4" fillId="10" borderId="3" xfId="0" applyNumberFormat="1" applyFont="1" applyFill="1" applyBorder="1" applyAlignment="1" applyProtection="1">
      <alignment vertical="center"/>
    </xf>
    <xf numFmtId="1" fontId="4" fillId="3" borderId="0" xfId="0" applyNumberFormat="1" applyFont="1" applyFill="1" applyAlignment="1" applyProtection="1">
      <alignment horizontal="right" vertical="center"/>
    </xf>
    <xf numFmtId="37" fontId="4" fillId="3" borderId="0" xfId="0" applyNumberFormat="1" applyFont="1" applyFill="1" applyBorder="1" applyAlignment="1" applyProtection="1">
      <alignment horizontal="fill" vertical="center"/>
    </xf>
    <xf numFmtId="3" fontId="3" fillId="3" borderId="3" xfId="0" applyNumberFormat="1" applyFont="1" applyFill="1" applyBorder="1" applyAlignment="1" applyProtection="1">
      <alignment vertical="center"/>
    </xf>
    <xf numFmtId="3" fontId="4" fillId="10" borderId="16" xfId="0" applyNumberFormat="1" applyFont="1" applyFill="1" applyBorder="1" applyAlignment="1" applyProtection="1">
      <alignment vertical="center"/>
    </xf>
    <xf numFmtId="3" fontId="4" fillId="0" borderId="0" xfId="0" applyNumberFormat="1" applyFont="1" applyAlignment="1" applyProtection="1">
      <alignment horizontal="fill" vertical="center"/>
      <protection locked="0"/>
    </xf>
    <xf numFmtId="0" fontId="4" fillId="2" borderId="10" xfId="0" applyFont="1" applyFill="1" applyBorder="1" applyAlignment="1" applyProtection="1">
      <alignment vertical="center"/>
      <protection locked="0"/>
    </xf>
    <xf numFmtId="0" fontId="4" fillId="8" borderId="12" xfId="0" applyFont="1" applyFill="1" applyBorder="1" applyAlignment="1" applyProtection="1">
      <alignment vertical="center"/>
      <protection locked="0"/>
    </xf>
    <xf numFmtId="3" fontId="4" fillId="3" borderId="1" xfId="0" applyNumberFormat="1" applyFont="1" applyFill="1" applyBorder="1" applyAlignment="1" applyProtection="1">
      <alignment horizontal="fill" vertical="center"/>
    </xf>
    <xf numFmtId="166" fontId="4" fillId="3" borderId="1" xfId="0" applyNumberFormat="1"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8" borderId="10" xfId="0" applyNumberFormat="1" applyFont="1" applyFill="1" applyBorder="1" applyAlignment="1" applyProtection="1">
      <alignment horizontal="left" vertical="center"/>
      <protection locked="0"/>
    </xf>
    <xf numFmtId="0" fontId="4" fillId="3" borderId="0" xfId="0" applyFont="1" applyFill="1" applyAlignment="1">
      <alignment horizontal="center" vertical="center"/>
    </xf>
    <xf numFmtId="0" fontId="3" fillId="3" borderId="0" xfId="0" applyFont="1" applyFill="1" applyAlignment="1">
      <alignment horizontal="center" vertical="center"/>
    </xf>
    <xf numFmtId="0" fontId="20" fillId="3" borderId="0" xfId="0" applyFont="1" applyFill="1" applyAlignment="1">
      <alignment horizontal="center" vertical="center"/>
    </xf>
    <xf numFmtId="0" fontId="4" fillId="3" borderId="8" xfId="0" applyFont="1" applyFill="1" applyBorder="1" applyAlignment="1">
      <alignment vertical="center"/>
    </xf>
    <xf numFmtId="0" fontId="13" fillId="3" borderId="4" xfId="0" applyFont="1" applyFill="1" applyBorder="1" applyAlignment="1">
      <alignment vertical="center"/>
    </xf>
    <xf numFmtId="0" fontId="13" fillId="3" borderId="8" xfId="0" applyFont="1" applyFill="1" applyBorder="1" applyAlignment="1">
      <alignment horizontal="center" vertical="center"/>
    </xf>
    <xf numFmtId="0" fontId="13" fillId="3" borderId="14" xfId="0" applyFont="1" applyFill="1" applyBorder="1" applyAlignment="1">
      <alignment vertical="center"/>
    </xf>
    <xf numFmtId="0" fontId="13" fillId="3" borderId="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0" fontId="13" fillId="3" borderId="12" xfId="0" applyFont="1" applyFill="1" applyBorder="1" applyAlignment="1">
      <alignment vertical="center"/>
    </xf>
    <xf numFmtId="3" fontId="13" fillId="2" borderId="3" xfId="0" applyNumberFormat="1" applyFont="1" applyFill="1" applyBorder="1" applyAlignment="1" applyProtection="1">
      <alignment horizontal="center" vertical="center"/>
      <protection locked="0"/>
    </xf>
    <xf numFmtId="0" fontId="13" fillId="3" borderId="1" xfId="0" applyFont="1" applyFill="1" applyBorder="1" applyAlignment="1">
      <alignment vertical="center"/>
    </xf>
    <xf numFmtId="3" fontId="13" fillId="9" borderId="3" xfId="0" applyNumberFormat="1" applyFont="1" applyFill="1" applyBorder="1" applyAlignment="1">
      <alignment horizontal="center" vertical="center"/>
    </xf>
    <xf numFmtId="0" fontId="13" fillId="3" borderId="0" xfId="0" applyFont="1" applyFill="1" applyAlignment="1">
      <alignment vertical="center"/>
    </xf>
    <xf numFmtId="3" fontId="13" fillId="3" borderId="0" xfId="0" applyNumberFormat="1" applyFont="1" applyFill="1" applyAlignment="1">
      <alignment horizontal="center" vertical="center"/>
    </xf>
    <xf numFmtId="0" fontId="13" fillId="3" borderId="0" xfId="0" applyFont="1" applyFill="1" applyAlignment="1">
      <alignment horizontal="center" vertical="center"/>
    </xf>
    <xf numFmtId="0" fontId="13" fillId="2" borderId="3" xfId="0" applyFont="1" applyFill="1" applyBorder="1" applyAlignment="1" applyProtection="1">
      <alignment vertical="center"/>
      <protection locked="0"/>
    </xf>
    <xf numFmtId="0" fontId="13" fillId="2" borderId="14" xfId="0" applyFont="1" applyFill="1" applyBorder="1" applyAlignment="1" applyProtection="1">
      <alignment vertical="center"/>
      <protection locked="0"/>
    </xf>
    <xf numFmtId="3" fontId="13" fillId="2" borderId="14" xfId="0" applyNumberFormat="1" applyFont="1" applyFill="1" applyBorder="1" applyAlignment="1" applyProtection="1">
      <alignment horizontal="center" vertical="center"/>
      <protection locked="0"/>
    </xf>
    <xf numFmtId="0" fontId="13" fillId="2" borderId="0" xfId="0" applyFont="1" applyFill="1" applyAlignment="1" applyProtection="1">
      <alignment vertical="center"/>
      <protection locked="0"/>
    </xf>
    <xf numFmtId="3" fontId="13" fillId="2" borderId="7" xfId="0" applyNumberFormat="1" applyFont="1" applyFill="1" applyBorder="1" applyAlignment="1" applyProtection="1">
      <alignment horizontal="center" vertical="center"/>
      <protection locked="0"/>
    </xf>
    <xf numFmtId="3" fontId="13" fillId="2" borderId="8" xfId="0" applyNumberFormat="1" applyFont="1" applyFill="1" applyBorder="1" applyAlignment="1" applyProtection="1">
      <alignment horizontal="center" vertical="center"/>
      <protection locked="0"/>
    </xf>
    <xf numFmtId="0" fontId="13" fillId="2" borderId="8" xfId="0" applyFont="1" applyFill="1" applyBorder="1" applyAlignment="1" applyProtection="1">
      <alignment vertical="center"/>
      <protection locked="0"/>
    </xf>
    <xf numFmtId="0" fontId="13" fillId="2" borderId="5" xfId="0" applyFont="1" applyFill="1" applyBorder="1" applyAlignment="1" applyProtection="1">
      <alignment vertical="center"/>
      <protection locked="0"/>
    </xf>
    <xf numFmtId="3" fontId="13" fillId="2" borderId="17" xfId="0" applyNumberFormat="1" applyFont="1" applyFill="1" applyBorder="1" applyAlignment="1" applyProtection="1">
      <alignment horizontal="center" vertical="center"/>
      <protection locked="0"/>
    </xf>
    <xf numFmtId="0" fontId="13" fillId="2" borderId="17" xfId="0" applyFont="1" applyFill="1" applyBorder="1" applyAlignment="1" applyProtection="1">
      <alignment vertical="center"/>
      <protection locked="0"/>
    </xf>
    <xf numFmtId="0" fontId="13" fillId="9" borderId="3" xfId="0" applyFont="1" applyFill="1" applyBorder="1" applyAlignment="1">
      <alignment horizontal="center" vertical="center"/>
    </xf>
    <xf numFmtId="0" fontId="13" fillId="9" borderId="5" xfId="0" applyFont="1" applyFill="1" applyBorder="1" applyAlignment="1">
      <alignment horizontal="center" vertical="center"/>
    </xf>
    <xf numFmtId="3" fontId="13" fillId="2" borderId="5" xfId="0" applyNumberFormat="1" applyFont="1" applyFill="1" applyBorder="1" applyAlignment="1" applyProtection="1">
      <alignment horizontal="center" vertical="center"/>
      <protection locked="0"/>
    </xf>
    <xf numFmtId="3" fontId="13" fillId="2" borderId="11" xfId="0" applyNumberFormat="1" applyFont="1" applyFill="1" applyBorder="1" applyAlignment="1" applyProtection="1">
      <alignment horizontal="center" vertical="center"/>
      <protection locked="0"/>
    </xf>
    <xf numFmtId="3" fontId="18" fillId="10" borderId="3" xfId="0" applyNumberFormat="1" applyFont="1" applyFill="1" applyBorder="1" applyAlignment="1">
      <alignment horizontal="center" vertical="center"/>
    </xf>
    <xf numFmtId="0" fontId="16" fillId="0" borderId="0" xfId="0" applyFont="1" applyAlignment="1">
      <alignment vertical="center"/>
    </xf>
    <xf numFmtId="3" fontId="4" fillId="3" borderId="0" xfId="0" applyNumberFormat="1" applyFont="1" applyFill="1" applyAlignment="1">
      <alignment vertical="center"/>
    </xf>
    <xf numFmtId="3" fontId="4" fillId="0" borderId="0" xfId="0" applyNumberFormat="1" applyFont="1" applyAlignment="1">
      <alignment vertical="center"/>
    </xf>
    <xf numFmtId="0" fontId="4" fillId="0" borderId="0" xfId="0" applyFont="1" applyAlignment="1">
      <alignment horizontal="centerContinuous" vertical="center"/>
    </xf>
    <xf numFmtId="1" fontId="4" fillId="3" borderId="10" xfId="0" applyNumberFormat="1" applyFont="1" applyFill="1" applyBorder="1" applyAlignment="1" applyProtection="1">
      <alignment horizontal="centerContinuous" vertical="center"/>
    </xf>
    <xf numFmtId="37" fontId="4" fillId="3" borderId="5" xfId="0" applyNumberFormat="1" applyFont="1" applyFill="1" applyBorder="1" applyAlignment="1" applyProtection="1">
      <alignment horizontal="fill" vertical="center"/>
    </xf>
    <xf numFmtId="1" fontId="5" fillId="3" borderId="0" xfId="0" applyNumberFormat="1" applyFont="1" applyFill="1" applyAlignment="1" applyProtection="1">
      <alignment horizontal="center" vertical="center"/>
    </xf>
    <xf numFmtId="3" fontId="4" fillId="3" borderId="1" xfId="0" applyNumberFormat="1" applyFont="1" applyFill="1" applyBorder="1" applyAlignment="1" applyProtection="1">
      <alignment horizontal="center" vertical="center"/>
    </xf>
    <xf numFmtId="0" fontId="4" fillId="3" borderId="4"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3" fontId="4" fillId="2" borderId="3" xfId="0" applyNumberFormat="1" applyFont="1" applyFill="1" applyBorder="1" applyAlignment="1" applyProtection="1">
      <alignment horizontal="center" vertical="center"/>
      <protection locked="0"/>
    </xf>
    <xf numFmtId="173" fontId="4" fillId="3" borderId="3" xfId="0" applyNumberFormat="1" applyFont="1" applyFill="1" applyBorder="1" applyAlignment="1" applyProtection="1">
      <alignment horizontal="center" vertical="center"/>
    </xf>
    <xf numFmtId="3" fontId="4" fillId="2" borderId="4" xfId="0" applyNumberFormat="1" applyFont="1" applyFill="1" applyBorder="1" applyAlignment="1" applyProtection="1">
      <alignment horizontal="center" vertical="center"/>
      <protection locked="0"/>
    </xf>
    <xf numFmtId="3" fontId="4" fillId="3" borderId="16" xfId="0" applyNumberFormat="1" applyFont="1" applyFill="1" applyBorder="1" applyAlignment="1" applyProtection="1">
      <alignment horizontal="center" vertical="center"/>
    </xf>
    <xf numFmtId="173" fontId="4" fillId="3" borderId="16" xfId="0" applyNumberFormat="1" applyFont="1" applyFill="1" applyBorder="1" applyAlignment="1" applyProtection="1">
      <alignment horizontal="center" vertical="center"/>
    </xf>
    <xf numFmtId="173" fontId="4" fillId="3" borderId="1" xfId="0" applyNumberFormat="1" applyFont="1" applyFill="1" applyBorder="1" applyAlignment="1" applyProtection="1">
      <alignment horizontal="center" vertical="center"/>
    </xf>
    <xf numFmtId="173"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horizontal="center" vertical="center"/>
    </xf>
    <xf numFmtId="0" fontId="4" fillId="3" borderId="1" xfId="0" applyFont="1" applyFill="1" applyBorder="1" applyAlignment="1">
      <alignment horizontal="center" vertical="center"/>
    </xf>
    <xf numFmtId="0" fontId="5" fillId="0" borderId="0" xfId="0" applyFont="1" applyAlignment="1">
      <alignment vertical="center"/>
    </xf>
    <xf numFmtId="0" fontId="0" fillId="0" borderId="0" xfId="0" applyNumberFormat="1" applyFont="1" applyFill="1" applyBorder="1" applyAlignment="1" applyProtection="1">
      <alignment vertical="center"/>
    </xf>
    <xf numFmtId="3" fontId="27" fillId="10" borderId="0" xfId="0" applyNumberFormat="1" applyFont="1" applyFill="1" applyAlignment="1">
      <alignment horizontal="center" vertical="center"/>
    </xf>
    <xf numFmtId="0" fontId="26"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4" fillId="0" borderId="0" xfId="138" applyFont="1" applyAlignment="1">
      <alignment vertical="center" wrapText="1"/>
    </xf>
    <xf numFmtId="0" fontId="4" fillId="0" borderId="0" xfId="20" applyFont="1" applyAlignment="1">
      <alignment vertical="center"/>
    </xf>
    <xf numFmtId="0" fontId="4" fillId="0" borderId="0" xfId="20" applyFont="1" applyAlignment="1">
      <alignment vertical="center" wrapText="1"/>
    </xf>
    <xf numFmtId="0" fontId="4" fillId="0" borderId="0" xfId="378" applyFont="1" applyAlignment="1">
      <alignment vertical="center"/>
    </xf>
    <xf numFmtId="0" fontId="4" fillId="2" borderId="1"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15" fillId="0" borderId="0" xfId="0" applyFont="1" applyAlignment="1">
      <alignment horizontal="center"/>
    </xf>
    <xf numFmtId="0" fontId="2" fillId="0" borderId="0" xfId="0" applyFont="1"/>
    <xf numFmtId="0" fontId="29" fillId="0" borderId="0" xfId="0" applyFont="1"/>
    <xf numFmtId="0" fontId="29" fillId="0" borderId="0" xfId="0" applyFont="1" applyAlignment="1"/>
    <xf numFmtId="0" fontId="2" fillId="0" borderId="0" xfId="0" quotePrefix="1" applyFont="1"/>
    <xf numFmtId="0" fontId="2" fillId="0" borderId="0" xfId="139" applyFont="1"/>
    <xf numFmtId="0" fontId="2" fillId="0" borderId="0" xfId="139" applyFont="1" applyFill="1"/>
    <xf numFmtId="0" fontId="2" fillId="0" borderId="0" xfId="0" applyFont="1" applyAlignment="1"/>
    <xf numFmtId="0" fontId="0" fillId="0" borderId="0" xfId="0" applyAlignment="1"/>
    <xf numFmtId="0" fontId="29" fillId="0" borderId="0" xfId="0" applyFont="1" applyAlignment="1">
      <alignment horizontal="center"/>
    </xf>
    <xf numFmtId="0" fontId="4" fillId="0" borderId="0" xfId="68" applyFont="1" applyAlignment="1">
      <alignment vertical="center"/>
    </xf>
    <xf numFmtId="0" fontId="4" fillId="0" borderId="0" xfId="79" applyFont="1" applyAlignment="1">
      <alignment vertical="center" wrapText="1"/>
    </xf>
    <xf numFmtId="0" fontId="5" fillId="0" borderId="0" xfId="72" applyFont="1" applyAlignment="1">
      <alignment vertical="center"/>
    </xf>
    <xf numFmtId="0" fontId="4" fillId="3" borderId="0" xfId="0" applyFont="1" applyFill="1"/>
    <xf numFmtId="0" fontId="47"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37" fontId="16" fillId="10" borderId="10" xfId="0" applyNumberFormat="1" applyFont="1" applyFill="1" applyBorder="1" applyAlignment="1" applyProtection="1">
      <alignment horizontal="center" vertical="center"/>
    </xf>
    <xf numFmtId="14" fontId="4" fillId="8" borderId="3" xfId="0" applyNumberFormat="1" applyFont="1" applyFill="1" applyBorder="1" applyAlignment="1" applyProtection="1">
      <alignment horizontal="center" vertical="center"/>
      <protection locked="0"/>
    </xf>
    <xf numFmtId="3" fontId="4" fillId="3" borderId="10" xfId="0" applyNumberFormat="1" applyFont="1" applyFill="1" applyBorder="1" applyAlignment="1" applyProtection="1">
      <alignment vertical="center"/>
    </xf>
    <xf numFmtId="0" fontId="4" fillId="3" borderId="12" xfId="0" applyNumberFormat="1" applyFont="1" applyFill="1" applyBorder="1" applyAlignment="1" applyProtection="1">
      <alignment horizontal="center" vertical="center"/>
    </xf>
    <xf numFmtId="3" fontId="16" fillId="10" borderId="10" xfId="0" applyNumberFormat="1" applyFont="1" applyFill="1" applyBorder="1" applyAlignment="1" applyProtection="1">
      <alignment horizontal="center" vertical="center"/>
    </xf>
    <xf numFmtId="3" fontId="3" fillId="3" borderId="10" xfId="0" applyNumberFormat="1" applyFont="1" applyFill="1" applyBorder="1" applyAlignment="1" applyProtection="1">
      <alignment vertical="center"/>
    </xf>
    <xf numFmtId="3" fontId="4" fillId="11" borderId="16" xfId="0" applyNumberFormat="1" applyFont="1" applyFill="1" applyBorder="1" applyAlignment="1" applyProtection="1">
      <alignment vertical="center"/>
    </xf>
    <xf numFmtId="37" fontId="16" fillId="10" borderId="3" xfId="0" applyNumberFormat="1" applyFont="1" applyFill="1" applyBorder="1" applyAlignment="1" applyProtection="1">
      <alignment horizontal="center" vertical="center"/>
    </xf>
    <xf numFmtId="37" fontId="4" fillId="0" borderId="0" xfId="0" applyNumberFormat="1" applyFont="1" applyFill="1" applyAlignment="1" applyProtection="1">
      <alignment horizontal="right" vertical="center"/>
    </xf>
    <xf numFmtId="0" fontId="4" fillId="3" borderId="0" xfId="39" applyFont="1" applyFill="1" applyAlignment="1" applyProtection="1">
      <alignment horizontal="right" vertical="center"/>
    </xf>
    <xf numFmtId="0" fontId="4" fillId="3" borderId="0" xfId="11" applyNumberFormat="1" applyFont="1" applyFill="1" applyBorder="1" applyAlignment="1" applyProtection="1">
      <alignment horizontal="right" vertical="center"/>
    </xf>
    <xf numFmtId="37" fontId="4" fillId="3" borderId="0" xfId="0" quotePrefix="1" applyNumberFormat="1" applyFont="1" applyFill="1" applyAlignment="1" applyProtection="1">
      <alignment horizontal="right" vertical="center"/>
    </xf>
    <xf numFmtId="37" fontId="4" fillId="3" borderId="0" xfId="0" applyNumberFormat="1" applyFont="1" applyFill="1" applyAlignment="1" applyProtection="1">
      <alignment horizontal="fill" vertical="center"/>
    </xf>
    <xf numFmtId="3" fontId="16" fillId="11" borderId="8" xfId="0" applyNumberFormat="1" applyFont="1" applyFill="1" applyBorder="1" applyAlignment="1" applyProtection="1">
      <alignment horizontal="center" vertical="center"/>
    </xf>
    <xf numFmtId="0" fontId="4" fillId="3" borderId="10" xfId="0" applyFont="1" applyFill="1" applyBorder="1" applyAlignment="1" applyProtection="1">
      <alignment vertical="center"/>
      <protection locked="0"/>
    </xf>
    <xf numFmtId="3" fontId="16" fillId="11" borderId="10" xfId="0" applyNumberFormat="1" applyFont="1" applyFill="1" applyBorder="1" applyAlignment="1" applyProtection="1">
      <alignment horizontal="center" vertical="center"/>
    </xf>
    <xf numFmtId="37" fontId="4" fillId="2" borderId="10" xfId="0" applyNumberFormat="1" applyFont="1" applyFill="1" applyBorder="1" applyAlignment="1" applyProtection="1">
      <alignment horizontal="right" vertical="center"/>
      <protection locked="0"/>
    </xf>
    <xf numFmtId="3" fontId="3" fillId="9" borderId="10" xfId="0" applyNumberFormat="1" applyFont="1" applyFill="1" applyBorder="1" applyAlignment="1" applyProtection="1">
      <alignment vertical="center"/>
    </xf>
    <xf numFmtId="3" fontId="4" fillId="9" borderId="10" xfId="0" applyNumberFormat="1" applyFont="1" applyFill="1" applyBorder="1" applyAlignment="1" applyProtection="1">
      <alignment vertical="center"/>
    </xf>
    <xf numFmtId="37" fontId="3" fillId="3" borderId="1" xfId="0" applyNumberFormat="1" applyFont="1" applyFill="1" applyBorder="1" applyAlignment="1" applyProtection="1">
      <alignment vertical="center"/>
    </xf>
    <xf numFmtId="37" fontId="3" fillId="3" borderId="0" xfId="0" applyNumberFormat="1" applyFont="1" applyFill="1" applyBorder="1" applyAlignment="1" applyProtection="1">
      <alignment vertical="center"/>
    </xf>
    <xf numFmtId="3" fontId="16" fillId="10" borderId="3" xfId="0" applyNumberFormat="1" applyFont="1" applyFill="1" applyBorder="1" applyAlignment="1" applyProtection="1">
      <alignment horizontal="center" vertical="center"/>
    </xf>
    <xf numFmtId="3" fontId="16" fillId="11" borderId="3" xfId="0" applyNumberFormat="1" applyFont="1" applyFill="1" applyBorder="1" applyAlignment="1" applyProtection="1">
      <alignment horizontal="center" vertical="center"/>
    </xf>
    <xf numFmtId="0" fontId="48" fillId="3" borderId="0" xfId="0" applyFont="1" applyFill="1" applyAlignment="1" applyProtection="1">
      <alignment horizontal="center" vertical="center"/>
    </xf>
    <xf numFmtId="0" fontId="48" fillId="0" borderId="0" xfId="0" applyFont="1" applyAlignment="1" applyProtection="1">
      <alignment vertical="center"/>
      <protection locked="0"/>
    </xf>
    <xf numFmtId="37" fontId="3" fillId="3" borderId="12" xfId="0" applyNumberFormat="1" applyFont="1" applyFill="1" applyBorder="1" applyAlignment="1" applyProtection="1">
      <alignment horizontal="left" vertical="center"/>
    </xf>
    <xf numFmtId="0" fontId="8" fillId="12" borderId="0" xfId="0" applyFont="1" applyFill="1" applyAlignment="1" applyProtection="1">
      <alignment vertical="center" shrinkToFit="1"/>
    </xf>
    <xf numFmtId="0" fontId="0" fillId="12" borderId="0" xfId="0" applyFill="1" applyBorder="1" applyAlignment="1" applyProtection="1">
      <alignment vertical="center"/>
    </xf>
    <xf numFmtId="0" fontId="16" fillId="12" borderId="0" xfId="0" applyFont="1" applyFill="1" applyBorder="1" applyAlignment="1" applyProtection="1">
      <alignment horizontal="center" vertical="center"/>
    </xf>
    <xf numFmtId="37" fontId="4" fillId="12" borderId="0" xfId="0" applyNumberFormat="1" applyFont="1" applyFill="1" applyBorder="1" applyAlignment="1" applyProtection="1">
      <alignment horizontal="left" vertical="center"/>
    </xf>
    <xf numFmtId="0" fontId="4" fillId="12" borderId="0" xfId="0" applyFont="1" applyFill="1" applyBorder="1" applyAlignment="1" applyProtection="1">
      <alignment vertical="center"/>
    </xf>
    <xf numFmtId="37" fontId="4" fillId="12" borderId="0" xfId="0" applyNumberFormat="1" applyFont="1" applyFill="1" applyBorder="1" applyAlignment="1" applyProtection="1">
      <alignment vertical="center"/>
    </xf>
    <xf numFmtId="3" fontId="4" fillId="13" borderId="3" xfId="0" applyNumberFormat="1" applyFont="1" applyFill="1" applyBorder="1" applyAlignment="1" applyProtection="1">
      <alignment vertical="center"/>
    </xf>
    <xf numFmtId="3" fontId="4" fillId="13" borderId="16" xfId="0" applyNumberFormat="1" applyFont="1" applyFill="1" applyBorder="1" applyAlignment="1" applyProtection="1">
      <alignment vertical="center"/>
    </xf>
    <xf numFmtId="170" fontId="4" fillId="2" borderId="3" xfId="1" applyNumberFormat="1" applyFont="1" applyFill="1" applyBorder="1" applyAlignment="1" applyProtection="1">
      <alignment vertical="center"/>
      <protection locked="0"/>
    </xf>
    <xf numFmtId="3" fontId="13" fillId="9" borderId="5" xfId="0" applyNumberFormat="1" applyFont="1" applyFill="1" applyBorder="1" applyAlignment="1">
      <alignment horizontal="center" vertical="center"/>
    </xf>
    <xf numFmtId="164" fontId="4" fillId="13" borderId="3" xfId="0" applyNumberFormat="1" applyFont="1" applyFill="1" applyBorder="1" applyAlignment="1" applyProtection="1">
      <alignment vertical="center"/>
    </xf>
    <xf numFmtId="49" fontId="4" fillId="8" borderId="3" xfId="0" applyNumberFormat="1" applyFont="1" applyFill="1" applyBorder="1" applyAlignment="1" applyProtection="1">
      <alignment vertical="center"/>
      <protection locked="0"/>
    </xf>
    <xf numFmtId="0" fontId="37" fillId="0" borderId="0" xfId="0" applyFont="1" applyAlignment="1" applyProtection="1">
      <alignment vertical="center"/>
    </xf>
    <xf numFmtId="0" fontId="0" fillId="12" borderId="0" xfId="0" applyFill="1" applyAlignment="1" applyProtection="1">
      <alignment vertical="center"/>
      <protection locked="0"/>
    </xf>
    <xf numFmtId="0" fontId="4" fillId="0" borderId="0" xfId="35" applyFont="1"/>
    <xf numFmtId="37" fontId="4" fillId="3" borderId="4" xfId="35" applyNumberFormat="1" applyFont="1" applyFill="1" applyBorder="1" applyAlignment="1" applyProtection="1">
      <alignment horizontal="center"/>
    </xf>
    <xf numFmtId="37" fontId="4" fillId="3" borderId="5" xfId="35" applyNumberFormat="1" applyFont="1" applyFill="1" applyBorder="1" applyAlignment="1" applyProtection="1">
      <alignment horizontal="center"/>
    </xf>
    <xf numFmtId="0" fontId="4" fillId="12" borderId="0" xfId="35" applyFont="1" applyFill="1" applyBorder="1" applyAlignment="1" applyProtection="1">
      <alignment vertical="center"/>
      <protection locked="0"/>
    </xf>
    <xf numFmtId="0" fontId="34" fillId="12" borderId="0" xfId="35" applyFont="1" applyFill="1" applyBorder="1" applyAlignment="1" applyProtection="1">
      <alignment vertical="center"/>
      <protection locked="0"/>
    </xf>
    <xf numFmtId="176" fontId="34" fillId="14" borderId="3" xfId="35" applyNumberFormat="1" applyFont="1" applyFill="1" applyBorder="1" applyAlignment="1" applyProtection="1">
      <alignment horizontal="center" vertical="center"/>
      <protection locked="0"/>
    </xf>
    <xf numFmtId="0" fontId="4" fillId="12" borderId="17" xfId="35" applyFont="1" applyFill="1" applyBorder="1" applyAlignment="1" applyProtection="1">
      <alignment vertical="center"/>
    </xf>
    <xf numFmtId="176" fontId="34" fillId="12" borderId="6" xfId="35" applyNumberFormat="1" applyFont="1" applyFill="1" applyBorder="1" applyAlignment="1" applyProtection="1">
      <alignment horizontal="center" vertical="center"/>
    </xf>
    <xf numFmtId="0" fontId="34" fillId="12" borderId="0" xfId="35" applyFont="1" applyFill="1" applyBorder="1" applyAlignment="1" applyProtection="1">
      <alignment horizontal="left" vertical="center"/>
    </xf>
    <xf numFmtId="0" fontId="34" fillId="12" borderId="17" xfId="35" applyFont="1" applyFill="1" applyBorder="1" applyAlignment="1" applyProtection="1">
      <alignment vertical="center"/>
    </xf>
    <xf numFmtId="0" fontId="34" fillId="12" borderId="0" xfId="35" applyFont="1" applyFill="1" applyBorder="1" applyAlignment="1" applyProtection="1">
      <alignment vertical="center"/>
    </xf>
    <xf numFmtId="176" fontId="34" fillId="12" borderId="12" xfId="35" applyNumberFormat="1" applyFont="1" applyFill="1" applyBorder="1" applyAlignment="1" applyProtection="1">
      <alignment horizontal="center" vertical="center"/>
    </xf>
    <xf numFmtId="176" fontId="34" fillId="12" borderId="6" xfId="35" applyNumberFormat="1" applyFont="1" applyFill="1" applyBorder="1" applyAlignment="1" applyProtection="1">
      <alignment vertical="center"/>
    </xf>
    <xf numFmtId="0" fontId="36" fillId="15" borderId="1" xfId="35" applyFont="1" applyFill="1" applyBorder="1" applyAlignment="1" applyProtection="1">
      <alignment vertical="center"/>
    </xf>
    <xf numFmtId="0" fontId="34" fillId="15" borderId="7" xfId="35" applyFont="1" applyFill="1" applyBorder="1" applyAlignment="1" applyProtection="1">
      <alignment vertical="center"/>
    </xf>
    <xf numFmtId="0" fontId="4" fillId="15" borderId="7" xfId="35" applyFont="1" applyFill="1" applyBorder="1" applyAlignment="1" applyProtection="1">
      <alignment vertical="center"/>
    </xf>
    <xf numFmtId="0" fontId="34" fillId="12" borderId="6" xfId="35" applyFont="1" applyFill="1" applyBorder="1" applyAlignment="1" applyProtection="1">
      <alignment horizontal="left" vertical="center"/>
    </xf>
    <xf numFmtId="176" fontId="36" fillId="15" borderId="12" xfId="35" applyNumberFormat="1" applyFont="1" applyFill="1" applyBorder="1" applyAlignment="1" applyProtection="1">
      <alignment horizontal="center" vertical="center"/>
    </xf>
    <xf numFmtId="171" fontId="4" fillId="13" borderId="3" xfId="0" applyNumberFormat="1" applyFont="1" applyFill="1" applyBorder="1" applyAlignment="1" applyProtection="1">
      <alignment vertical="center"/>
    </xf>
    <xf numFmtId="0" fontId="5" fillId="0" borderId="0" xfId="73" applyFont="1" applyAlignment="1">
      <alignment vertical="center"/>
    </xf>
    <xf numFmtId="0" fontId="4" fillId="0" borderId="0" xfId="39" applyFont="1" applyAlignment="1">
      <alignment vertical="center" wrapText="1"/>
    </xf>
    <xf numFmtId="0" fontId="4" fillId="0" borderId="0" xfId="39" applyFont="1" applyAlignment="1">
      <alignment vertical="center"/>
    </xf>
    <xf numFmtId="37" fontId="14" fillId="3" borderId="3" xfId="0" applyNumberFormat="1" applyFont="1" applyFill="1" applyBorder="1" applyAlignment="1" applyProtection="1">
      <alignment horizontal="center" vertical="center"/>
    </xf>
    <xf numFmtId="3" fontId="4" fillId="10" borderId="10" xfId="0" applyNumberFormat="1" applyFont="1" applyFill="1" applyBorder="1" applyAlignment="1" applyProtection="1">
      <alignment vertical="center"/>
    </xf>
    <xf numFmtId="3" fontId="4" fillId="3" borderId="5"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6" fontId="13" fillId="15" borderId="12" xfId="35" applyNumberFormat="1" applyFont="1" applyFill="1" applyBorder="1" applyAlignment="1" applyProtection="1">
      <alignment horizontal="center" vertical="center"/>
    </xf>
    <xf numFmtId="0" fontId="13" fillId="15" borderId="1" xfId="35" applyFont="1" applyFill="1" applyBorder="1" applyAlignment="1" applyProtection="1">
      <alignment vertical="center"/>
    </xf>
    <xf numFmtId="0" fontId="40" fillId="16" borderId="0" xfId="0" applyFont="1" applyFill="1"/>
    <xf numFmtId="0" fontId="40" fillId="12" borderId="0" xfId="0" applyFont="1" applyFill="1"/>
    <xf numFmtId="0" fontId="49" fillId="16" borderId="0" xfId="0" applyFont="1" applyFill="1" applyAlignment="1">
      <alignment horizontal="center" wrapText="1"/>
    </xf>
    <xf numFmtId="0" fontId="49" fillId="12" borderId="0" xfId="0" applyFont="1" applyFill="1"/>
    <xf numFmtId="0" fontId="40" fillId="12" borderId="0" xfId="0" applyFont="1" applyFill="1" applyAlignment="1">
      <alignment horizontal="center"/>
    </xf>
    <xf numFmtId="0" fontId="49" fillId="12" borderId="18" xfId="0" applyFont="1" applyFill="1" applyBorder="1"/>
    <xf numFmtId="0" fontId="40" fillId="12" borderId="19" xfId="0" applyFont="1" applyFill="1" applyBorder="1"/>
    <xf numFmtId="0" fontId="40" fillId="12" borderId="20" xfId="0" applyFont="1" applyFill="1" applyBorder="1"/>
    <xf numFmtId="176" fontId="40" fillId="12" borderId="21" xfId="0" applyNumberFormat="1" applyFont="1" applyFill="1" applyBorder="1"/>
    <xf numFmtId="0" fontId="40" fillId="12" borderId="0" xfId="0" applyFont="1" applyFill="1" applyBorder="1"/>
    <xf numFmtId="176" fontId="40" fillId="12" borderId="1" xfId="0" applyNumberFormat="1" applyFont="1" applyFill="1" applyBorder="1" applyAlignment="1">
      <alignment horizontal="center"/>
    </xf>
    <xf numFmtId="0" fontId="40" fillId="12" borderId="22" xfId="0" applyFont="1" applyFill="1" applyBorder="1"/>
    <xf numFmtId="0" fontId="40" fillId="12" borderId="23" xfId="0" applyFont="1" applyFill="1" applyBorder="1"/>
    <xf numFmtId="0" fontId="40" fillId="12" borderId="24" xfId="0" applyFont="1" applyFill="1" applyBorder="1"/>
    <xf numFmtId="0" fontId="40" fillId="12" borderId="25" xfId="0" applyFont="1" applyFill="1" applyBorder="1"/>
    <xf numFmtId="176" fontId="40" fillId="12" borderId="0" xfId="0" applyNumberFormat="1" applyFont="1" applyFill="1"/>
    <xf numFmtId="0" fontId="40" fillId="12" borderId="18" xfId="0" applyFont="1" applyFill="1" applyBorder="1"/>
    <xf numFmtId="0" fontId="40" fillId="12" borderId="26" xfId="0" applyFont="1" applyFill="1" applyBorder="1"/>
    <xf numFmtId="176" fontId="40" fillId="14" borderId="21" xfId="0" applyNumberFormat="1" applyFont="1" applyFill="1" applyBorder="1" applyAlignment="1" applyProtection="1">
      <alignment horizontal="center"/>
      <protection locked="0"/>
    </xf>
    <xf numFmtId="173" fontId="40" fillId="12" borderId="0" xfId="0" applyNumberFormat="1" applyFont="1" applyFill="1" applyBorder="1" applyAlignment="1">
      <alignment horizontal="center"/>
    </xf>
    <xf numFmtId="0" fontId="50" fillId="0" borderId="0" xfId="0" applyFont="1" applyBorder="1"/>
    <xf numFmtId="0" fontId="40" fillId="0" borderId="0" xfId="0" applyFont="1" applyBorder="1"/>
    <xf numFmtId="0" fontId="49" fillId="0" borderId="0" xfId="0" applyFont="1" applyBorder="1" applyAlignment="1">
      <alignment horizontal="centerContinuous"/>
    </xf>
    <xf numFmtId="0" fontId="40" fillId="0" borderId="0" xfId="0" applyFont="1" applyBorder="1" applyAlignment="1">
      <alignment horizontal="centerContinuous"/>
    </xf>
    <xf numFmtId="0" fontId="40" fillId="16" borderId="0" xfId="0" applyFont="1" applyFill="1" applyBorder="1"/>
    <xf numFmtId="0" fontId="40" fillId="12" borderId="27" xfId="0" applyFont="1" applyFill="1" applyBorder="1"/>
    <xf numFmtId="0" fontId="40" fillId="12" borderId="9" xfId="0" applyFont="1" applyFill="1" applyBorder="1"/>
    <xf numFmtId="0" fontId="40" fillId="12" borderId="28" xfId="0" applyFont="1" applyFill="1" applyBorder="1"/>
    <xf numFmtId="5" fontId="40" fillId="12" borderId="24" xfId="0" applyNumberFormat="1" applyFont="1" applyFill="1" applyBorder="1" applyAlignment="1">
      <alignment horizontal="center"/>
    </xf>
    <xf numFmtId="0" fontId="40" fillId="12" borderId="24" xfId="0" applyFont="1" applyFill="1" applyBorder="1" applyAlignment="1">
      <alignment horizontal="center"/>
    </xf>
    <xf numFmtId="173" fontId="40" fillId="12" borderId="24" xfId="0" applyNumberFormat="1" applyFont="1" applyFill="1" applyBorder="1" applyAlignment="1">
      <alignment horizontal="center"/>
    </xf>
    <xf numFmtId="177" fontId="40" fillId="12" borderId="24" xfId="0" applyNumberFormat="1" applyFont="1" applyFill="1" applyBorder="1" applyAlignment="1">
      <alignment horizontal="center"/>
    </xf>
    <xf numFmtId="0" fontId="40" fillId="12" borderId="0" xfId="0" applyFont="1" applyFill="1" applyAlignment="1">
      <alignment horizontal="center" wrapText="1"/>
    </xf>
    <xf numFmtId="0" fontId="49" fillId="12" borderId="18" xfId="0" applyFont="1" applyFill="1" applyBorder="1" applyAlignment="1"/>
    <xf numFmtId="0" fontId="40" fillId="12" borderId="19" xfId="0" applyFont="1" applyFill="1" applyBorder="1" applyAlignment="1"/>
    <xf numFmtId="0" fontId="40" fillId="12" borderId="20" xfId="0" applyFont="1" applyFill="1" applyBorder="1" applyAlignment="1"/>
    <xf numFmtId="0" fontId="40" fillId="12" borderId="26" xfId="0" applyFont="1" applyFill="1" applyBorder="1" applyAlignment="1"/>
    <xf numFmtId="0" fontId="40" fillId="12" borderId="22" xfId="0" applyFont="1" applyFill="1" applyBorder="1" applyAlignment="1"/>
    <xf numFmtId="0" fontId="40" fillId="12" borderId="27" xfId="0" applyFont="1" applyFill="1" applyBorder="1" applyAlignment="1"/>
    <xf numFmtId="0" fontId="40" fillId="12" borderId="9" xfId="0" applyFont="1" applyFill="1" applyBorder="1" applyAlignment="1"/>
    <xf numFmtId="0" fontId="40" fillId="12" borderId="28" xfId="0" applyFont="1" applyFill="1" applyBorder="1" applyAlignment="1"/>
    <xf numFmtId="171" fontId="40" fillId="12" borderId="0" xfId="0" applyNumberFormat="1" applyFont="1" applyFill="1" applyBorder="1" applyAlignment="1">
      <alignment horizontal="center"/>
    </xf>
    <xf numFmtId="0" fontId="40" fillId="12" borderId="23" xfId="0" applyFont="1" applyFill="1" applyBorder="1" applyAlignment="1"/>
    <xf numFmtId="5" fontId="40" fillId="12" borderId="0" xfId="0" applyNumberFormat="1" applyFont="1" applyFill="1" applyBorder="1" applyAlignment="1">
      <alignment horizontal="center"/>
    </xf>
    <xf numFmtId="0" fontId="40" fillId="16" borderId="0" xfId="0" applyFont="1" applyFill="1" applyAlignment="1"/>
    <xf numFmtId="173" fontId="40" fillId="14" borderId="1" xfId="0" applyNumberFormat="1" applyFont="1" applyFill="1" applyBorder="1" applyAlignment="1" applyProtection="1">
      <alignment horizontal="center"/>
      <protection locked="0"/>
    </xf>
    <xf numFmtId="177" fontId="40" fillId="12" borderId="0" xfId="0" applyNumberFormat="1" applyFont="1" applyFill="1" applyBorder="1"/>
    <xf numFmtId="0" fontId="40" fillId="17" borderId="0" xfId="0" applyFont="1" applyFill="1"/>
    <xf numFmtId="0" fontId="26" fillId="0" borderId="0" xfId="0" applyFont="1" applyAlignment="1">
      <alignment horizontal="center"/>
    </xf>
    <xf numFmtId="0" fontId="3" fillId="0" borderId="0" xfId="0" applyFont="1" applyAlignment="1">
      <alignment wrapText="1"/>
    </xf>
    <xf numFmtId="0" fontId="22" fillId="0" borderId="0" xfId="0" applyFont="1"/>
    <xf numFmtId="0" fontId="51" fillId="0" borderId="0" xfId="0" applyFont="1" applyAlignment="1">
      <alignment wrapText="1"/>
    </xf>
    <xf numFmtId="0" fontId="21" fillId="0" borderId="0" xfId="0" applyFont="1" applyAlignment="1">
      <alignment wrapText="1"/>
    </xf>
    <xf numFmtId="0" fontId="22"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wrapText="1"/>
    </xf>
    <xf numFmtId="0" fontId="25" fillId="0" borderId="0" xfId="0" applyNumberFormat="1" applyFont="1" applyFill="1" applyBorder="1" applyAlignment="1" applyProtection="1">
      <alignment vertical="center"/>
    </xf>
    <xf numFmtId="173" fontId="34" fillId="12" borderId="8" xfId="35" applyNumberFormat="1" applyFont="1" applyFill="1" applyBorder="1" applyAlignment="1" applyProtection="1">
      <alignment horizontal="center" vertical="center"/>
      <protection locked="0"/>
    </xf>
    <xf numFmtId="0" fontId="4" fillId="12" borderId="0" xfId="35" applyFont="1" applyFill="1" applyBorder="1" applyAlignment="1" applyProtection="1">
      <alignment vertical="center"/>
    </xf>
    <xf numFmtId="0" fontId="4" fillId="12" borderId="6" xfId="35" applyFont="1" applyFill="1" applyBorder="1" applyAlignment="1" applyProtection="1">
      <alignment vertical="center"/>
    </xf>
    <xf numFmtId="0" fontId="4" fillId="12" borderId="17" xfId="35" applyFont="1" applyFill="1" applyBorder="1" applyAlignment="1" applyProtection="1">
      <alignment vertical="center"/>
    </xf>
    <xf numFmtId="0" fontId="4" fillId="15" borderId="7" xfId="35" applyFont="1" applyFill="1" applyBorder="1" applyAlignment="1" applyProtection="1">
      <alignment vertical="center"/>
    </xf>
    <xf numFmtId="0" fontId="34" fillId="12" borderId="6" xfId="35" applyFont="1" applyFill="1" applyBorder="1" applyAlignment="1" applyProtection="1">
      <alignment vertical="center"/>
    </xf>
    <xf numFmtId="176" fontId="13" fillId="12" borderId="6" xfId="35" applyNumberFormat="1" applyFont="1" applyFill="1" applyBorder="1" applyAlignment="1" applyProtection="1">
      <alignment horizontal="center" vertical="center"/>
    </xf>
    <xf numFmtId="0" fontId="13" fillId="12" borderId="0" xfId="35" applyFont="1" applyFill="1" applyBorder="1" applyAlignment="1" applyProtection="1">
      <alignment horizontal="left" vertical="center"/>
    </xf>
    <xf numFmtId="0" fontId="13" fillId="12" borderId="0" xfId="35" applyFont="1" applyFill="1" applyBorder="1" applyAlignment="1" applyProtection="1">
      <alignment vertical="center"/>
    </xf>
    <xf numFmtId="176" fontId="13" fillId="12" borderId="12" xfId="35" applyNumberFormat="1" applyFont="1" applyFill="1" applyBorder="1" applyAlignment="1" applyProtection="1">
      <alignment horizontal="center" vertical="center"/>
    </xf>
    <xf numFmtId="176" fontId="13" fillId="12" borderId="6" xfId="35" applyNumberFormat="1" applyFont="1" applyFill="1" applyBorder="1" applyAlignment="1" applyProtection="1">
      <alignment vertical="center"/>
    </xf>
    <xf numFmtId="0" fontId="40" fillId="0" borderId="0" xfId="0" applyFont="1"/>
    <xf numFmtId="0" fontId="41" fillId="0" borderId="0" xfId="35" applyFont="1" applyAlignment="1">
      <alignment horizontal="center"/>
    </xf>
    <xf numFmtId="0" fontId="4" fillId="0" borderId="0" xfId="35" applyFont="1" applyAlignment="1">
      <alignment wrapText="1"/>
    </xf>
    <xf numFmtId="0" fontId="42" fillId="0" borderId="0" xfId="11" applyFont="1" applyAlignment="1" applyProtection="1"/>
    <xf numFmtId="0" fontId="4" fillId="0" borderId="0" xfId="340" applyFont="1" applyAlignment="1">
      <alignment vertical="center" wrapText="1"/>
    </xf>
    <xf numFmtId="0" fontId="4" fillId="0" borderId="0" xfId="360" applyNumberFormat="1" applyFont="1" applyAlignment="1">
      <alignment vertical="center" wrapText="1"/>
    </xf>
    <xf numFmtId="0" fontId="4" fillId="0" borderId="0" xfId="239" applyFont="1" applyAlignment="1">
      <alignment vertical="center" wrapText="1"/>
    </xf>
    <xf numFmtId="0" fontId="52" fillId="0" borderId="0" xfId="0" applyFont="1" applyAlignment="1">
      <alignment vertical="center"/>
    </xf>
    <xf numFmtId="173" fontId="4" fillId="14" borderId="17" xfId="36" applyNumberFormat="1" applyFont="1" applyFill="1" applyBorder="1" applyAlignment="1" applyProtection="1">
      <alignment horizontal="center"/>
      <protection locked="0"/>
    </xf>
    <xf numFmtId="0" fontId="34" fillId="12" borderId="6" xfId="36" applyFont="1" applyFill="1" applyBorder="1" applyProtection="1"/>
    <xf numFmtId="0" fontId="4" fillId="12" borderId="0" xfId="36" applyFont="1" applyFill="1" applyBorder="1" applyProtection="1"/>
    <xf numFmtId="176" fontId="4" fillId="12" borderId="17" xfId="36" applyNumberFormat="1" applyFont="1" applyFill="1" applyBorder="1" applyAlignment="1" applyProtection="1">
      <alignment horizontal="center"/>
    </xf>
    <xf numFmtId="0" fontId="4" fillId="12" borderId="12" xfId="36" applyFont="1" applyFill="1" applyBorder="1" applyProtection="1"/>
    <xf numFmtId="0" fontId="4" fillId="12" borderId="1" xfId="36" applyFont="1" applyFill="1" applyBorder="1" applyProtection="1"/>
    <xf numFmtId="176" fontId="4" fillId="15" borderId="7" xfId="36" applyNumberFormat="1" applyFont="1" applyFill="1" applyBorder="1" applyAlignment="1" applyProtection="1">
      <alignment horizontal="center"/>
    </xf>
    <xf numFmtId="0" fontId="4" fillId="0" borderId="0" xfId="36" applyFont="1" applyFill="1" applyBorder="1" applyProtection="1"/>
    <xf numFmtId="0" fontId="4" fillId="12" borderId="6" xfId="36" applyFont="1" applyFill="1" applyBorder="1" applyProtection="1"/>
    <xf numFmtId="0" fontId="4" fillId="12" borderId="17" xfId="36" applyFont="1" applyFill="1" applyBorder="1" applyProtection="1"/>
    <xf numFmtId="171" fontId="4" fillId="12" borderId="17" xfId="36" applyNumberFormat="1" applyFont="1" applyFill="1" applyBorder="1" applyAlignment="1" applyProtection="1">
      <alignment horizontal="center"/>
    </xf>
    <xf numFmtId="0" fontId="4" fillId="15" borderId="6" xfId="36" applyFont="1" applyFill="1" applyBorder="1" applyProtection="1"/>
    <xf numFmtId="0" fontId="4" fillId="15" borderId="0" xfId="36" applyFont="1" applyFill="1" applyBorder="1" applyProtection="1"/>
    <xf numFmtId="0" fontId="4" fillId="15" borderId="12" xfId="36" applyFont="1" applyFill="1" applyBorder="1" applyProtection="1"/>
    <xf numFmtId="0" fontId="4" fillId="15" borderId="1" xfId="36" applyFont="1" applyFill="1" applyBorder="1" applyProtection="1"/>
    <xf numFmtId="0" fontId="4" fillId="0" borderId="0" xfId="36" applyFont="1" applyProtection="1"/>
    <xf numFmtId="176" fontId="4" fillId="12" borderId="7" xfId="36" applyNumberFormat="1" applyFont="1" applyFill="1" applyBorder="1" applyAlignment="1" applyProtection="1">
      <alignment horizontal="center"/>
    </xf>
    <xf numFmtId="3" fontId="4" fillId="13" borderId="16" xfId="0" applyNumberFormat="1" applyFont="1" applyFill="1" applyBorder="1" applyAlignment="1" applyProtection="1">
      <alignment horizontal="center" vertical="center"/>
    </xf>
    <xf numFmtId="0" fontId="4" fillId="8" borderId="10" xfId="39" applyNumberFormat="1" applyFont="1" applyFill="1" applyBorder="1" applyAlignment="1" applyProtection="1">
      <alignment horizontal="left" vertical="center"/>
      <protection locked="0"/>
    </xf>
    <xf numFmtId="0" fontId="4" fillId="8" borderId="10" xfId="0" applyNumberFormat="1" applyFont="1" applyFill="1" applyBorder="1" applyAlignment="1" applyProtection="1">
      <alignment horizontal="left" vertical="center"/>
      <protection locked="0"/>
    </xf>
    <xf numFmtId="37" fontId="4" fillId="8" borderId="10" xfId="27" applyNumberFormat="1" applyFont="1" applyFill="1" applyBorder="1" applyAlignment="1" applyProtection="1">
      <alignment vertical="center"/>
      <protection locked="0"/>
    </xf>
    <xf numFmtId="0" fontId="4" fillId="3" borderId="0" xfId="0" applyNumberFormat="1" applyFont="1" applyFill="1" applyBorder="1" applyAlignment="1" applyProtection="1">
      <alignment horizontal="right" vertical="center"/>
    </xf>
    <xf numFmtId="0" fontId="0" fillId="10" borderId="5" xfId="0" applyFill="1" applyBorder="1" applyAlignment="1" applyProtection="1">
      <alignment vertical="center"/>
    </xf>
    <xf numFmtId="0" fontId="16" fillId="10" borderId="7" xfId="0" applyFont="1" applyFill="1" applyBorder="1" applyAlignment="1" applyProtection="1">
      <alignment horizontal="center" vertical="center"/>
    </xf>
    <xf numFmtId="164" fontId="4" fillId="3" borderId="0" xfId="0" applyNumberFormat="1" applyFont="1" applyFill="1" applyBorder="1" applyAlignment="1" applyProtection="1">
      <alignment vertical="center"/>
    </xf>
    <xf numFmtId="3" fontId="4" fillId="3" borderId="3" xfId="0" applyNumberFormat="1" applyFont="1" applyFill="1" applyBorder="1" applyAlignment="1" applyProtection="1">
      <alignment horizontal="right" vertical="center"/>
    </xf>
    <xf numFmtId="3" fontId="4" fillId="2" borderId="5" xfId="1" applyNumberFormat="1" applyFont="1" applyFill="1" applyBorder="1" applyAlignment="1" applyProtection="1">
      <alignment horizontal="right" vertical="center"/>
      <protection locked="0"/>
    </xf>
    <xf numFmtId="3" fontId="4" fillId="2" borderId="3" xfId="1" applyNumberFormat="1" applyFont="1" applyFill="1" applyBorder="1" applyAlignment="1" applyProtection="1">
      <alignment horizontal="right" vertical="center"/>
      <protection locked="0"/>
    </xf>
    <xf numFmtId="37" fontId="4"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vertical="center"/>
    </xf>
    <xf numFmtId="0" fontId="49" fillId="12" borderId="26" xfId="0" applyFont="1" applyFill="1" applyBorder="1" applyAlignment="1">
      <alignment horizontal="centerContinuous" vertical="center"/>
    </xf>
    <xf numFmtId="176" fontId="49" fillId="12" borderId="0" xfId="0" applyNumberFormat="1" applyFont="1" applyFill="1" applyBorder="1" applyAlignment="1">
      <alignment horizontal="centerContinuous" vertical="center"/>
    </xf>
    <xf numFmtId="0" fontId="49" fillId="12" borderId="0" xfId="0" applyFont="1" applyFill="1" applyBorder="1" applyAlignment="1">
      <alignment horizontal="centerContinuous" vertical="center"/>
    </xf>
    <xf numFmtId="173" fontId="49" fillId="12" borderId="0" xfId="0" applyNumberFormat="1" applyFont="1" applyFill="1" applyBorder="1" applyAlignment="1" applyProtection="1">
      <alignment horizontal="centerContinuous" vertical="center"/>
      <protection locked="0"/>
    </xf>
    <xf numFmtId="177" fontId="49" fillId="12" borderId="0" xfId="0" applyNumberFormat="1" applyFont="1" applyFill="1" applyBorder="1" applyAlignment="1">
      <alignment horizontal="centerContinuous" vertical="center"/>
    </xf>
    <xf numFmtId="0" fontId="49" fillId="12" borderId="22" xfId="0" applyFont="1" applyFill="1" applyBorder="1" applyAlignment="1">
      <alignment horizontal="centerContinuous" vertical="center"/>
    </xf>
    <xf numFmtId="0" fontId="49" fillId="12" borderId="26" xfId="0" applyFont="1" applyFill="1" applyBorder="1" applyAlignment="1">
      <alignment horizontal="centerContinuous"/>
    </xf>
    <xf numFmtId="176" fontId="49" fillId="12" borderId="0" xfId="0" applyNumberFormat="1" applyFont="1" applyFill="1" applyBorder="1" applyAlignment="1">
      <alignment horizontal="centerContinuous"/>
    </xf>
    <xf numFmtId="0" fontId="49" fillId="12" borderId="0" xfId="0" applyFont="1" applyFill="1" applyBorder="1" applyAlignment="1">
      <alignment horizontal="centerContinuous"/>
    </xf>
    <xf numFmtId="173" fontId="49" fillId="12" borderId="0" xfId="0" applyNumberFormat="1" applyFont="1" applyFill="1" applyBorder="1" applyAlignment="1" applyProtection="1">
      <alignment horizontal="centerContinuous"/>
      <protection locked="0"/>
    </xf>
    <xf numFmtId="177" fontId="49" fillId="12" borderId="0" xfId="0" applyNumberFormat="1" applyFont="1" applyFill="1" applyBorder="1" applyAlignment="1">
      <alignment horizontal="centerContinuous"/>
    </xf>
    <xf numFmtId="0" fontId="49" fillId="12" borderId="22" xfId="0" applyFont="1" applyFill="1" applyBorder="1" applyAlignment="1">
      <alignment horizontal="centerContinuous"/>
    </xf>
    <xf numFmtId="176" fontId="40" fillId="0" borderId="0" xfId="0" applyNumberFormat="1" applyFont="1"/>
    <xf numFmtId="176" fontId="40" fillId="12" borderId="24" xfId="0" applyNumberFormat="1" applyFont="1" applyFill="1" applyBorder="1" applyAlignment="1">
      <alignment horizontal="center"/>
    </xf>
    <xf numFmtId="173" fontId="40" fillId="12" borderId="24" xfId="0" applyNumberFormat="1" applyFont="1" applyFill="1" applyBorder="1" applyAlignment="1" applyProtection="1">
      <alignment horizontal="center"/>
      <protection locked="0"/>
    </xf>
    <xf numFmtId="177" fontId="40" fillId="12" borderId="24" xfId="0" applyNumberFormat="1" applyFont="1" applyFill="1" applyBorder="1"/>
    <xf numFmtId="173" fontId="40" fillId="12" borderId="0" xfId="0" applyNumberFormat="1" applyFont="1" applyFill="1" applyBorder="1" applyAlignment="1" applyProtection="1">
      <alignment horizontal="center"/>
      <protection locked="0"/>
    </xf>
    <xf numFmtId="176" fontId="40" fillId="12" borderId="19" xfId="0" applyNumberFormat="1" applyFont="1" applyFill="1" applyBorder="1" applyAlignment="1">
      <alignment horizontal="center"/>
    </xf>
    <xf numFmtId="0" fontId="40" fillId="12" borderId="19" xfId="0" applyFont="1" applyFill="1" applyBorder="1" applyAlignment="1">
      <alignment horizontal="center"/>
    </xf>
    <xf numFmtId="173" fontId="40" fillId="12" borderId="19" xfId="0" applyNumberFormat="1" applyFont="1" applyFill="1" applyBorder="1" applyAlignment="1" applyProtection="1">
      <alignment horizontal="center"/>
      <protection locked="0"/>
    </xf>
    <xf numFmtId="177" fontId="40" fillId="12" borderId="19" xfId="0" applyNumberFormat="1" applyFont="1" applyFill="1" applyBorder="1"/>
    <xf numFmtId="176" fontId="40" fillId="12" borderId="0" xfId="0" applyNumberFormat="1" applyFont="1" applyFill="1" applyBorder="1" applyAlignment="1" applyProtection="1">
      <alignment horizontal="center"/>
      <protection locked="0"/>
    </xf>
    <xf numFmtId="176" fontId="4" fillId="15" borderId="17" xfId="36" applyNumberFormat="1" applyFont="1" applyFill="1" applyBorder="1" applyAlignment="1" applyProtection="1">
      <alignment horizontal="center"/>
    </xf>
    <xf numFmtId="0" fontId="4" fillId="15" borderId="12" xfId="0" applyFont="1" applyFill="1" applyBorder="1" applyAlignment="1">
      <alignment vertical="center"/>
    </xf>
    <xf numFmtId="0" fontId="4" fillId="15" borderId="1" xfId="0" applyFont="1" applyFill="1" applyBorder="1" applyAlignment="1">
      <alignment vertical="center"/>
    </xf>
    <xf numFmtId="176" fontId="4" fillId="15" borderId="7" xfId="0" applyNumberFormat="1" applyFont="1" applyFill="1" applyBorder="1" applyAlignment="1">
      <alignment horizontal="center" vertical="center"/>
    </xf>
    <xf numFmtId="0" fontId="8" fillId="4" borderId="3" xfId="0" applyFont="1" applyFill="1" applyBorder="1" applyAlignment="1" applyProtection="1">
      <alignment vertical="center" shrinkToFit="1"/>
    </xf>
    <xf numFmtId="3" fontId="4" fillId="12" borderId="9" xfId="0" applyNumberFormat="1" applyFont="1" applyFill="1" applyBorder="1" applyAlignment="1">
      <alignment horizontal="center" vertical="center"/>
    </xf>
    <xf numFmtId="0" fontId="4" fillId="12" borderId="0" xfId="0" applyFont="1" applyFill="1" applyAlignment="1" applyProtection="1">
      <alignment vertical="center"/>
      <protection locked="0"/>
    </xf>
    <xf numFmtId="37" fontId="4" fillId="12" borderId="0" xfId="0" applyNumberFormat="1" applyFont="1" applyFill="1" applyBorder="1" applyAlignment="1" applyProtection="1">
      <alignment horizontal="center" vertical="center"/>
    </xf>
    <xf numFmtId="0" fontId="4" fillId="3" borderId="12" xfId="0" applyFont="1" applyFill="1" applyBorder="1" applyAlignment="1" applyProtection="1">
      <alignment vertical="center"/>
    </xf>
    <xf numFmtId="0" fontId="4" fillId="3" borderId="0" xfId="0" applyFont="1" applyFill="1" applyBorder="1" applyAlignment="1" applyProtection="1">
      <alignment horizontal="center" vertical="center"/>
    </xf>
    <xf numFmtId="0" fontId="0" fillId="12" borderId="0" xfId="0" applyFill="1" applyBorder="1" applyAlignment="1" applyProtection="1">
      <alignment vertical="center" wrapText="1"/>
    </xf>
    <xf numFmtId="170" fontId="4" fillId="12" borderId="0" xfId="1" applyNumberFormat="1" applyFont="1" applyFill="1" applyBorder="1" applyAlignment="1" applyProtection="1">
      <alignment vertical="center"/>
    </xf>
    <xf numFmtId="0" fontId="8" fillId="12" borderId="0" xfId="0" applyFont="1" applyFill="1" applyBorder="1" applyAlignment="1" applyProtection="1">
      <alignment vertical="center" wrapText="1" shrinkToFit="1"/>
    </xf>
    <xf numFmtId="171" fontId="4" fillId="3" borderId="3" xfId="0" applyNumberFormat="1" applyFont="1" applyFill="1" applyBorder="1" applyAlignment="1" applyProtection="1">
      <alignment horizontal="right" vertical="center"/>
    </xf>
    <xf numFmtId="178" fontId="4" fillId="3" borderId="3" xfId="0" applyNumberFormat="1" applyFont="1" applyFill="1" applyBorder="1" applyAlignment="1" applyProtection="1">
      <alignment horizontal="right" vertical="center"/>
    </xf>
    <xf numFmtId="173" fontId="4" fillId="9" borderId="29" xfId="0" applyNumberFormat="1" applyFont="1" applyFill="1" applyBorder="1" applyAlignment="1" applyProtection="1">
      <alignment horizontal="right" vertical="center"/>
    </xf>
    <xf numFmtId="3" fontId="4" fillId="13" borderId="30" xfId="0" applyNumberFormat="1" applyFont="1" applyFill="1" applyBorder="1" applyAlignment="1" applyProtection="1">
      <alignment horizontal="right" vertical="center"/>
    </xf>
    <xf numFmtId="0" fontId="4" fillId="3" borderId="3" xfId="0" applyFont="1" applyFill="1" applyBorder="1" applyAlignment="1" applyProtection="1">
      <alignment horizontal="right" vertical="center"/>
    </xf>
    <xf numFmtId="3" fontId="4" fillId="3" borderId="3" xfId="27" applyNumberFormat="1" applyFont="1" applyFill="1" applyBorder="1" applyAlignment="1" applyProtection="1">
      <alignment vertical="center"/>
    </xf>
    <xf numFmtId="0" fontId="4" fillId="3" borderId="4" xfId="27" applyFont="1" applyFill="1" applyBorder="1" applyAlignment="1" applyProtection="1">
      <alignment horizontal="center" vertical="center"/>
    </xf>
    <xf numFmtId="0" fontId="4" fillId="3" borderId="5" xfId="27" applyFont="1" applyFill="1" applyBorder="1" applyAlignment="1" applyProtection="1">
      <alignment horizontal="center" vertical="center"/>
    </xf>
    <xf numFmtId="0" fontId="4" fillId="0" borderId="0" xfId="0" applyFont="1" applyFill="1" applyAlignment="1" applyProtection="1">
      <alignment vertical="center"/>
      <protection locked="0"/>
    </xf>
    <xf numFmtId="0" fontId="4" fillId="12" borderId="1" xfId="0" applyFont="1" applyFill="1" applyBorder="1" applyAlignment="1" applyProtection="1">
      <alignment vertical="center"/>
      <protection locked="0"/>
    </xf>
    <xf numFmtId="0" fontId="36" fillId="15" borderId="6" xfId="35" applyFont="1" applyFill="1" applyBorder="1" applyAlignment="1" applyProtection="1">
      <alignment vertical="center"/>
      <protection locked="0"/>
    </xf>
    <xf numFmtId="0" fontId="4" fillId="15" borderId="0" xfId="35" applyFont="1" applyFill="1" applyBorder="1" applyAlignment="1" applyProtection="1">
      <alignment vertical="center"/>
      <protection locked="0"/>
    </xf>
    <xf numFmtId="0" fontId="34" fillId="15" borderId="0" xfId="35" applyFont="1" applyFill="1" applyBorder="1" applyAlignment="1" applyProtection="1">
      <alignment vertical="center"/>
      <protection locked="0"/>
    </xf>
    <xf numFmtId="176" fontId="36" fillId="15" borderId="8" xfId="35" applyNumberFormat="1" applyFont="1" applyFill="1" applyBorder="1" applyAlignment="1" applyProtection="1">
      <alignment horizontal="center" vertical="center"/>
      <protection locked="0"/>
    </xf>
    <xf numFmtId="0" fontId="4" fillId="15" borderId="7" xfId="0" applyFont="1" applyFill="1" applyBorder="1" applyAlignment="1" applyProtection="1">
      <alignment vertical="center"/>
      <protection locked="0"/>
    </xf>
    <xf numFmtId="37" fontId="4" fillId="3" borderId="0" xfId="0" applyNumberFormat="1" applyFont="1" applyFill="1" applyAlignment="1" applyProtection="1">
      <alignment vertical="center"/>
      <protection locked="0"/>
    </xf>
    <xf numFmtId="0" fontId="4" fillId="3" borderId="17" xfId="11" applyNumberFormat="1" applyFont="1" applyFill="1" applyBorder="1" applyAlignment="1" applyProtection="1">
      <alignment horizontal="right" vertical="center"/>
    </xf>
    <xf numFmtId="0" fontId="53" fillId="0" borderId="0" xfId="0" applyFont="1" applyAlignment="1" applyProtection="1">
      <alignment vertical="center"/>
      <protection locked="0"/>
    </xf>
    <xf numFmtId="0" fontId="4" fillId="12" borderId="0" xfId="0" applyFont="1" applyFill="1" applyBorder="1" applyAlignment="1" applyProtection="1">
      <alignment vertical="center"/>
    </xf>
    <xf numFmtId="176" fontId="34" fillId="14" borderId="3" xfId="0" applyNumberFormat="1" applyFont="1" applyFill="1" applyBorder="1" applyAlignment="1" applyProtection="1">
      <alignment horizontal="center" vertical="center"/>
      <protection locked="0"/>
    </xf>
    <xf numFmtId="0" fontId="34" fillId="12" borderId="0" xfId="0" applyFont="1" applyFill="1" applyBorder="1" applyAlignment="1" applyProtection="1">
      <alignment vertical="center"/>
    </xf>
    <xf numFmtId="0" fontId="34" fillId="12" borderId="6" xfId="0" applyFont="1" applyFill="1" applyBorder="1" applyAlignment="1" applyProtection="1">
      <alignment horizontal="left" vertical="center"/>
    </xf>
    <xf numFmtId="3" fontId="4" fillId="2" borderId="10" xfId="0" applyNumberFormat="1" applyFont="1" applyFill="1" applyBorder="1" applyAlignment="1" applyProtection="1">
      <alignment horizontal="right" vertical="center"/>
      <protection locked="0"/>
    </xf>
    <xf numFmtId="0" fontId="34" fillId="12" borderId="6" xfId="0" applyFont="1" applyFill="1" applyBorder="1" applyAlignment="1" applyProtection="1">
      <alignment vertical="center"/>
    </xf>
    <xf numFmtId="176" fontId="34" fillId="12" borderId="17" xfId="0" applyNumberFormat="1" applyFont="1" applyFill="1" applyBorder="1" applyAlignment="1" applyProtection="1">
      <alignment horizontal="center" vertical="center"/>
    </xf>
    <xf numFmtId="176" fontId="36" fillId="15" borderId="8" xfId="0" applyNumberFormat="1" applyFont="1" applyFill="1" applyBorder="1" applyAlignment="1" applyProtection="1">
      <alignment horizontal="center" vertical="center"/>
    </xf>
    <xf numFmtId="0" fontId="4" fillId="15" borderId="0" xfId="0" applyFont="1" applyFill="1" applyBorder="1" applyAlignment="1" applyProtection="1">
      <alignment vertical="center"/>
    </xf>
    <xf numFmtId="0" fontId="34" fillId="15" borderId="0" xfId="0" applyFont="1" applyFill="1" applyBorder="1" applyAlignment="1" applyProtection="1">
      <alignment vertical="center"/>
    </xf>
    <xf numFmtId="0" fontId="36" fillId="15" borderId="6" xfId="0" applyFont="1" applyFill="1" applyBorder="1" applyAlignment="1" applyProtection="1">
      <alignment vertical="center"/>
    </xf>
    <xf numFmtId="176" fontId="36" fillId="15" borderId="7" xfId="0" applyNumberFormat="1" applyFont="1" applyFill="1" applyBorder="1" applyAlignment="1" applyProtection="1">
      <alignment horizontal="center" vertical="center"/>
      <protection locked="0"/>
    </xf>
    <xf numFmtId="179" fontId="4" fillId="2" borderId="3" xfId="0" applyNumberFormat="1" applyFont="1" applyFill="1" applyBorder="1" applyAlignment="1" applyProtection="1">
      <alignment vertical="center"/>
      <protection locked="0"/>
    </xf>
    <xf numFmtId="179" fontId="4" fillId="8" borderId="3" xfId="0" applyNumberFormat="1" applyFont="1" applyFill="1" applyBorder="1" applyAlignment="1" applyProtection="1">
      <alignment vertical="center"/>
      <protection locked="0"/>
    </xf>
    <xf numFmtId="37" fontId="34" fillId="3" borderId="12" xfId="0" applyNumberFormat="1" applyFont="1" applyFill="1" applyBorder="1" applyAlignment="1" applyProtection="1">
      <alignment horizontal="left" vertical="center"/>
    </xf>
    <xf numFmtId="0" fontId="43" fillId="12" borderId="1" xfId="0" applyFont="1" applyFill="1" applyBorder="1" applyAlignment="1">
      <alignment horizontal="left" vertical="center"/>
    </xf>
    <xf numFmtId="179" fontId="4" fillId="3" borderId="0" xfId="0" applyNumberFormat="1" applyFont="1" applyFill="1" applyAlignment="1" applyProtection="1">
      <alignment horizontal="center" vertical="center"/>
    </xf>
    <xf numFmtId="0" fontId="54" fillId="0" borderId="0" xfId="0" applyFont="1" applyAlignment="1" applyProtection="1">
      <alignment vertical="center"/>
      <protection locked="0"/>
    </xf>
    <xf numFmtId="3" fontId="4" fillId="2" borderId="10" xfId="0" applyNumberFormat="1" applyFont="1" applyFill="1" applyBorder="1" applyAlignment="1" applyProtection="1">
      <alignment vertical="center"/>
      <protection locked="0"/>
    </xf>
    <xf numFmtId="173" fontId="36" fillId="12" borderId="8" xfId="22" applyNumberFormat="1" applyFont="1" applyFill="1" applyBorder="1" applyAlignment="1" applyProtection="1">
      <alignment horizontal="center" vertical="center"/>
    </xf>
    <xf numFmtId="0" fontId="4" fillId="12" borderId="0" xfId="22" applyFont="1" applyFill="1" applyBorder="1" applyAlignment="1" applyProtection="1">
      <alignment vertical="center"/>
    </xf>
    <xf numFmtId="176" fontId="34" fillId="14" borderId="3" xfId="22" applyNumberFormat="1" applyFont="1" applyFill="1" applyBorder="1" applyAlignment="1" applyProtection="1">
      <alignment horizontal="center" vertical="center"/>
      <protection locked="0"/>
    </xf>
    <xf numFmtId="0" fontId="34" fillId="12" borderId="0" xfId="22" applyFont="1" applyFill="1" applyBorder="1" applyAlignment="1" applyProtection="1">
      <alignment vertical="center"/>
    </xf>
    <xf numFmtId="0" fontId="34" fillId="12" borderId="6" xfId="22" applyFont="1" applyFill="1" applyBorder="1" applyAlignment="1" applyProtection="1">
      <alignment horizontal="left" vertical="center"/>
    </xf>
    <xf numFmtId="0" fontId="34" fillId="12" borderId="6" xfId="22" applyFont="1" applyFill="1" applyBorder="1" applyAlignment="1" applyProtection="1">
      <alignment vertical="center"/>
    </xf>
    <xf numFmtId="176" fontId="34" fillId="12" borderId="17" xfId="22" applyNumberFormat="1" applyFont="1" applyFill="1" applyBorder="1" applyAlignment="1" applyProtection="1">
      <alignment horizontal="center" vertical="center"/>
    </xf>
    <xf numFmtId="176" fontId="36" fillId="15" borderId="8" xfId="22" applyNumberFormat="1" applyFont="1" applyFill="1" applyBorder="1" applyAlignment="1" applyProtection="1">
      <alignment horizontal="center" vertical="center"/>
    </xf>
    <xf numFmtId="0" fontId="4" fillId="15" borderId="0" xfId="22" applyFont="1" applyFill="1" applyBorder="1" applyAlignment="1" applyProtection="1">
      <alignment vertical="center"/>
    </xf>
    <xf numFmtId="0" fontId="34" fillId="15" borderId="0" xfId="22" applyFont="1" applyFill="1" applyBorder="1" applyAlignment="1" applyProtection="1">
      <alignment vertical="center"/>
    </xf>
    <xf numFmtId="0" fontId="36" fillId="15" borderId="6" xfId="22" applyFont="1" applyFill="1" applyBorder="1" applyAlignment="1" applyProtection="1">
      <alignment vertical="center"/>
    </xf>
    <xf numFmtId="176" fontId="36" fillId="15" borderId="7" xfId="22" applyNumberFormat="1" applyFont="1" applyFill="1" applyBorder="1" applyAlignment="1" applyProtection="1">
      <alignment horizontal="center" vertical="center"/>
      <protection locked="0"/>
    </xf>
    <xf numFmtId="37" fontId="34" fillId="3" borderId="12" xfId="22" applyNumberFormat="1" applyFont="1" applyFill="1" applyBorder="1" applyAlignment="1" applyProtection="1">
      <alignment horizontal="left" vertical="center"/>
    </xf>
    <xf numFmtId="173" fontId="36" fillId="12" borderId="8" xfId="22" applyNumberFormat="1" applyFont="1" applyFill="1" applyBorder="1" applyAlignment="1" applyProtection="1">
      <alignment horizontal="center" vertical="center"/>
    </xf>
    <xf numFmtId="0" fontId="43" fillId="12" borderId="1" xfId="22" applyFont="1" applyFill="1" applyBorder="1" applyAlignment="1">
      <alignment horizontal="left" vertical="center"/>
    </xf>
    <xf numFmtId="0" fontId="4" fillId="12" borderId="0" xfId="22" applyFont="1" applyFill="1" applyBorder="1" applyAlignment="1" applyProtection="1">
      <alignment vertical="center"/>
    </xf>
    <xf numFmtId="0" fontId="4" fillId="12" borderId="6" xfId="22" applyFont="1" applyFill="1" applyBorder="1" applyAlignment="1" applyProtection="1">
      <alignment vertical="center"/>
    </xf>
    <xf numFmtId="0" fontId="4" fillId="12" borderId="17" xfId="22" applyFont="1" applyFill="1" applyBorder="1" applyAlignment="1" applyProtection="1">
      <alignment vertical="center"/>
    </xf>
    <xf numFmtId="176" fontId="34" fillId="12" borderId="6" xfId="22" applyNumberFormat="1" applyFont="1" applyFill="1" applyBorder="1" applyAlignment="1" applyProtection="1">
      <alignment horizontal="center" vertical="center"/>
    </xf>
    <xf numFmtId="0" fontId="34" fillId="12" borderId="0" xfId="22" applyFont="1" applyFill="1" applyBorder="1" applyAlignment="1" applyProtection="1">
      <alignment horizontal="left" vertical="center"/>
    </xf>
    <xf numFmtId="0" fontId="34" fillId="12" borderId="17" xfId="22" applyFont="1" applyFill="1" applyBorder="1" applyAlignment="1" applyProtection="1">
      <alignment vertical="center"/>
    </xf>
    <xf numFmtId="0" fontId="34" fillId="12" borderId="0" xfId="22" applyFont="1" applyFill="1" applyBorder="1" applyAlignment="1" applyProtection="1">
      <alignment vertical="center"/>
    </xf>
    <xf numFmtId="176" fontId="34" fillId="12" borderId="12" xfId="22" applyNumberFormat="1" applyFont="1" applyFill="1" applyBorder="1" applyAlignment="1" applyProtection="1">
      <alignment horizontal="center" vertical="center"/>
    </xf>
    <xf numFmtId="0" fontId="4" fillId="15" borderId="7" xfId="22" applyFont="1" applyFill="1" applyBorder="1" applyAlignment="1" applyProtection="1">
      <alignment vertical="center"/>
    </xf>
    <xf numFmtId="176" fontId="13" fillId="12" borderId="6" xfId="22" applyNumberFormat="1" applyFont="1" applyFill="1" applyBorder="1" applyAlignment="1" applyProtection="1">
      <alignment horizontal="center" vertical="center"/>
    </xf>
    <xf numFmtId="0" fontId="13" fillId="12" borderId="0" xfId="22" applyFont="1" applyFill="1" applyBorder="1" applyAlignment="1" applyProtection="1">
      <alignment vertical="center"/>
    </xf>
    <xf numFmtId="176" fontId="13" fillId="12" borderId="12" xfId="22" applyNumberFormat="1" applyFont="1" applyFill="1" applyBorder="1" applyAlignment="1" applyProtection="1">
      <alignment horizontal="center" vertical="center"/>
    </xf>
    <xf numFmtId="176" fontId="13" fillId="12" borderId="6" xfId="22" applyNumberFormat="1" applyFont="1" applyFill="1" applyBorder="1" applyAlignment="1" applyProtection="1">
      <alignment vertical="center"/>
    </xf>
    <xf numFmtId="176" fontId="13" fillId="15" borderId="12" xfId="22" applyNumberFormat="1" applyFont="1" applyFill="1" applyBorder="1" applyAlignment="1" applyProtection="1">
      <alignment horizontal="center" vertical="center"/>
    </xf>
    <xf numFmtId="0" fontId="13" fillId="15" borderId="1" xfId="22" applyFont="1" applyFill="1" applyBorder="1" applyAlignment="1" applyProtection="1">
      <alignment vertical="center"/>
    </xf>
    <xf numFmtId="0" fontId="4" fillId="12" borderId="0" xfId="27" applyFont="1" applyFill="1"/>
    <xf numFmtId="0" fontId="2" fillId="0" borderId="0" xfId="27"/>
    <xf numFmtId="0" fontId="4" fillId="12" borderId="0" xfId="27" applyFont="1" applyFill="1" applyAlignment="1">
      <alignment vertical="center"/>
    </xf>
    <xf numFmtId="37" fontId="4" fillId="12" borderId="0" xfId="27" applyNumberFormat="1" applyFont="1" applyFill="1" applyAlignment="1">
      <alignment vertical="center"/>
    </xf>
    <xf numFmtId="0" fontId="4" fillId="12" borderId="1" xfId="27" applyFont="1" applyFill="1" applyBorder="1" applyAlignment="1">
      <alignment vertical="center"/>
    </xf>
    <xf numFmtId="0" fontId="4" fillId="12" borderId="0" xfId="27" applyFont="1" applyFill="1" applyAlignment="1">
      <alignment horizontal="center" vertical="center"/>
    </xf>
    <xf numFmtId="0" fontId="5" fillId="12" borderId="0" xfId="27" applyFont="1" applyFill="1" applyAlignment="1">
      <alignment horizontal="center" vertical="center"/>
    </xf>
    <xf numFmtId="176" fontId="4" fillId="12" borderId="0" xfId="27" applyNumberFormat="1" applyFont="1" applyFill="1" applyAlignment="1">
      <alignment vertical="center"/>
    </xf>
    <xf numFmtId="176" fontId="4" fillId="12" borderId="9" xfId="27" applyNumberFormat="1" applyFont="1" applyFill="1" applyBorder="1" applyAlignment="1">
      <alignment vertical="center"/>
    </xf>
    <xf numFmtId="6" fontId="4" fillId="12" borderId="0" xfId="27" applyNumberFormat="1" applyFont="1" applyFill="1" applyBorder="1" applyAlignment="1">
      <alignment vertical="center"/>
    </xf>
    <xf numFmtId="176" fontId="4" fillId="12" borderId="0" xfId="27" applyNumberFormat="1" applyFont="1" applyFill="1" applyBorder="1" applyAlignment="1">
      <alignment vertical="center"/>
    </xf>
    <xf numFmtId="0" fontId="53" fillId="15" borderId="0" xfId="27" applyFont="1" applyFill="1" applyAlignment="1">
      <alignment vertical="center"/>
    </xf>
    <xf numFmtId="0" fontId="53" fillId="12" borderId="0" xfId="27" applyFont="1" applyFill="1" applyAlignment="1">
      <alignment horizontal="center" vertical="center"/>
    </xf>
    <xf numFmtId="0" fontId="53" fillId="15" borderId="0" xfId="27" applyFont="1" applyFill="1" applyAlignment="1">
      <alignment horizontal="center" vertical="center"/>
    </xf>
    <xf numFmtId="0" fontId="4" fillId="12" borderId="0" xfId="22" applyFont="1" applyFill="1"/>
    <xf numFmtId="0" fontId="2" fillId="12" borderId="0" xfId="27" applyFill="1"/>
    <xf numFmtId="0" fontId="3" fillId="12" borderId="0" xfId="22" applyFont="1" applyFill="1"/>
    <xf numFmtId="0" fontId="2" fillId="12" borderId="0" xfId="22" applyFill="1"/>
    <xf numFmtId="0" fontId="4" fillId="12" borderId="0" xfId="27" applyFont="1" applyFill="1" applyAlignment="1">
      <alignment horizontal="left" vertical="center"/>
    </xf>
    <xf numFmtId="0" fontId="4" fillId="12" borderId="0" xfId="27" applyFont="1" applyFill="1" applyAlignment="1">
      <alignment horizontal="right" vertical="center"/>
    </xf>
    <xf numFmtId="173" fontId="4" fillId="12" borderId="0" xfId="27" applyNumberFormat="1" applyFont="1" applyFill="1" applyAlignment="1">
      <alignment horizontal="center" vertical="center"/>
    </xf>
    <xf numFmtId="180" fontId="53" fillId="12" borderId="0" xfId="27" applyNumberFormat="1" applyFont="1" applyFill="1" applyAlignment="1">
      <alignment horizontal="center" vertical="center"/>
    </xf>
    <xf numFmtId="0" fontId="55" fillId="15" borderId="0" xfId="27" applyFont="1" applyFill="1" applyAlignment="1">
      <alignment horizontal="center" vertical="center"/>
    </xf>
    <xf numFmtId="0" fontId="10" fillId="0" borderId="0" xfId="11" applyAlignment="1" applyProtection="1"/>
    <xf numFmtId="176" fontId="40" fillId="12" borderId="0" xfId="0" applyNumberFormat="1" applyFont="1" applyFill="1" applyBorder="1" applyAlignment="1">
      <alignment horizontal="center"/>
    </xf>
    <xf numFmtId="177" fontId="40" fillId="12" borderId="0" xfId="0" applyNumberFormat="1" applyFont="1" applyFill="1" applyBorder="1" applyAlignment="1">
      <alignment horizontal="center"/>
    </xf>
    <xf numFmtId="0" fontId="40" fillId="12" borderId="0" xfId="0" applyFont="1" applyFill="1" applyBorder="1" applyAlignment="1">
      <alignment horizontal="center"/>
    </xf>
    <xf numFmtId="176" fontId="40" fillId="14" borderId="1" xfId="0" applyNumberFormat="1" applyFont="1" applyFill="1" applyBorder="1" applyAlignment="1" applyProtection="1">
      <alignment horizontal="center"/>
      <protection locked="0"/>
    </xf>
    <xf numFmtId="0" fontId="40" fillId="12" borderId="9" xfId="0" applyFont="1" applyFill="1" applyBorder="1" applyAlignment="1">
      <alignment horizontal="center"/>
    </xf>
    <xf numFmtId="0" fontId="49" fillId="12" borderId="0" xfId="0" applyFont="1" applyFill="1" applyAlignment="1">
      <alignment horizontal="center" wrapText="1"/>
    </xf>
    <xf numFmtId="0" fontId="40" fillId="12" borderId="0" xfId="0" applyFont="1" applyFill="1" applyBorder="1" applyAlignment="1"/>
    <xf numFmtId="0" fontId="40" fillId="12" borderId="25" xfId="0" applyFont="1" applyFill="1" applyBorder="1" applyAlignment="1"/>
    <xf numFmtId="0" fontId="49" fillId="12" borderId="0" xfId="0" applyFont="1" applyFill="1" applyAlignment="1">
      <alignment horizontal="center"/>
    </xf>
    <xf numFmtId="176" fontId="40" fillId="12" borderId="0" xfId="0" applyNumberFormat="1" applyFont="1" applyFill="1" applyAlignment="1">
      <alignment horizontal="center"/>
    </xf>
    <xf numFmtId="1" fontId="4" fillId="3" borderId="15" xfId="0" applyNumberFormat="1" applyFont="1" applyFill="1" applyBorder="1" applyAlignment="1" applyProtection="1">
      <alignment horizontal="center" vertical="center"/>
    </xf>
    <xf numFmtId="37" fontId="4" fillId="3" borderId="15" xfId="0" applyNumberFormat="1" applyFont="1" applyFill="1" applyBorder="1" applyAlignment="1" applyProtection="1">
      <alignment horizontal="center" vertical="center"/>
    </xf>
    <xf numFmtId="173" fontId="4" fillId="12" borderId="0" xfId="0" applyNumberFormat="1" applyFont="1" applyFill="1" applyBorder="1" applyAlignment="1" applyProtection="1">
      <alignment horizontal="right" vertical="center"/>
      <protection locked="0"/>
    </xf>
    <xf numFmtId="173" fontId="34" fillId="12" borderId="6" xfId="0" applyNumberFormat="1" applyFont="1" applyFill="1" applyBorder="1" applyAlignment="1" applyProtection="1">
      <alignment horizontal="center" vertical="center"/>
    </xf>
    <xf numFmtId="0" fontId="34" fillId="12" borderId="0" xfId="0" applyFont="1" applyFill="1" applyBorder="1" applyAlignment="1" applyProtection="1">
      <alignment horizontal="left" vertical="center"/>
    </xf>
    <xf numFmtId="0" fontId="35" fillId="12" borderId="0" xfId="0" applyFont="1" applyFill="1" applyBorder="1" applyAlignment="1" applyProtection="1">
      <alignment horizontal="center" vertical="center"/>
    </xf>
    <xf numFmtId="0" fontId="0" fillId="12" borderId="17" xfId="0" applyFill="1" applyBorder="1" applyAlignment="1" applyProtection="1">
      <alignment vertical="center"/>
    </xf>
    <xf numFmtId="173" fontId="34" fillId="15" borderId="12" xfId="0" applyNumberFormat="1" applyFont="1" applyFill="1" applyBorder="1" applyAlignment="1" applyProtection="1">
      <alignment horizontal="center" vertical="center"/>
    </xf>
    <xf numFmtId="173" fontId="34" fillId="12" borderId="10" xfId="0" applyNumberFormat="1" applyFont="1" applyFill="1" applyBorder="1" applyAlignment="1" applyProtection="1">
      <alignment horizontal="center" vertical="center"/>
    </xf>
    <xf numFmtId="173" fontId="34" fillId="15" borderId="10" xfId="0" applyNumberFormat="1" applyFont="1" applyFill="1" applyBorder="1" applyAlignment="1" applyProtection="1">
      <alignment horizontal="center" vertical="center"/>
    </xf>
    <xf numFmtId="0" fontId="34" fillId="12" borderId="1" xfId="0" applyFont="1" applyFill="1" applyBorder="1" applyAlignment="1" applyProtection="1">
      <alignment horizontal="left" vertical="center"/>
    </xf>
    <xf numFmtId="0" fontId="35" fillId="12" borderId="1" xfId="0" applyFont="1" applyFill="1" applyBorder="1" applyAlignment="1" applyProtection="1">
      <alignment horizontal="center" vertical="center"/>
    </xf>
    <xf numFmtId="0" fontId="0" fillId="12" borderId="7" xfId="0" applyFill="1" applyBorder="1" applyAlignment="1" applyProtection="1">
      <alignment vertical="center"/>
    </xf>
    <xf numFmtId="49" fontId="4" fillId="3" borderId="0" xfId="0" applyNumberFormat="1" applyFont="1" applyFill="1" applyAlignment="1" applyProtection="1">
      <alignment horizontal="center" vertical="center"/>
    </xf>
    <xf numFmtId="0" fontId="53" fillId="0" borderId="0" xfId="383" applyFont="1" applyAlignment="1">
      <alignment horizontal="left" vertical="center"/>
    </xf>
    <xf numFmtId="0" fontId="4" fillId="0" borderId="0" xfId="20" applyFont="1"/>
    <xf numFmtId="0" fontId="56" fillId="0" borderId="0" xfId="20" applyFont="1"/>
    <xf numFmtId="0" fontId="2" fillId="0" borderId="0" xfId="20"/>
    <xf numFmtId="0" fontId="4" fillId="0" borderId="0" xfId="0" applyFont="1" applyProtection="1">
      <protection locked="0"/>
    </xf>
    <xf numFmtId="0" fontId="4" fillId="2" borderId="3" xfId="0" applyFont="1" applyFill="1" applyBorder="1" applyAlignment="1" applyProtection="1">
      <alignment vertical="center"/>
      <protection locked="0"/>
    </xf>
    <xf numFmtId="164" fontId="4" fillId="8" borderId="3" xfId="0" applyNumberFormat="1" applyFont="1" applyFill="1" applyBorder="1" applyAlignment="1" applyProtection="1">
      <alignment vertical="center"/>
      <protection locked="0"/>
    </xf>
    <xf numFmtId="0" fontId="4" fillId="3" borderId="17" xfId="0" applyFont="1" applyFill="1" applyBorder="1" applyAlignment="1" applyProtection="1">
      <alignment vertical="center"/>
    </xf>
    <xf numFmtId="0" fontId="28" fillId="0" borderId="0" xfId="383"/>
    <xf numFmtId="174" fontId="13" fillId="0" borderId="0" xfId="383" applyNumberFormat="1" applyFont="1" applyAlignment="1">
      <alignment horizontal="left" vertical="center"/>
    </xf>
    <xf numFmtId="49" fontId="4" fillId="0" borderId="0" xfId="383" applyNumberFormat="1" applyFont="1" applyAlignment="1">
      <alignment horizontal="left" vertical="center"/>
    </xf>
    <xf numFmtId="0" fontId="13" fillId="0" borderId="0" xfId="383" applyFont="1" applyAlignment="1">
      <alignment horizontal="left" vertical="center"/>
    </xf>
    <xf numFmtId="175" fontId="13" fillId="0" borderId="0" xfId="383" applyNumberFormat="1" applyFont="1" applyAlignment="1">
      <alignment horizontal="left" vertical="center"/>
    </xf>
    <xf numFmtId="0" fontId="28" fillId="2" borderId="0" xfId="383" applyFill="1" applyAlignment="1" applyProtection="1">
      <alignment horizontal="left" vertical="center"/>
      <protection locked="0"/>
    </xf>
    <xf numFmtId="0" fontId="4" fillId="12" borderId="0" xfId="0" applyFont="1" applyFill="1" applyBorder="1" applyAlignment="1" applyProtection="1">
      <alignment vertical="center"/>
    </xf>
    <xf numFmtId="176" fontId="34" fillId="14" borderId="3" xfId="0" applyNumberFormat="1" applyFont="1" applyFill="1" applyBorder="1" applyAlignment="1" applyProtection="1">
      <alignment horizontal="center" vertical="center"/>
      <protection locked="0"/>
    </xf>
    <xf numFmtId="0" fontId="4" fillId="12" borderId="6" xfId="0" applyFont="1" applyFill="1" applyBorder="1" applyAlignment="1" applyProtection="1">
      <alignment vertical="center"/>
    </xf>
    <xf numFmtId="0" fontId="4" fillId="12" borderId="17" xfId="0" applyFont="1" applyFill="1" applyBorder="1" applyAlignment="1" applyProtection="1">
      <alignment vertical="center"/>
    </xf>
    <xf numFmtId="176" fontId="34" fillId="12" borderId="6" xfId="0" applyNumberFormat="1" applyFont="1" applyFill="1" applyBorder="1" applyAlignment="1" applyProtection="1">
      <alignment horizontal="center" vertical="center"/>
    </xf>
    <xf numFmtId="0" fontId="34" fillId="12" borderId="0" xfId="0" applyFont="1" applyFill="1" applyBorder="1" applyAlignment="1" applyProtection="1">
      <alignment horizontal="left" vertical="center"/>
    </xf>
    <xf numFmtId="0" fontId="34" fillId="12" borderId="17" xfId="0" applyFont="1" applyFill="1" applyBorder="1" applyAlignment="1" applyProtection="1">
      <alignment vertical="center"/>
    </xf>
    <xf numFmtId="0" fontId="34" fillId="12" borderId="0" xfId="0" applyFont="1" applyFill="1" applyBorder="1" applyAlignment="1" applyProtection="1">
      <alignment vertical="center"/>
    </xf>
    <xf numFmtId="176" fontId="34" fillId="12" borderId="12" xfId="0" applyNumberFormat="1" applyFont="1" applyFill="1" applyBorder="1" applyAlignment="1" applyProtection="1">
      <alignment horizontal="center" vertical="center"/>
    </xf>
    <xf numFmtId="176" fontId="34" fillId="12" borderId="6" xfId="0" applyNumberFormat="1" applyFont="1" applyFill="1" applyBorder="1" applyAlignment="1" applyProtection="1">
      <alignment vertical="center"/>
    </xf>
    <xf numFmtId="0" fontId="34" fillId="15" borderId="7" xfId="0" applyFont="1" applyFill="1" applyBorder="1" applyAlignment="1" applyProtection="1">
      <alignment vertical="center"/>
    </xf>
    <xf numFmtId="0" fontId="4" fillId="15" borderId="7" xfId="0" applyFont="1" applyFill="1" applyBorder="1" applyAlignment="1" applyProtection="1">
      <alignment vertical="center"/>
    </xf>
    <xf numFmtId="0" fontId="34" fillId="12" borderId="6" xfId="0" applyFont="1" applyFill="1" applyBorder="1" applyAlignment="1" applyProtection="1">
      <alignment horizontal="left" vertical="center"/>
    </xf>
    <xf numFmtId="0" fontId="34" fillId="12" borderId="6" xfId="0" applyFont="1" applyFill="1" applyBorder="1" applyAlignment="1" applyProtection="1">
      <alignment vertical="center"/>
    </xf>
    <xf numFmtId="176" fontId="34" fillId="12" borderId="17" xfId="0" applyNumberFormat="1" applyFont="1" applyFill="1" applyBorder="1" applyAlignment="1" applyProtection="1">
      <alignment horizontal="center" vertical="center"/>
    </xf>
    <xf numFmtId="176" fontId="13" fillId="12" borderId="6" xfId="0" applyNumberFormat="1" applyFont="1" applyFill="1" applyBorder="1" applyAlignment="1" applyProtection="1">
      <alignment horizontal="center" vertical="center"/>
    </xf>
    <xf numFmtId="0" fontId="13" fillId="12" borderId="0" xfId="0" applyFont="1" applyFill="1" applyBorder="1" applyAlignment="1" applyProtection="1">
      <alignment vertical="center"/>
    </xf>
    <xf numFmtId="176" fontId="13" fillId="12" borderId="12" xfId="0" applyNumberFormat="1" applyFont="1" applyFill="1" applyBorder="1" applyAlignment="1" applyProtection="1">
      <alignment horizontal="center" vertical="center"/>
    </xf>
    <xf numFmtId="176" fontId="13" fillId="12" borderId="6" xfId="0" applyNumberFormat="1" applyFont="1" applyFill="1" applyBorder="1" applyAlignment="1" applyProtection="1">
      <alignment vertical="center"/>
    </xf>
    <xf numFmtId="176" fontId="13" fillId="15" borderId="12" xfId="0" applyNumberFormat="1" applyFont="1" applyFill="1" applyBorder="1" applyAlignment="1" applyProtection="1">
      <alignment horizontal="center" vertical="center"/>
    </xf>
    <xf numFmtId="0" fontId="13" fillId="15" borderId="1" xfId="0" applyFont="1" applyFill="1" applyBorder="1" applyAlignment="1" applyProtection="1">
      <alignment vertical="center"/>
    </xf>
    <xf numFmtId="0" fontId="4" fillId="0" borderId="0" xfId="383" applyFont="1" applyAlignment="1">
      <alignment horizontal="left" vertical="center"/>
    </xf>
    <xf numFmtId="49" fontId="4" fillId="2" borderId="0" xfId="383" applyNumberFormat="1" applyFont="1" applyFill="1" applyAlignment="1" applyProtection="1">
      <alignment horizontal="left" vertical="center"/>
      <protection locked="0"/>
    </xf>
    <xf numFmtId="0" fontId="4" fillId="2" borderId="0" xfId="383" applyFont="1" applyFill="1" applyAlignment="1" applyProtection="1">
      <alignment horizontal="left" vertical="center"/>
      <protection locked="0"/>
    </xf>
    <xf numFmtId="0" fontId="57" fillId="0" borderId="0" xfId="383" applyFont="1"/>
    <xf numFmtId="174" fontId="58" fillId="0" borderId="0" xfId="383" applyNumberFormat="1" applyFont="1" applyAlignment="1">
      <alignment horizontal="left" vertical="center"/>
    </xf>
    <xf numFmtId="0" fontId="58" fillId="0" borderId="0" xfId="383" applyNumberFormat="1" applyFont="1" applyAlignment="1">
      <alignment horizontal="left" vertical="center"/>
    </xf>
    <xf numFmtId="1" fontId="58" fillId="0" borderId="0" xfId="383" applyNumberFormat="1" applyFont="1" applyAlignment="1">
      <alignment horizontal="left" vertical="center"/>
    </xf>
    <xf numFmtId="0" fontId="59" fillId="0" borderId="0" xfId="383" applyFont="1" applyAlignment="1">
      <alignment horizontal="left" vertical="center"/>
    </xf>
    <xf numFmtId="49" fontId="4" fillId="0" borderId="0" xfId="383" applyNumberFormat="1" applyFont="1" applyFill="1" applyAlignment="1" applyProtection="1">
      <alignment horizontal="left" vertical="center"/>
      <protection locked="0"/>
    </xf>
    <xf numFmtId="0" fontId="34" fillId="12" borderId="1" xfId="0" applyFont="1" applyFill="1" applyBorder="1" applyAlignment="1" applyProtection="1">
      <alignment horizontal="left" vertical="center"/>
    </xf>
    <xf numFmtId="0" fontId="35" fillId="12" borderId="1" xfId="0" applyFont="1" applyFill="1" applyBorder="1" applyAlignment="1" applyProtection="1">
      <alignment horizontal="center" vertical="center"/>
    </xf>
    <xf numFmtId="0" fontId="0" fillId="12" borderId="7" xfId="0" applyFill="1" applyBorder="1" applyAlignment="1" applyProtection="1">
      <alignment vertical="center"/>
    </xf>
    <xf numFmtId="176" fontId="36" fillId="15" borderId="8" xfId="0" applyNumberFormat="1" applyFont="1" applyFill="1" applyBorder="1" applyAlignment="1" applyProtection="1">
      <alignment horizontal="center" vertical="center"/>
    </xf>
    <xf numFmtId="0" fontId="35" fillId="12" borderId="0" xfId="0" applyFont="1" applyFill="1" applyBorder="1" applyAlignment="1" applyProtection="1">
      <alignment horizontal="center" vertical="center"/>
    </xf>
    <xf numFmtId="0" fontId="0" fillId="12" borderId="17" xfId="0" applyFill="1" applyBorder="1" applyAlignment="1" applyProtection="1">
      <alignment vertical="center"/>
    </xf>
    <xf numFmtId="0" fontId="4" fillId="15" borderId="0" xfId="0" applyFont="1" applyFill="1" applyBorder="1" applyAlignment="1" applyProtection="1">
      <alignment vertical="center"/>
    </xf>
    <xf numFmtId="0" fontId="34" fillId="15" borderId="0" xfId="0" applyFont="1" applyFill="1" applyBorder="1" applyAlignment="1" applyProtection="1">
      <alignment vertical="center"/>
    </xf>
    <xf numFmtId="0" fontId="36" fillId="15" borderId="6" xfId="0" applyFont="1" applyFill="1" applyBorder="1" applyAlignment="1" applyProtection="1">
      <alignment vertical="center"/>
    </xf>
    <xf numFmtId="176" fontId="36" fillId="15" borderId="7" xfId="0" applyNumberFormat="1" applyFont="1" applyFill="1" applyBorder="1" applyAlignment="1" applyProtection="1">
      <alignment horizontal="center" vertical="center"/>
      <protection locked="0"/>
    </xf>
    <xf numFmtId="37" fontId="4" fillId="3" borderId="17" xfId="0" applyNumberFormat="1" applyFont="1" applyFill="1" applyBorder="1" applyAlignment="1" applyProtection="1">
      <alignment horizontal="right" vertical="center"/>
    </xf>
    <xf numFmtId="173" fontId="36" fillId="12" borderId="8" xfId="0" applyNumberFormat="1" applyFont="1" applyFill="1" applyBorder="1" applyAlignment="1" applyProtection="1">
      <alignment horizontal="center" vertical="center"/>
    </xf>
    <xf numFmtId="176" fontId="34" fillId="15" borderId="12" xfId="0" applyNumberFormat="1" applyFont="1" applyFill="1" applyBorder="1" applyAlignment="1" applyProtection="1">
      <alignment horizontal="center" vertical="center"/>
    </xf>
    <xf numFmtId="0" fontId="34" fillId="15" borderId="1" xfId="0" applyFont="1" applyFill="1" applyBorder="1" applyAlignment="1" applyProtection="1">
      <alignment vertical="center"/>
    </xf>
    <xf numFmtId="0" fontId="43" fillId="12" borderId="1" xfId="0" applyFont="1" applyFill="1" applyBorder="1" applyAlignment="1">
      <alignment horizontal="left" vertical="center"/>
    </xf>
    <xf numFmtId="0" fontId="54" fillId="0" borderId="0" xfId="0" applyFont="1" applyProtection="1">
      <protection locked="0"/>
    </xf>
    <xf numFmtId="173" fontId="34" fillId="12" borderId="6" xfId="0" applyNumberFormat="1" applyFont="1" applyFill="1" applyBorder="1" applyAlignment="1" applyProtection="1">
      <alignment horizontal="center" vertical="center"/>
    </xf>
    <xf numFmtId="173" fontId="34" fillId="12" borderId="10" xfId="0" applyNumberFormat="1" applyFont="1" applyFill="1" applyBorder="1" applyAlignment="1" applyProtection="1">
      <alignment horizontal="center" vertical="center"/>
    </xf>
    <xf numFmtId="173" fontId="34" fillId="15" borderId="12" xfId="0" applyNumberFormat="1" applyFont="1" applyFill="1" applyBorder="1" applyAlignment="1" applyProtection="1">
      <alignment horizontal="center" vertical="center"/>
    </xf>
    <xf numFmtId="173" fontId="34" fillId="15" borderId="10" xfId="0" applyNumberFormat="1" applyFont="1" applyFill="1" applyBorder="1" applyAlignment="1" applyProtection="1">
      <alignment horizontal="center" vertical="center"/>
    </xf>
    <xf numFmtId="0" fontId="4" fillId="12" borderId="17" xfId="0" applyFont="1" applyFill="1" applyBorder="1" applyProtection="1">
      <protection locked="0"/>
    </xf>
    <xf numFmtId="0" fontId="4" fillId="15" borderId="7" xfId="0" applyFont="1" applyFill="1" applyBorder="1" applyProtection="1">
      <protection locked="0"/>
    </xf>
    <xf numFmtId="0" fontId="4" fillId="12" borderId="17" xfId="0" applyFont="1" applyFill="1" applyBorder="1" applyAlignment="1" applyProtection="1">
      <alignment vertical="center"/>
      <protection locked="0"/>
    </xf>
    <xf numFmtId="0" fontId="34" fillId="3" borderId="17" xfId="11" applyNumberFormat="1" applyFont="1" applyFill="1" applyBorder="1" applyAlignment="1" applyProtection="1">
      <alignment horizontal="center" vertical="center"/>
    </xf>
    <xf numFmtId="0" fontId="4" fillId="0" borderId="0" xfId="73" applyFont="1" applyAlignment="1">
      <alignment vertical="center"/>
    </xf>
    <xf numFmtId="0" fontId="4" fillId="0" borderId="0" xfId="400" applyFont="1" applyAlignment="1">
      <alignment vertical="center" wrapText="1"/>
    </xf>
    <xf numFmtId="0" fontId="4" fillId="0" borderId="0" xfId="21" applyFont="1" applyAlignment="1">
      <alignment vertical="center" wrapText="1"/>
    </xf>
    <xf numFmtId="0" fontId="4" fillId="0" borderId="0" xfId="22" applyFont="1" applyAlignment="1">
      <alignment vertical="center" wrapText="1"/>
    </xf>
    <xf numFmtId="0" fontId="4" fillId="0" borderId="0" xfId="40" applyFont="1" applyAlignment="1">
      <alignment vertical="center" wrapText="1"/>
    </xf>
    <xf numFmtId="0" fontId="4" fillId="0" borderId="0" xfId="30" applyFont="1" applyAlignment="1">
      <alignment vertical="center" wrapText="1"/>
    </xf>
    <xf numFmtId="0" fontId="4" fillId="0" borderId="0" xfId="62" applyFont="1" applyAlignment="1">
      <alignment vertical="center" wrapText="1"/>
    </xf>
    <xf numFmtId="0" fontId="4" fillId="0" borderId="0" xfId="69" applyFont="1" applyAlignment="1">
      <alignment vertical="center" wrapText="1"/>
    </xf>
    <xf numFmtId="0" fontId="4" fillId="0" borderId="0" xfId="91" applyFont="1" applyAlignment="1">
      <alignment vertical="center" wrapText="1"/>
    </xf>
    <xf numFmtId="179" fontId="4" fillId="8" borderId="3" xfId="27" applyNumberFormat="1" applyFont="1" applyFill="1" applyBorder="1" applyAlignment="1" applyProtection="1">
      <alignment vertical="center"/>
      <protection locked="0"/>
    </xf>
    <xf numFmtId="0" fontId="45" fillId="0" borderId="0" xfId="0" applyFont="1" applyAlignment="1" applyProtection="1">
      <alignment vertical="center"/>
    </xf>
    <xf numFmtId="0" fontId="2" fillId="18" borderId="0" xfId="27" applyFill="1"/>
    <xf numFmtId="0" fontId="2" fillId="18" borderId="0" xfId="22" applyFill="1"/>
    <xf numFmtId="0" fontId="10" fillId="18" borderId="0" xfId="11" applyFill="1" applyAlignment="1" applyProtection="1"/>
    <xf numFmtId="0" fontId="60" fillId="12" borderId="8" xfId="0" applyFont="1" applyFill="1" applyBorder="1" applyAlignment="1">
      <alignment horizontal="center" vertical="center"/>
    </xf>
    <xf numFmtId="0" fontId="3" fillId="12" borderId="2" xfId="0" applyFont="1" applyFill="1" applyBorder="1" applyAlignment="1">
      <alignment horizontal="centerContinuous" vertical="center"/>
    </xf>
    <xf numFmtId="0" fontId="60" fillId="12" borderId="8" xfId="0" applyFont="1" applyFill="1" applyBorder="1" applyAlignment="1">
      <alignment horizontal="center" vertical="center"/>
    </xf>
    <xf numFmtId="0" fontId="3" fillId="12" borderId="2" xfId="0" applyFont="1" applyFill="1" applyBorder="1" applyAlignment="1">
      <alignment horizontal="centerContinuous" vertical="center"/>
    </xf>
    <xf numFmtId="0" fontId="60" fillId="12" borderId="8" xfId="0" applyFont="1" applyFill="1" applyBorder="1" applyAlignment="1">
      <alignment horizontal="center" vertical="center"/>
    </xf>
    <xf numFmtId="0" fontId="3" fillId="12" borderId="2" xfId="0" applyFont="1" applyFill="1" applyBorder="1" applyAlignment="1">
      <alignment horizontal="centerContinuous" vertical="center"/>
    </xf>
    <xf numFmtId="0" fontId="60" fillId="12" borderId="8" xfId="0" applyFont="1" applyFill="1" applyBorder="1" applyAlignment="1">
      <alignment horizontal="center" vertical="center"/>
    </xf>
    <xf numFmtId="0" fontId="3" fillId="12" borderId="2" xfId="0" applyFont="1" applyFill="1" applyBorder="1" applyAlignment="1">
      <alignment horizontal="centerContinuous" vertical="center"/>
    </xf>
    <xf numFmtId="0" fontId="60" fillId="12" borderId="8" xfId="0" applyFont="1" applyFill="1" applyBorder="1" applyAlignment="1">
      <alignment horizontal="center" vertical="center"/>
    </xf>
    <xf numFmtId="0" fontId="3" fillId="12" borderId="2" xfId="0" applyFont="1" applyFill="1" applyBorder="1" applyAlignment="1">
      <alignment horizontal="centerContinuous" vertical="center"/>
    </xf>
    <xf numFmtId="0" fontId="60" fillId="12" borderId="8" xfId="0" applyFont="1" applyFill="1" applyBorder="1" applyAlignment="1">
      <alignment horizontal="center" vertical="center"/>
    </xf>
    <xf numFmtId="0" fontId="3" fillId="12" borderId="2" xfId="0" applyFont="1" applyFill="1" applyBorder="1" applyAlignment="1">
      <alignment horizontal="centerContinuous" vertical="center"/>
    </xf>
    <xf numFmtId="0" fontId="60" fillId="12" borderId="8" xfId="0" applyFont="1" applyFill="1" applyBorder="1" applyAlignment="1">
      <alignment horizontal="center" vertical="center"/>
    </xf>
    <xf numFmtId="0" fontId="3" fillId="12" borderId="2" xfId="0" applyFont="1" applyFill="1" applyBorder="1" applyAlignment="1">
      <alignment horizontal="centerContinuous" vertical="center"/>
    </xf>
    <xf numFmtId="0" fontId="60" fillId="12" borderId="8" xfId="0" applyFont="1" applyFill="1" applyBorder="1" applyAlignment="1">
      <alignment horizontal="center" vertical="center"/>
    </xf>
    <xf numFmtId="0" fontId="3" fillId="12" borderId="2" xfId="0" applyFont="1" applyFill="1" applyBorder="1" applyAlignment="1">
      <alignment horizontal="centerContinuous" vertical="center"/>
    </xf>
    <xf numFmtId="0" fontId="60" fillId="12" borderId="8" xfId="0" applyFont="1" applyFill="1" applyBorder="1" applyAlignment="1">
      <alignment horizontal="center" vertical="center"/>
    </xf>
    <xf numFmtId="0" fontId="3" fillId="12" borderId="2" xfId="0" applyFont="1" applyFill="1" applyBorder="1" applyAlignment="1">
      <alignment horizontal="centerContinuous" vertical="center"/>
    </xf>
    <xf numFmtId="0" fontId="60" fillId="12" borderId="8" xfId="0" applyFont="1" applyFill="1" applyBorder="1" applyAlignment="1">
      <alignment horizontal="center" vertical="center"/>
    </xf>
    <xf numFmtId="0" fontId="3" fillId="12" borderId="2" xfId="0" applyFont="1" applyFill="1" applyBorder="1" applyAlignment="1">
      <alignment horizontal="centerContinuous" vertical="center"/>
    </xf>
    <xf numFmtId="0" fontId="60" fillId="12" borderId="8" xfId="0" applyFont="1" applyFill="1" applyBorder="1" applyAlignment="1">
      <alignment horizontal="center" vertical="center"/>
    </xf>
    <xf numFmtId="0" fontId="3" fillId="12" borderId="2" xfId="0" applyFont="1" applyFill="1" applyBorder="1" applyAlignment="1">
      <alignment horizontal="centerContinuous" vertical="center"/>
    </xf>
    <xf numFmtId="0" fontId="60" fillId="12" borderId="8" xfId="0" applyFont="1" applyFill="1" applyBorder="1" applyAlignment="1">
      <alignment horizontal="center" vertical="center"/>
    </xf>
    <xf numFmtId="0" fontId="3" fillId="12" borderId="2" xfId="0" applyFont="1" applyFill="1" applyBorder="1" applyAlignment="1">
      <alignment horizontal="centerContinuous" vertical="center"/>
    </xf>
    <xf numFmtId="0" fontId="60" fillId="12" borderId="8" xfId="0" applyFont="1" applyFill="1" applyBorder="1" applyAlignment="1">
      <alignment horizontal="center" vertical="center"/>
    </xf>
    <xf numFmtId="0" fontId="36" fillId="12" borderId="10" xfId="0" applyFont="1" applyFill="1" applyBorder="1" applyAlignment="1">
      <alignment horizontal="centerContinuous" vertical="center"/>
    </xf>
    <xf numFmtId="0" fontId="3" fillId="12" borderId="2" xfId="0" applyFont="1" applyFill="1" applyBorder="1" applyAlignment="1">
      <alignment horizontal="centerContinuous" vertical="center"/>
    </xf>
    <xf numFmtId="0" fontId="4" fillId="0" borderId="0" xfId="0" applyFont="1" applyAlignment="1">
      <alignment wrapText="1"/>
    </xf>
    <xf numFmtId="49" fontId="4" fillId="8" borderId="3" xfId="0" applyNumberFormat="1" applyFont="1" applyFill="1" applyBorder="1" applyAlignment="1" applyProtection="1">
      <alignment horizontal="center" vertical="center"/>
      <protection locked="0"/>
    </xf>
    <xf numFmtId="0" fontId="4" fillId="14" borderId="0" xfId="383" applyFont="1" applyFill="1" applyAlignment="1" applyProtection="1">
      <alignment horizontal="left" vertical="center"/>
      <protection locked="0"/>
    </xf>
    <xf numFmtId="37" fontId="4" fillId="8" borderId="10" xfId="0" applyNumberFormat="1" applyFont="1" applyFill="1" applyBorder="1" applyProtection="1">
      <protection locked="0"/>
    </xf>
    <xf numFmtId="0" fontId="4" fillId="8" borderId="10" xfId="0" applyFont="1" applyFill="1" applyBorder="1" applyAlignment="1" applyProtection="1">
      <alignment horizontal="left"/>
      <protection locked="0"/>
    </xf>
    <xf numFmtId="0" fontId="4" fillId="8" borderId="3" xfId="0" applyFont="1" applyFill="1" applyBorder="1" applyAlignment="1" applyProtection="1">
      <alignment horizontal="left"/>
      <protection locked="0"/>
    </xf>
    <xf numFmtId="0" fontId="4" fillId="8" borderId="3" xfId="0" applyFont="1" applyFill="1" applyBorder="1" applyProtection="1">
      <protection locked="0"/>
    </xf>
    <xf numFmtId="0" fontId="4" fillId="8" borderId="10" xfId="0" applyFont="1" applyFill="1" applyBorder="1" applyProtection="1">
      <protection locked="0"/>
    </xf>
    <xf numFmtId="0" fontId="4" fillId="8" borderId="10" xfId="36" applyFont="1" applyFill="1" applyBorder="1" applyAlignment="1" applyProtection="1">
      <alignment horizontal="left" vertical="center"/>
      <protection locked="0"/>
    </xf>
    <xf numFmtId="0" fontId="4" fillId="2" borderId="5" xfId="0" applyFont="1" applyFill="1" applyBorder="1" applyAlignment="1" applyProtection="1">
      <alignment vertical="center"/>
      <protection locked="0"/>
    </xf>
    <xf numFmtId="0" fontId="4" fillId="2" borderId="3" xfId="0" applyFont="1" applyFill="1" applyBorder="1" applyProtection="1">
      <protection locked="0"/>
    </xf>
    <xf numFmtId="37" fontId="14" fillId="3" borderId="0" xfId="0" applyNumberFormat="1" applyFont="1" applyFill="1" applyAlignment="1" applyProtection="1">
      <alignment horizontal="center" vertical="center"/>
    </xf>
    <xf numFmtId="0" fontId="15"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6" fillId="3" borderId="0" xfId="0" applyFont="1" applyFill="1" applyBorder="1" applyAlignment="1">
      <alignment vertical="center"/>
    </xf>
    <xf numFmtId="0" fontId="19"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4" fillId="5" borderId="9" xfId="0" applyFont="1" applyFill="1" applyBorder="1" applyAlignment="1">
      <alignment vertical="center" wrapText="1"/>
    </xf>
    <xf numFmtId="0" fontId="0" fillId="0" borderId="9" xfId="0" applyBorder="1" applyAlignment="1">
      <alignment vertical="center" wrapText="1"/>
    </xf>
    <xf numFmtId="0" fontId="3"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4" fillId="0" borderId="0" xfId="383" applyFont="1" applyAlignment="1">
      <alignment horizontal="left" vertical="center" wrapText="1"/>
    </xf>
    <xf numFmtId="0" fontId="28" fillId="0" borderId="0" xfId="383" applyAlignment="1">
      <alignment horizontal="left" vertical="center" wrapText="1"/>
    </xf>
    <xf numFmtId="0" fontId="12" fillId="0" borderId="0" xfId="383" applyFont="1" applyAlignment="1">
      <alignment horizontal="left" vertical="center"/>
    </xf>
    <xf numFmtId="37" fontId="12" fillId="3" borderId="0" xfId="0" applyNumberFormat="1" applyFont="1" applyFill="1" applyAlignment="1" applyProtection="1">
      <alignment horizontal="center" vertical="center"/>
    </xf>
    <xf numFmtId="0" fontId="29"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0" fontId="0" fillId="0" borderId="0" xfId="0" applyAlignment="1">
      <alignment vertical="center"/>
    </xf>
    <xf numFmtId="0" fontId="8" fillId="4" borderId="4" xfId="0" applyFont="1" applyFill="1" applyBorder="1" applyAlignment="1" applyProtection="1">
      <alignment horizontal="center" vertical="center" wrapText="1" shrinkToFit="1"/>
    </xf>
    <xf numFmtId="0" fontId="0" fillId="0" borderId="5" xfId="0" applyBorder="1" applyAlignment="1">
      <alignment horizontal="center" vertical="center" wrapText="1"/>
    </xf>
    <xf numFmtId="0" fontId="4" fillId="0" borderId="0" xfId="0" applyFont="1" applyAlignment="1" applyProtection="1">
      <alignment horizontal="center"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center" vertical="center" wrapText="1"/>
    </xf>
    <xf numFmtId="37" fontId="3" fillId="3" borderId="0" xfId="0" applyNumberFormat="1" applyFont="1" applyFill="1" applyAlignment="1" applyProtection="1">
      <alignment horizontal="center" vertical="center"/>
    </xf>
    <xf numFmtId="0" fontId="3" fillId="3" borderId="0" xfId="0" applyFont="1" applyFill="1" applyAlignment="1" applyProtection="1">
      <alignment horizontal="center" vertical="center"/>
    </xf>
    <xf numFmtId="37" fontId="4" fillId="3" borderId="10" xfId="0" applyNumberFormat="1" applyFont="1" applyFill="1" applyBorder="1" applyAlignment="1" applyProtection="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4" fillId="3" borderId="12" xfId="0" applyFont="1" applyFill="1" applyBorder="1" applyAlignment="1" applyProtection="1">
      <alignment horizontal="center" vertical="center"/>
    </xf>
    <xf numFmtId="0" fontId="0" fillId="0" borderId="7" xfId="0" applyBorder="1" applyAlignment="1" applyProtection="1">
      <alignment vertical="center"/>
    </xf>
    <xf numFmtId="1" fontId="4" fillId="3" borderId="12" xfId="0" applyNumberFormat="1" applyFont="1" applyFill="1" applyBorder="1" applyAlignment="1" applyProtection="1">
      <alignment horizontal="center" vertical="center"/>
    </xf>
    <xf numFmtId="0" fontId="0" fillId="0" borderId="7" xfId="0" applyBorder="1" applyAlignment="1" applyProtection="1">
      <alignment horizontal="center" vertical="center"/>
    </xf>
    <xf numFmtId="0" fontId="12" fillId="12" borderId="0" xfId="399" applyFont="1" applyFill="1" applyAlignment="1">
      <alignment horizontal="center"/>
    </xf>
    <xf numFmtId="0" fontId="2" fillId="12" borderId="0" xfId="27" applyFill="1" applyAlignment="1">
      <alignment horizontal="center"/>
    </xf>
    <xf numFmtId="0" fontId="3" fillId="12" borderId="0" xfId="27" applyFont="1" applyFill="1" applyAlignment="1">
      <alignment horizontal="center" vertical="center"/>
    </xf>
    <xf numFmtId="0" fontId="12" fillId="12" borderId="0" xfId="27" applyFont="1" applyFill="1" applyAlignment="1">
      <alignment horizontal="center" vertical="center"/>
    </xf>
    <xf numFmtId="0" fontId="4" fillId="12" borderId="0" xfId="27" applyFont="1" applyFill="1" applyAlignment="1">
      <alignment vertical="center" wrapText="1"/>
    </xf>
    <xf numFmtId="0" fontId="35" fillId="12" borderId="15" xfId="35" applyFont="1" applyFill="1" applyBorder="1" applyAlignment="1" applyProtection="1">
      <alignment horizontal="center" vertical="center"/>
    </xf>
    <xf numFmtId="0" fontId="35" fillId="12" borderId="9" xfId="35" applyFont="1" applyFill="1" applyBorder="1" applyAlignment="1" applyProtection="1">
      <alignment horizontal="center" vertical="center"/>
    </xf>
    <xf numFmtId="0" fontId="2" fillId="0" borderId="14" xfId="35" applyBorder="1" applyAlignment="1" applyProtection="1">
      <alignment vertical="center"/>
    </xf>
    <xf numFmtId="3" fontId="4" fillId="3" borderId="9" xfId="39" applyNumberFormat="1" applyFont="1" applyFill="1" applyBorder="1" applyAlignment="1" applyProtection="1">
      <alignment horizontal="right" vertical="center"/>
    </xf>
    <xf numFmtId="0" fontId="2" fillId="0" borderId="14" xfId="39" applyBorder="1" applyAlignment="1">
      <alignment horizontal="right" vertical="center"/>
    </xf>
    <xf numFmtId="0" fontId="4" fillId="3" borderId="0" xfId="39" applyFont="1" applyFill="1" applyAlignment="1" applyProtection="1">
      <alignment horizontal="right" vertical="center"/>
    </xf>
    <xf numFmtId="0" fontId="4" fillId="0" borderId="17" xfId="39" applyFont="1" applyBorder="1" applyAlignment="1">
      <alignment horizontal="right" vertical="center"/>
    </xf>
    <xf numFmtId="0" fontId="4" fillId="3" borderId="0" xfId="0" applyNumberFormat="1" applyFont="1" applyFill="1" applyBorder="1" applyAlignment="1" applyProtection="1">
      <alignment horizontal="righ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9" xfId="0" applyBorder="1" applyAlignment="1">
      <alignment vertical="center"/>
    </xf>
    <xf numFmtId="0" fontId="0" fillId="0" borderId="14" xfId="0" applyBorder="1" applyAlignment="1">
      <alignment vertical="center"/>
    </xf>
    <xf numFmtId="173" fontId="35" fillId="12" borderId="15" xfId="0" applyNumberFormat="1" applyFont="1" applyFill="1" applyBorder="1" applyAlignment="1" applyProtection="1">
      <alignment horizontal="center"/>
    </xf>
    <xf numFmtId="0" fontId="15" fillId="0" borderId="9" xfId="0" applyFont="1" applyBorder="1" applyAlignment="1"/>
    <xf numFmtId="0" fontId="15" fillId="0" borderId="14" xfId="0" applyFont="1" applyBorder="1" applyAlignment="1"/>
    <xf numFmtId="0" fontId="35" fillId="12" borderId="15" xfId="0" applyFont="1" applyFill="1" applyBorder="1" applyAlignment="1" applyProtection="1">
      <alignment horizontal="center" vertical="center"/>
    </xf>
    <xf numFmtId="0" fontId="35" fillId="12" borderId="15" xfId="22" applyFont="1" applyFill="1" applyBorder="1" applyAlignment="1" applyProtection="1">
      <alignment horizontal="center" vertical="center"/>
    </xf>
    <xf numFmtId="0" fontId="2" fillId="0" borderId="9" xfId="22" applyBorder="1" applyAlignment="1">
      <alignment vertical="center"/>
    </xf>
    <xf numFmtId="0" fontId="2" fillId="0" borderId="14" xfId="22" applyBorder="1" applyAlignment="1">
      <alignment vertical="center"/>
    </xf>
    <xf numFmtId="0" fontId="4" fillId="3" borderId="0" xfId="11" applyNumberFormat="1" applyFont="1" applyFill="1" applyBorder="1" applyAlignment="1" applyProtection="1">
      <alignment horizontal="right" vertical="center"/>
    </xf>
    <xf numFmtId="0" fontId="4" fillId="0" borderId="0" xfId="11" applyFont="1" applyAlignment="1" applyProtection="1">
      <alignment horizontal="right" vertical="center"/>
    </xf>
    <xf numFmtId="0" fontId="38" fillId="12" borderId="15" xfId="35" applyFont="1" applyFill="1" applyBorder="1" applyAlignment="1" applyProtection="1">
      <alignment horizontal="center" vertical="center"/>
    </xf>
    <xf numFmtId="0" fontId="0" fillId="0" borderId="9" xfId="0" applyBorder="1" applyAlignment="1">
      <alignment horizontal="center" vertical="center"/>
    </xf>
    <xf numFmtId="0" fontId="43" fillId="0" borderId="9" xfId="22" applyFont="1" applyBorder="1" applyAlignment="1">
      <alignment horizontal="center" vertical="center"/>
    </xf>
    <xf numFmtId="0" fontId="0" fillId="0" borderId="14" xfId="0" applyBorder="1" applyAlignment="1"/>
    <xf numFmtId="0" fontId="43" fillId="0" borderId="9" xfId="0" applyFont="1" applyBorder="1" applyAlignment="1">
      <alignment horizontal="center" vertical="center"/>
    </xf>
    <xf numFmtId="0" fontId="3" fillId="3" borderId="10" xfId="0" applyFont="1" applyFill="1" applyBorder="1" applyAlignment="1">
      <alignment vertical="center"/>
    </xf>
    <xf numFmtId="0" fontId="3" fillId="3" borderId="8" xfId="0" applyFont="1" applyFill="1" applyBorder="1" applyAlignment="1">
      <alignment vertical="center"/>
    </xf>
    <xf numFmtId="0" fontId="12" fillId="12" borderId="15" xfId="36" applyFont="1" applyFill="1" applyBorder="1" applyAlignment="1" applyProtection="1">
      <alignment horizontal="center"/>
    </xf>
    <xf numFmtId="0" fontId="0" fillId="0" borderId="9" xfId="0" applyBorder="1" applyAlignment="1">
      <alignment horizontal="center"/>
    </xf>
    <xf numFmtId="0" fontId="0" fillId="0" borderId="14" xfId="0" applyBorder="1" applyAlignment="1">
      <alignment horizontal="center"/>
    </xf>
    <xf numFmtId="0" fontId="2" fillId="0" borderId="9" xfId="36" applyBorder="1" applyAlignment="1" applyProtection="1">
      <alignment horizontal="center"/>
    </xf>
    <xf numFmtId="0" fontId="2" fillId="0" borderId="14" xfId="36" applyBorder="1" applyAlignment="1" applyProtection="1">
      <alignment horizontal="center"/>
    </xf>
    <xf numFmtId="0" fontId="12" fillId="12" borderId="9" xfId="36" applyFont="1" applyFill="1" applyBorder="1" applyAlignment="1" applyProtection="1">
      <alignment horizontal="center"/>
    </xf>
    <xf numFmtId="0" fontId="12" fillId="12" borderId="14" xfId="36" applyFont="1" applyFill="1" applyBorder="1" applyAlignment="1" applyProtection="1">
      <alignment horizontal="center"/>
    </xf>
    <xf numFmtId="49" fontId="3" fillId="3" borderId="1"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37" fontId="4" fillId="12" borderId="0" xfId="0" applyNumberFormat="1" applyFont="1" applyFill="1" applyAlignment="1" applyProtection="1">
      <alignment horizontal="center" vertical="center"/>
    </xf>
    <xf numFmtId="37" fontId="4" fillId="12" borderId="0" xfId="61" applyNumberFormat="1" applyFont="1" applyFill="1" applyAlignment="1" applyProtection="1">
      <alignment horizontal="center"/>
    </xf>
    <xf numFmtId="0" fontId="4" fillId="3" borderId="0" xfId="0" applyFont="1" applyFill="1" applyAlignment="1">
      <alignment horizontal="right" vertical="center"/>
    </xf>
    <xf numFmtId="0" fontId="0" fillId="0" borderId="0" xfId="0" applyAlignment="1" applyProtection="1">
      <alignment vertical="center"/>
    </xf>
    <xf numFmtId="0" fontId="4" fillId="3" borderId="0" xfId="0" applyFont="1" applyFill="1" applyAlignment="1" applyProtection="1">
      <alignment horizontal="right" vertical="center"/>
    </xf>
    <xf numFmtId="0" fontId="4" fillId="0" borderId="0" xfId="0" applyFont="1" applyAlignment="1">
      <alignment horizontal="left" vertical="justify" wrapText="1"/>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right"/>
    </xf>
    <xf numFmtId="0" fontId="4" fillId="0" borderId="0" xfId="0" applyFont="1" applyAlignment="1" applyProtection="1">
      <alignment horizontal="left" vertical="justify"/>
      <protection locked="0"/>
    </xf>
    <xf numFmtId="0" fontId="40" fillId="12" borderId="26" xfId="0" applyFont="1" applyFill="1" applyBorder="1" applyAlignment="1">
      <alignment vertical="top" wrapText="1"/>
    </xf>
    <xf numFmtId="0" fontId="40" fillId="0" borderId="0" xfId="0" applyFont="1" applyAlignment="1">
      <alignment vertical="top" wrapText="1"/>
    </xf>
    <xf numFmtId="0" fontId="40" fillId="0" borderId="22" xfId="0" applyFont="1" applyBorder="1" applyAlignment="1">
      <alignment vertical="top" wrapText="1"/>
    </xf>
    <xf numFmtId="176" fontId="40" fillId="12" borderId="0" xfId="0" applyNumberFormat="1" applyFont="1" applyFill="1" applyBorder="1" applyAlignment="1">
      <alignment horizontal="center"/>
    </xf>
    <xf numFmtId="177" fontId="40" fillId="12" borderId="0" xfId="0" applyNumberFormat="1" applyFont="1" applyFill="1" applyBorder="1" applyAlignment="1">
      <alignment horizontal="center"/>
    </xf>
    <xf numFmtId="0" fontId="40" fillId="0" borderId="22" xfId="0" applyFont="1" applyBorder="1" applyAlignment="1">
      <alignment horizontal="center"/>
    </xf>
    <xf numFmtId="171" fontId="40" fillId="14" borderId="1" xfId="0" applyNumberFormat="1" applyFont="1" applyFill="1" applyBorder="1" applyAlignment="1" applyProtection="1">
      <alignment horizontal="center"/>
      <protection locked="0"/>
    </xf>
    <xf numFmtId="177" fontId="40" fillId="0" borderId="22" xfId="0" applyNumberFormat="1" applyFont="1" applyBorder="1" applyAlignment="1">
      <alignment horizontal="center"/>
    </xf>
    <xf numFmtId="0" fontId="40" fillId="12" borderId="9" xfId="0" applyFont="1" applyFill="1" applyBorder="1" applyAlignment="1">
      <alignment horizontal="center"/>
    </xf>
    <xf numFmtId="176" fontId="40" fillId="14" borderId="1" xfId="0" applyNumberFormat="1" applyFont="1" applyFill="1" applyBorder="1" applyAlignment="1" applyProtection="1">
      <alignment horizontal="center"/>
      <protection locked="0"/>
    </xf>
    <xf numFmtId="0" fontId="49" fillId="12" borderId="19" xfId="0" applyFont="1" applyFill="1" applyBorder="1" applyAlignment="1">
      <alignment horizontal="center" vertical="center"/>
    </xf>
    <xf numFmtId="0" fontId="49" fillId="12" borderId="0" xfId="0" applyFont="1" applyFill="1" applyAlignment="1">
      <alignment horizontal="center" wrapText="1"/>
    </xf>
    <xf numFmtId="0" fontId="40" fillId="12" borderId="0" xfId="0" applyFont="1" applyFill="1" applyAlignment="1">
      <alignment wrapText="1"/>
    </xf>
    <xf numFmtId="5" fontId="40" fillId="12" borderId="1" xfId="0" applyNumberFormat="1" applyFont="1" applyFill="1" applyBorder="1" applyAlignment="1">
      <alignment horizontal="center"/>
    </xf>
    <xf numFmtId="0" fontId="40" fillId="12" borderId="0" xfId="0" applyFont="1" applyFill="1" applyBorder="1" applyAlignment="1">
      <alignment horizontal="center"/>
    </xf>
    <xf numFmtId="0" fontId="40" fillId="0" borderId="19" xfId="0" applyFont="1" applyBorder="1" applyAlignment="1">
      <alignment horizontal="center" vertical="center"/>
    </xf>
    <xf numFmtId="0" fontId="40" fillId="0" borderId="0" xfId="0" applyFont="1" applyAlignment="1">
      <alignment wrapText="1"/>
    </xf>
    <xf numFmtId="176" fontId="40" fillId="14" borderId="21" xfId="0" applyNumberFormat="1" applyFont="1" applyFill="1" applyBorder="1" applyAlignment="1" applyProtection="1">
      <alignment horizontal="center"/>
      <protection locked="0"/>
    </xf>
    <xf numFmtId="0" fontId="40" fillId="12" borderId="0" xfId="0" applyFont="1" applyFill="1" applyBorder="1" applyAlignment="1"/>
    <xf numFmtId="0" fontId="40" fillId="0" borderId="0" xfId="0" applyFont="1" applyBorder="1" applyAlignment="1"/>
    <xf numFmtId="0" fontId="40" fillId="12" borderId="24" xfId="0" applyFont="1" applyFill="1" applyBorder="1" applyAlignment="1"/>
    <xf numFmtId="0" fontId="40" fillId="12" borderId="25" xfId="0" applyFont="1" applyFill="1" applyBorder="1" applyAlignment="1"/>
    <xf numFmtId="0" fontId="49" fillId="12" borderId="0" xfId="0" applyFont="1" applyFill="1" applyAlignment="1">
      <alignment horizontal="center"/>
    </xf>
    <xf numFmtId="0" fontId="40" fillId="12" borderId="0" xfId="0" applyFont="1" applyFill="1" applyBorder="1" applyAlignment="1">
      <alignment wrapText="1"/>
    </xf>
    <xf numFmtId="0" fontId="49" fillId="12" borderId="0" xfId="0" applyFont="1" applyFill="1" applyBorder="1" applyAlignment="1">
      <alignment horizontal="center" wrapText="1"/>
    </xf>
    <xf numFmtId="0" fontId="40" fillId="0" borderId="0" xfId="0" applyFont="1" applyAlignment="1">
      <alignment horizontal="center" wrapText="1"/>
    </xf>
    <xf numFmtId="0" fontId="49" fillId="0" borderId="0" xfId="0" applyFont="1" applyAlignment="1">
      <alignment horizontal="center" wrapText="1"/>
    </xf>
    <xf numFmtId="0" fontId="49" fillId="12" borderId="0" xfId="0" applyFont="1" applyFill="1" applyAlignment="1">
      <alignment horizontal="center" vertical="center"/>
    </xf>
    <xf numFmtId="0" fontId="49" fillId="0" borderId="0" xfId="0" applyFont="1" applyAlignment="1">
      <alignment horizontal="center" vertical="center"/>
    </xf>
    <xf numFmtId="176" fontId="40" fillId="12" borderId="0" xfId="0" applyNumberFormat="1" applyFont="1" applyFill="1" applyAlignment="1"/>
    <xf numFmtId="176" fontId="40" fillId="12" borderId="0" xfId="0" applyNumberFormat="1" applyFont="1" applyFill="1" applyAlignment="1">
      <alignment horizontal="center"/>
    </xf>
  </cellXfs>
  <cellStyles count="408">
    <cellStyle name="Comma" xfId="1" builtinId="3"/>
    <cellStyle name="Comma 11 2" xfId="2"/>
    <cellStyle name="Comma 16" xfId="3"/>
    <cellStyle name="Comma 16 2" xfId="4"/>
    <cellStyle name="Comma 16 3" xfId="5"/>
    <cellStyle name="Comma 2 2" xfId="6"/>
    <cellStyle name="Comma 4 2" xfId="7"/>
    <cellStyle name="Comma 7" xfId="8"/>
    <cellStyle name="Comma 7 2" xfId="9"/>
    <cellStyle name="Comma 7 3" xfId="10"/>
    <cellStyle name="Hyperlink" xfId="11" builtinId="8"/>
    <cellStyle name="Hyperlink 2 2" xfId="12"/>
    <cellStyle name="Hyperlink 3 2" xfId="13"/>
    <cellStyle name="Hyperlink 3 3" xfId="14"/>
    <cellStyle name="Hyperlink 4 2" xfId="15"/>
    <cellStyle name="Hyperlink 7" xfId="16"/>
    <cellStyle name="Hyperlink 7 2" xfId="17"/>
    <cellStyle name="Hyperlink 8" xfId="18"/>
    <cellStyle name="Hyperlink 8 2" xfId="19"/>
    <cellStyle name="Normal" xfId="0" builtinId="0"/>
    <cellStyle name="Normal 10" xfId="20"/>
    <cellStyle name="Normal 10 2" xfId="21"/>
    <cellStyle name="Normal 10 2 2" xfId="22"/>
    <cellStyle name="Normal 10 2 2 2" xfId="23"/>
    <cellStyle name="Normal 10 2 2 3" xfId="24"/>
    <cellStyle name="Normal 10 3" xfId="25"/>
    <cellStyle name="Normal 10 4" xfId="26"/>
    <cellStyle name="Normal 10 5" xfId="27"/>
    <cellStyle name="Normal 10 6" xfId="28"/>
    <cellStyle name="Normal 10 7" xfId="29"/>
    <cellStyle name="Normal 11 2" xfId="30"/>
    <cellStyle name="Normal 11 2 2" xfId="31"/>
    <cellStyle name="Normal 11 3" xfId="32"/>
    <cellStyle name="Normal 11 4" xfId="33"/>
    <cellStyle name="Normal 11 5" xfId="34"/>
    <cellStyle name="Normal 12" xfId="35"/>
    <cellStyle name="Normal 12 10" xfId="36"/>
    <cellStyle name="Normal 12 11" xfId="37"/>
    <cellStyle name="Normal 12 12" xfId="38"/>
    <cellStyle name="Normal 12 2" xfId="39"/>
    <cellStyle name="Normal 12 2 2" xfId="40"/>
    <cellStyle name="Normal 12 3" xfId="41"/>
    <cellStyle name="Normal 12 4" xfId="42"/>
    <cellStyle name="Normal 12 5" xfId="43"/>
    <cellStyle name="Normal 12 6" xfId="44"/>
    <cellStyle name="Normal 12 7" xfId="45"/>
    <cellStyle name="Normal 12 8" xfId="46"/>
    <cellStyle name="Normal 12 9" xfId="47"/>
    <cellStyle name="Normal 13" xfId="48"/>
    <cellStyle name="Normal 13 10" xfId="49"/>
    <cellStyle name="Normal 13 11" xfId="50"/>
    <cellStyle name="Normal 13 12" xfId="51"/>
    <cellStyle name="Normal 13 2" xfId="52"/>
    <cellStyle name="Normal 13 2 2" xfId="53"/>
    <cellStyle name="Normal 13 3" xfId="54"/>
    <cellStyle name="Normal 13 4" xfId="55"/>
    <cellStyle name="Normal 13 5" xfId="56"/>
    <cellStyle name="Normal 13 6" xfId="57"/>
    <cellStyle name="Normal 13 7" xfId="58"/>
    <cellStyle name="Normal 13 8" xfId="59"/>
    <cellStyle name="Normal 13 9" xfId="60"/>
    <cellStyle name="Normal 14" xfId="61"/>
    <cellStyle name="Normal 14 2" xfId="62"/>
    <cellStyle name="Normal 14 3" xfId="63"/>
    <cellStyle name="Normal 14 4" xfId="64"/>
    <cellStyle name="Normal 14 5" xfId="65"/>
    <cellStyle name="Normal 14 6" xfId="66"/>
    <cellStyle name="Normal 14 7" xfId="67"/>
    <cellStyle name="Normal 15" xfId="68"/>
    <cellStyle name="Normal 15 2" xfId="69"/>
    <cellStyle name="Normal 15 3" xfId="70"/>
    <cellStyle name="Normal 15 4" xfId="71"/>
    <cellStyle name="Normal 16" xfId="72"/>
    <cellStyle name="Normal 16 2" xfId="73"/>
    <cellStyle name="Normal 16 3" xfId="74"/>
    <cellStyle name="Normal 16 4" xfId="75"/>
    <cellStyle name="Normal 17 2" xfId="76"/>
    <cellStyle name="Normal 17 3" xfId="77"/>
    <cellStyle name="Normal 17 4" xfId="78"/>
    <cellStyle name="Normal 18" xfId="79"/>
    <cellStyle name="Normal 18 2" xfId="80"/>
    <cellStyle name="Normal 18 2 2" xfId="81"/>
    <cellStyle name="Normal 18 2 3" xfId="82"/>
    <cellStyle name="Normal 18 3" xfId="83"/>
    <cellStyle name="Normal 18 4" xfId="84"/>
    <cellStyle name="Normal 18 5" xfId="85"/>
    <cellStyle name="Normal 18 6" xfId="86"/>
    <cellStyle name="Normal 18 7" xfId="87"/>
    <cellStyle name="Normal 18 8" xfId="88"/>
    <cellStyle name="Normal 19 2" xfId="89"/>
    <cellStyle name="Normal 19 2 2" xfId="90"/>
    <cellStyle name="Normal 19 2 3" xfId="91"/>
    <cellStyle name="Normal 19 3" xfId="92"/>
    <cellStyle name="Normal 19 4" xfId="93"/>
    <cellStyle name="Normal 19 5" xfId="94"/>
    <cellStyle name="Normal 19 6" xfId="95"/>
    <cellStyle name="Normal 19 7" xfId="96"/>
    <cellStyle name="Normal 2 10" xfId="97"/>
    <cellStyle name="Normal 2 10 10" xfId="98"/>
    <cellStyle name="Normal 2 10 11" xfId="99"/>
    <cellStyle name="Normal 2 10 2" xfId="100"/>
    <cellStyle name="Normal 2 10 2 2" xfId="101"/>
    <cellStyle name="Normal 2 10 3" xfId="102"/>
    <cellStyle name="Normal 2 10 3 2" xfId="103"/>
    <cellStyle name="Normal 2 10 4" xfId="104"/>
    <cellStyle name="Normal 2 10 4 2" xfId="105"/>
    <cellStyle name="Normal 2 10 5" xfId="106"/>
    <cellStyle name="Normal 2 10 5 2" xfId="107"/>
    <cellStyle name="Normal 2 10 6" xfId="108"/>
    <cellStyle name="Normal 2 10 6 2" xfId="109"/>
    <cellStyle name="Normal 2 10 7" xfId="110"/>
    <cellStyle name="Normal 2 10 7 2" xfId="111"/>
    <cellStyle name="Normal 2 10 8" xfId="112"/>
    <cellStyle name="Normal 2 10 8 2" xfId="113"/>
    <cellStyle name="Normal 2 10 9" xfId="114"/>
    <cellStyle name="Normal 2 11" xfId="115"/>
    <cellStyle name="Normal 2 11 10" xfId="116"/>
    <cellStyle name="Normal 2 11 11" xfId="117"/>
    <cellStyle name="Normal 2 11 2" xfId="118"/>
    <cellStyle name="Normal 2 11 2 2" xfId="119"/>
    <cellStyle name="Normal 2 11 3" xfId="120"/>
    <cellStyle name="Normal 2 11 3 2" xfId="121"/>
    <cellStyle name="Normal 2 11 4" xfId="122"/>
    <cellStyle name="Normal 2 11 4 2" xfId="123"/>
    <cellStyle name="Normal 2 11 5" xfId="124"/>
    <cellStyle name="Normal 2 11 5 2" xfId="125"/>
    <cellStyle name="Normal 2 11 6" xfId="126"/>
    <cellStyle name="Normal 2 11 6 2" xfId="127"/>
    <cellStyle name="Normal 2 11 7" xfId="128"/>
    <cellStyle name="Normal 2 11 7 2" xfId="129"/>
    <cellStyle name="Normal 2 11 8" xfId="130"/>
    <cellStyle name="Normal 2 11 8 2"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0 2" xfId="140"/>
    <cellStyle name="Normal 2 2 11" xfId="141"/>
    <cellStyle name="Normal 2 2 11 2" xfId="142"/>
    <cellStyle name="Normal 2 2 12" xfId="143"/>
    <cellStyle name="Normal 2 2 12 2" xfId="144"/>
    <cellStyle name="Normal 2 2 12 2 2" xfId="145"/>
    <cellStyle name="Normal 2 2 12 2 3" xfId="146"/>
    <cellStyle name="Normal 2 2 12 3" xfId="147"/>
    <cellStyle name="Normal 2 2 12 4" xfId="148"/>
    <cellStyle name="Normal 2 2 13" xfId="149"/>
    <cellStyle name="Normal 2 2 13 2" xfId="150"/>
    <cellStyle name="Normal 2 2 13 2 2" xfId="151"/>
    <cellStyle name="Normal 2 2 13 2 3" xfId="152"/>
    <cellStyle name="Normal 2 2 13 3" xfId="153"/>
    <cellStyle name="Normal 2 2 13 4" xfId="154"/>
    <cellStyle name="Normal 2 2 14" xfId="155"/>
    <cellStyle name="Normal 2 2 14 2" xfId="156"/>
    <cellStyle name="Normal 2 2 15" xfId="157"/>
    <cellStyle name="Normal 2 2 15 2" xfId="158"/>
    <cellStyle name="Normal 2 2 16" xfId="159"/>
    <cellStyle name="Normal 2 2 16 2" xfId="160"/>
    <cellStyle name="Normal 2 2 16 3" xfId="161"/>
    <cellStyle name="Normal 2 2 17" xfId="162"/>
    <cellStyle name="Normal 2 2 18" xfId="163"/>
    <cellStyle name="Normal 2 2 19" xfId="164"/>
    <cellStyle name="Normal 2 2 2" xfId="165"/>
    <cellStyle name="Normal 2 2 2 2" xfId="166"/>
    <cellStyle name="Normal 2 2 2 2 2" xfId="167"/>
    <cellStyle name="Normal 2 2 2 2 3" xfId="168"/>
    <cellStyle name="Normal 2 2 2 3" xfId="169"/>
    <cellStyle name="Normal 2 2 2 3 2" xfId="170"/>
    <cellStyle name="Normal 2 2 2 4" xfId="171"/>
    <cellStyle name="Normal 2 2 2 4 2" xfId="172"/>
    <cellStyle name="Normal 2 2 2 5" xfId="173"/>
    <cellStyle name="Normal 2 2 2 5 2" xfId="174"/>
    <cellStyle name="Normal 2 2 2 6" xfId="175"/>
    <cellStyle name="Normal 2 2 2 6 2" xfId="176"/>
    <cellStyle name="Normal 2 2 2 7" xfId="177"/>
    <cellStyle name="Normal 2 2 2 8" xfId="178"/>
    <cellStyle name="Normal 2 2 20" xfId="179"/>
    <cellStyle name="Normal 2 2 21" xfId="180"/>
    <cellStyle name="Normal 2 2 3" xfId="181"/>
    <cellStyle name="Normal 2 2 3 2" xfId="182"/>
    <cellStyle name="Normal 2 2 4" xfId="183"/>
    <cellStyle name="Normal 2 2 4 2" xfId="184"/>
    <cellStyle name="Normal 2 2 5" xfId="185"/>
    <cellStyle name="Normal 2 2 5 2" xfId="186"/>
    <cellStyle name="Normal 2 2 6" xfId="187"/>
    <cellStyle name="Normal 2 2 6 2" xfId="188"/>
    <cellStyle name="Normal 2 2 7" xfId="189"/>
    <cellStyle name="Normal 2 2 7 2" xfId="190"/>
    <cellStyle name="Normal 2 2 8" xfId="191"/>
    <cellStyle name="Normal 2 2 8 2" xfId="192"/>
    <cellStyle name="Normal 2 2 9" xfId="193"/>
    <cellStyle name="Normal 2 2 9 2" xfId="194"/>
    <cellStyle name="Normal 2 3" xfId="195"/>
    <cellStyle name="Normal 2 3 10" xfId="196"/>
    <cellStyle name="Normal 2 3 11" xfId="197"/>
    <cellStyle name="Normal 2 3 12" xfId="198"/>
    <cellStyle name="Normal 2 3 13" xfId="199"/>
    <cellStyle name="Normal 2 3 14" xfId="200"/>
    <cellStyle name="Normal 2 3 15" xfId="201"/>
    <cellStyle name="Normal 2 3 2" xfId="202"/>
    <cellStyle name="Normal 2 3 2 2" xfId="203"/>
    <cellStyle name="Normal 2 3 2 2 2" xfId="204"/>
    <cellStyle name="Normal 2 3 2 2 3" xfId="205"/>
    <cellStyle name="Normal 2 3 2 3" xfId="206"/>
    <cellStyle name="Normal 2 3 2 4" xfId="207"/>
    <cellStyle name="Normal 2 3 2 5" xfId="208"/>
    <cellStyle name="Normal 2 3 3" xfId="209"/>
    <cellStyle name="Normal 2 3 3 2" xfId="210"/>
    <cellStyle name="Normal 2 3 3 3" xfId="211"/>
    <cellStyle name="Normal 2 3 4" xfId="212"/>
    <cellStyle name="Normal 2 3 5" xfId="213"/>
    <cellStyle name="Normal 2 3 6" xfId="214"/>
    <cellStyle name="Normal 2 3 7" xfId="215"/>
    <cellStyle name="Normal 2 3 8" xfId="216"/>
    <cellStyle name="Normal 2 3 9" xfId="217"/>
    <cellStyle name="Normal 2 4" xfId="218"/>
    <cellStyle name="Normal 2 4 10" xfId="219"/>
    <cellStyle name="Normal 2 4 11" xfId="220"/>
    <cellStyle name="Normal 2 4 12" xfId="221"/>
    <cellStyle name="Normal 2 4 13" xfId="222"/>
    <cellStyle name="Normal 2 4 2" xfId="223"/>
    <cellStyle name="Normal 2 4 2 2" xfId="224"/>
    <cellStyle name="Normal 2 4 2 2 2" xfId="225"/>
    <cellStyle name="Normal 2 4 2 2 3" xfId="226"/>
    <cellStyle name="Normal 2 4 2 3" xfId="227"/>
    <cellStyle name="Normal 2 4 2 4" xfId="228"/>
    <cellStyle name="Normal 2 4 2 5" xfId="229"/>
    <cellStyle name="Normal 2 4 3" xfId="230"/>
    <cellStyle name="Normal 2 4 3 2" xfId="231"/>
    <cellStyle name="Normal 2 4 3 3" xfId="232"/>
    <cellStyle name="Normal 2 4 4" xfId="233"/>
    <cellStyle name="Normal 2 4 5" xfId="234"/>
    <cellStyle name="Normal 2 4 6" xfId="235"/>
    <cellStyle name="Normal 2 4 7" xfId="236"/>
    <cellStyle name="Normal 2 4 8" xfId="237"/>
    <cellStyle name="Normal 2 4 9" xfId="238"/>
    <cellStyle name="Normal 2 5" xfId="239"/>
    <cellStyle name="Normal 2 5 10" xfId="240"/>
    <cellStyle name="Normal 2 5 11" xfId="241"/>
    <cellStyle name="Normal 2 5 12" xfId="242"/>
    <cellStyle name="Normal 2 5 12 2" xfId="243"/>
    <cellStyle name="Normal 2 5 2" xfId="244"/>
    <cellStyle name="Normal 2 5 2 2" xfId="245"/>
    <cellStyle name="Normal 2 5 3" xfId="246"/>
    <cellStyle name="Normal 2 5 3 2" xfId="247"/>
    <cellStyle name="Normal 2 5 4" xfId="248"/>
    <cellStyle name="Normal 2 5 5" xfId="249"/>
    <cellStyle name="Normal 2 5 6" xfId="250"/>
    <cellStyle name="Normal 2 5 7" xfId="251"/>
    <cellStyle name="Normal 2 5 8" xfId="252"/>
    <cellStyle name="Normal 2 5 9" xfId="253"/>
    <cellStyle name="Normal 2 6" xfId="254"/>
    <cellStyle name="Normal 2 6 10" xfId="255"/>
    <cellStyle name="Normal 2 6 11" xfId="256"/>
    <cellStyle name="Normal 2 6 12" xfId="257"/>
    <cellStyle name="Normal 2 6 2" xfId="258"/>
    <cellStyle name="Normal 2 6 2 2" xfId="259"/>
    <cellStyle name="Normal 2 6 3" xfId="260"/>
    <cellStyle name="Normal 2 6 3 2" xfId="261"/>
    <cellStyle name="Normal 2 6 4" xfId="262"/>
    <cellStyle name="Normal 2 6 5" xfId="263"/>
    <cellStyle name="Normal 2 6 6" xfId="264"/>
    <cellStyle name="Normal 2 6 7" xfId="265"/>
    <cellStyle name="Normal 2 6 8" xfId="266"/>
    <cellStyle name="Normal 2 6 9" xfId="267"/>
    <cellStyle name="Normal 2 7" xfId="268"/>
    <cellStyle name="Normal 2 7 10" xfId="269"/>
    <cellStyle name="Normal 2 7 2" xfId="270"/>
    <cellStyle name="Normal 2 7 2 2" xfId="271"/>
    <cellStyle name="Normal 2 7 2 3" xfId="272"/>
    <cellStyle name="Normal 2 7 3" xfId="273"/>
    <cellStyle name="Normal 2 7 3 2" xfId="274"/>
    <cellStyle name="Normal 2 7 4" xfId="275"/>
    <cellStyle name="Normal 2 7 4 2" xfId="276"/>
    <cellStyle name="Normal 2 7 5" xfId="277"/>
    <cellStyle name="Normal 2 7 5 2" xfId="278"/>
    <cellStyle name="Normal 2 7 6" xfId="279"/>
    <cellStyle name="Normal 2 7 6 2" xfId="280"/>
    <cellStyle name="Normal 2 7 7" xfId="281"/>
    <cellStyle name="Normal 2 7 7 2" xfId="282"/>
    <cellStyle name="Normal 2 7 8" xfId="283"/>
    <cellStyle name="Normal 2 7 8 2" xfId="284"/>
    <cellStyle name="Normal 2 7 9" xfId="285"/>
    <cellStyle name="Normal 2 8" xfId="286"/>
    <cellStyle name="Normal 2 8 10" xfId="287"/>
    <cellStyle name="Normal 2 8 11" xfId="288"/>
    <cellStyle name="Normal 2 8 2" xfId="289"/>
    <cellStyle name="Normal 2 8 2 2" xfId="290"/>
    <cellStyle name="Normal 2 8 3" xfId="291"/>
    <cellStyle name="Normal 2 8 3 2" xfId="292"/>
    <cellStyle name="Normal 2 8 4" xfId="293"/>
    <cellStyle name="Normal 2 8 4 2" xfId="294"/>
    <cellStyle name="Normal 2 8 5" xfId="295"/>
    <cellStyle name="Normal 2 8 5 2" xfId="296"/>
    <cellStyle name="Normal 2 8 6" xfId="297"/>
    <cellStyle name="Normal 2 8 6 2" xfId="298"/>
    <cellStyle name="Normal 2 8 7" xfId="299"/>
    <cellStyle name="Normal 2 8 7 2" xfId="300"/>
    <cellStyle name="Normal 2 8 8" xfId="301"/>
    <cellStyle name="Normal 2 8 8 2" xfId="302"/>
    <cellStyle name="Normal 2 8 9" xfId="303"/>
    <cellStyle name="Normal 2 9" xfId="304"/>
    <cellStyle name="Normal 2 9 10" xfId="305"/>
    <cellStyle name="Normal 2 9 11" xfId="306"/>
    <cellStyle name="Normal 2 9 2" xfId="307"/>
    <cellStyle name="Normal 2 9 2 2" xfId="308"/>
    <cellStyle name="Normal 2 9 3" xfId="309"/>
    <cellStyle name="Normal 2 9 3 2" xfId="310"/>
    <cellStyle name="Normal 2 9 4" xfId="311"/>
    <cellStyle name="Normal 2 9 4 2" xfId="312"/>
    <cellStyle name="Normal 2 9 5" xfId="313"/>
    <cellStyle name="Normal 2 9 5 2" xfId="314"/>
    <cellStyle name="Normal 2 9 6" xfId="315"/>
    <cellStyle name="Normal 2 9 6 2" xfId="316"/>
    <cellStyle name="Normal 2 9 7" xfId="317"/>
    <cellStyle name="Normal 2 9 7 2" xfId="318"/>
    <cellStyle name="Normal 2 9 8" xfId="319"/>
    <cellStyle name="Normal 2 9 8 2" xfId="320"/>
    <cellStyle name="Normal 2 9 9" xfId="321"/>
    <cellStyle name="Normal 20" xfId="322"/>
    <cellStyle name="Normal 20 2" xfId="323"/>
    <cellStyle name="Normal 20 3" xfId="324"/>
    <cellStyle name="Normal 21" xfId="325"/>
    <cellStyle name="Normal 21 2" xfId="326"/>
    <cellStyle name="Normal 22" xfId="327"/>
    <cellStyle name="Normal 22 2" xfId="328"/>
    <cellStyle name="Normal 22 3" xfId="329"/>
    <cellStyle name="Normal 23" xfId="330"/>
    <cellStyle name="Normal 23 2" xfId="331"/>
    <cellStyle name="Normal 23 3" xfId="332"/>
    <cellStyle name="Normal 24" xfId="333"/>
    <cellStyle name="Normal 24 2" xfId="334"/>
    <cellStyle name="Normal 24 3" xfId="335"/>
    <cellStyle name="Normal 25" xfId="336"/>
    <cellStyle name="Normal 25 2" xfId="337"/>
    <cellStyle name="Normal 25 3" xfId="338"/>
    <cellStyle name="Normal 26" xfId="339"/>
    <cellStyle name="Normal 3" xfId="340"/>
    <cellStyle name="Normal 3 2" xfId="341"/>
    <cellStyle name="Normal 3 2 2" xfId="342"/>
    <cellStyle name="Normal 3 2 2 2" xfId="343"/>
    <cellStyle name="Normal 3 2 2 3" xfId="344"/>
    <cellStyle name="Normal 3 2 3" xfId="345"/>
    <cellStyle name="Normal 3 2 4" xfId="346"/>
    <cellStyle name="Normal 3 2 5" xfId="347"/>
    <cellStyle name="Normal 3 3" xfId="348"/>
    <cellStyle name="Normal 3 3 2" xfId="349"/>
    <cellStyle name="Normal 3 3 2 2" xfId="350"/>
    <cellStyle name="Normal 3 3 2 3" xfId="351"/>
    <cellStyle name="Normal 3 3 3" xfId="352"/>
    <cellStyle name="Normal 3 3 4" xfId="353"/>
    <cellStyle name="Normal 3 4" xfId="354"/>
    <cellStyle name="Normal 3 5" xfId="355"/>
    <cellStyle name="Normal 3 6" xfId="356"/>
    <cellStyle name="Normal 3 7" xfId="357"/>
    <cellStyle name="Normal 3 8" xfId="358"/>
    <cellStyle name="Normal 3 9" xfId="359"/>
    <cellStyle name="Normal 4" xfId="360"/>
    <cellStyle name="Normal 4 2" xfId="361"/>
    <cellStyle name="Normal 4 2 2" xfId="362"/>
    <cellStyle name="Normal 4 2 2 2" xfId="363"/>
    <cellStyle name="Normal 4 2 3" xfId="364"/>
    <cellStyle name="Normal 4 2 4" xfId="365"/>
    <cellStyle name="Normal 4 3" xfId="366"/>
    <cellStyle name="Normal 4 3 2" xfId="367"/>
    <cellStyle name="Normal 4 3 3" xfId="368"/>
    <cellStyle name="Normal 4 4" xfId="369"/>
    <cellStyle name="Normal 4 5" xfId="370"/>
    <cellStyle name="Normal 4 6" xfId="371"/>
    <cellStyle name="Normal 5 2" xfId="372"/>
    <cellStyle name="Normal 5 3" xfId="373"/>
    <cellStyle name="Normal 5 3 2" xfId="374"/>
    <cellStyle name="Normal 5 3 3" xfId="375"/>
    <cellStyle name="Normal 5 4" xfId="376"/>
    <cellStyle name="Normal 5 5" xfId="377"/>
    <cellStyle name="Normal 6" xfId="378"/>
    <cellStyle name="Normal 6 2" xfId="379"/>
    <cellStyle name="Normal 6 3" xfId="380"/>
    <cellStyle name="Normal 6 4" xfId="381"/>
    <cellStyle name="Normal 6 5" xfId="382"/>
    <cellStyle name="Normal 7 2" xfId="383"/>
    <cellStyle name="Normal 7 2 2" xfId="384"/>
    <cellStyle name="Normal 7 2 2 2" xfId="385"/>
    <cellStyle name="Normal 7 2 3" xfId="386"/>
    <cellStyle name="Normal 7 2 4" xfId="387"/>
    <cellStyle name="Normal 7 2 5" xfId="388"/>
    <cellStyle name="Normal 7 3" xfId="389"/>
    <cellStyle name="Normal 7 4" xfId="390"/>
    <cellStyle name="Normal 7 4 2" xfId="391"/>
    <cellStyle name="Normal 7 4 3" xfId="392"/>
    <cellStyle name="Normal 7 5" xfId="393"/>
    <cellStyle name="Normal 7 5 2" xfId="394"/>
    <cellStyle name="Normal 7 5 3" xfId="395"/>
    <cellStyle name="Normal 7 5 4" xfId="396"/>
    <cellStyle name="Normal 7 6" xfId="397"/>
    <cellStyle name="Normal 7 7" xfId="398"/>
    <cellStyle name="Normal 8 2" xfId="399"/>
    <cellStyle name="Normal 9 2" xfId="400"/>
    <cellStyle name="Normal 9 2 2" xfId="401"/>
    <cellStyle name="Normal 9 3" xfId="402"/>
    <cellStyle name="Normal 9 4" xfId="403"/>
    <cellStyle name="Normal 9 5" xfId="404"/>
    <cellStyle name="Normal 9 6" xfId="405"/>
    <cellStyle name="Normal_debt" xfId="406"/>
    <cellStyle name="Normal_lpform" xfId="407"/>
  </cellStyles>
  <dxfs count="248">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41.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02"/>
  <sheetViews>
    <sheetView topLeftCell="A88" zoomScale="80" workbookViewId="0">
      <selection activeCell="J19" sqref="J19"/>
    </sheetView>
  </sheetViews>
  <sheetFormatPr defaultRowHeight="15.75"/>
  <cols>
    <col min="1" max="1" width="75.77734375" style="8" customWidth="1"/>
    <col min="2" max="16384" width="8.88671875" style="8"/>
  </cols>
  <sheetData>
    <row r="1" spans="1:1">
      <c r="A1" s="7" t="s">
        <v>249</v>
      </c>
    </row>
    <row r="3" spans="1:1" ht="34.5" customHeight="1">
      <c r="A3" s="781" t="s">
        <v>982</v>
      </c>
    </row>
    <row r="4" spans="1:1">
      <c r="A4" s="9"/>
    </row>
    <row r="5" spans="1:1" ht="85.5" customHeight="1">
      <c r="A5" s="10" t="s">
        <v>272</v>
      </c>
    </row>
    <row r="6" spans="1:1">
      <c r="A6" s="10"/>
    </row>
    <row r="7" spans="1:1" ht="55.5" customHeight="1">
      <c r="A7" s="10" t="s">
        <v>930</v>
      </c>
    </row>
    <row r="8" spans="1:1">
      <c r="A8" s="10"/>
    </row>
    <row r="9" spans="1:1">
      <c r="A9" s="7" t="s">
        <v>275</v>
      </c>
    </row>
    <row r="10" spans="1:1">
      <c r="A10" s="7"/>
    </row>
    <row r="11" spans="1:1">
      <c r="A11" s="9" t="s">
        <v>277</v>
      </c>
    </row>
    <row r="13" spans="1:1" ht="38.25" customHeight="1">
      <c r="A13" s="11" t="s">
        <v>644</v>
      </c>
    </row>
    <row r="14" spans="1:1" ht="14.25" customHeight="1">
      <c r="A14" s="11"/>
    </row>
    <row r="16" spans="1:1">
      <c r="A16" s="7" t="s">
        <v>331</v>
      </c>
    </row>
    <row r="18" spans="1:1" ht="34.5" customHeight="1">
      <c r="A18" s="10" t="s">
        <v>276</v>
      </c>
    </row>
    <row r="19" spans="1:1" ht="12" customHeight="1">
      <c r="A19" s="10"/>
    </row>
    <row r="20" spans="1:1" ht="16.5" customHeight="1">
      <c r="A20" s="12" t="s">
        <v>235</v>
      </c>
    </row>
    <row r="21" spans="1:1" ht="9.75" customHeight="1">
      <c r="A21" s="13"/>
    </row>
    <row r="22" spans="1:1">
      <c r="A22" s="14" t="s">
        <v>248</v>
      </c>
    </row>
    <row r="23" spans="1:1">
      <c r="A23" s="15"/>
    </row>
    <row r="24" spans="1:1" ht="85.5" customHeight="1">
      <c r="A24" s="16" t="s">
        <v>259</v>
      </c>
    </row>
    <row r="25" spans="1:1" ht="19.5" customHeight="1">
      <c r="A25" s="10"/>
    </row>
    <row r="26" spans="1:1" ht="19.5" customHeight="1">
      <c r="A26" s="17" t="s">
        <v>236</v>
      </c>
    </row>
    <row r="28" spans="1:1">
      <c r="A28" s="18" t="s">
        <v>273</v>
      </c>
    </row>
    <row r="30" spans="1:1" ht="20.25" customHeight="1">
      <c r="A30" s="10" t="s">
        <v>274</v>
      </c>
    </row>
    <row r="32" spans="1:1">
      <c r="A32" s="7" t="s">
        <v>85</v>
      </c>
    </row>
    <row r="34" spans="1:1" ht="69" customHeight="1">
      <c r="A34" s="10" t="s">
        <v>748</v>
      </c>
    </row>
    <row r="35" spans="1:1" ht="38.25" customHeight="1">
      <c r="A35" s="10" t="s">
        <v>260</v>
      </c>
    </row>
    <row r="36" spans="1:1" ht="51" customHeight="1">
      <c r="A36" s="19" t="s">
        <v>237</v>
      </c>
    </row>
    <row r="37" spans="1:1" ht="11.25" customHeight="1"/>
    <row r="38" spans="1:1" ht="80.25" customHeight="1">
      <c r="A38" s="10" t="s">
        <v>749</v>
      </c>
    </row>
    <row r="39" spans="1:1" ht="67.5" customHeight="1">
      <c r="A39" s="10" t="s">
        <v>307</v>
      </c>
    </row>
    <row r="40" spans="1:1" ht="103.5" customHeight="1">
      <c r="A40" s="10" t="s">
        <v>308</v>
      </c>
    </row>
    <row r="41" spans="1:1" ht="12.75" customHeight="1"/>
    <row r="42" spans="1:1" ht="74.099999999999994" customHeight="1">
      <c r="A42" s="741" t="s">
        <v>931</v>
      </c>
    </row>
    <row r="43" spans="1:1" ht="69.95" customHeight="1">
      <c r="A43" s="342" t="s">
        <v>602</v>
      </c>
    </row>
    <row r="44" spans="1:1" ht="69.95" customHeight="1">
      <c r="A44" s="742" t="s">
        <v>932</v>
      </c>
    </row>
    <row r="45" spans="1:1" ht="12.75" customHeight="1"/>
    <row r="46" spans="1:1" ht="67.5" customHeight="1">
      <c r="A46" s="10" t="s">
        <v>603</v>
      </c>
    </row>
    <row r="47" spans="1:1" ht="37.5" customHeight="1">
      <c r="A47" s="10" t="s">
        <v>604</v>
      </c>
    </row>
    <row r="48" spans="1:1" ht="72.75" customHeight="1">
      <c r="A48" s="10" t="s">
        <v>605</v>
      </c>
    </row>
    <row r="49" spans="1:1" ht="108" customHeight="1">
      <c r="A49" s="743" t="s">
        <v>968</v>
      </c>
    </row>
    <row r="50" spans="1:1" ht="13.5" customHeight="1">
      <c r="A50" s="10"/>
    </row>
    <row r="51" spans="1:1" ht="70.5" customHeight="1">
      <c r="A51" s="10" t="s">
        <v>606</v>
      </c>
    </row>
    <row r="52" spans="1:1" ht="126" customHeight="1">
      <c r="A52" s="10" t="s">
        <v>607</v>
      </c>
    </row>
    <row r="53" spans="1:1" ht="35.25" customHeight="1">
      <c r="A53" s="10" t="s">
        <v>608</v>
      </c>
    </row>
    <row r="54" spans="1:1" ht="15.75" customHeight="1">
      <c r="A54" s="10"/>
    </row>
    <row r="55" spans="1:1" ht="83.25" customHeight="1">
      <c r="A55" s="743" t="s">
        <v>933</v>
      </c>
    </row>
    <row r="56" spans="1:1" ht="12.75" customHeight="1"/>
    <row r="57" spans="1:1" ht="71.25" customHeight="1">
      <c r="A57" s="10" t="s">
        <v>609</v>
      </c>
    </row>
    <row r="58" spans="1:1" ht="45" customHeight="1">
      <c r="A58" s="10" t="s">
        <v>615</v>
      </c>
    </row>
    <row r="59" spans="1:1" ht="97.5" customHeight="1">
      <c r="A59" s="10" t="s">
        <v>645</v>
      </c>
    </row>
    <row r="60" spans="1:1" ht="42.75" customHeight="1">
      <c r="A60" s="325" t="s">
        <v>616</v>
      </c>
    </row>
    <row r="61" spans="1:1" ht="14.25" customHeight="1"/>
    <row r="62" spans="1:1" s="10" customFormat="1" ht="58.5" customHeight="1">
      <c r="A62" s="10" t="s">
        <v>610</v>
      </c>
    </row>
    <row r="64" spans="1:1" ht="69" customHeight="1">
      <c r="A64" s="10" t="s">
        <v>611</v>
      </c>
    </row>
    <row r="65" spans="1:1" ht="15.75" customHeight="1">
      <c r="A65" s="10"/>
    </row>
    <row r="66" spans="1:1" ht="167.25" customHeight="1">
      <c r="A66" s="743" t="s">
        <v>934</v>
      </c>
    </row>
    <row r="67" spans="1:1" ht="11.25" customHeight="1"/>
    <row r="68" spans="1:1" ht="104.25" customHeight="1">
      <c r="A68" s="10" t="s">
        <v>935</v>
      </c>
    </row>
    <row r="69" spans="1:1" ht="72.75" customHeight="1">
      <c r="A69" s="743" t="s">
        <v>959</v>
      </c>
    </row>
    <row r="70" spans="1:1" ht="117" customHeight="1">
      <c r="A70" s="744" t="s">
        <v>936</v>
      </c>
    </row>
    <row r="71" spans="1:1" ht="93" customHeight="1">
      <c r="A71" s="744" t="s">
        <v>937</v>
      </c>
    </row>
    <row r="72" spans="1:1" ht="104.25" customHeight="1">
      <c r="A72" s="744" t="s">
        <v>938</v>
      </c>
    </row>
    <row r="73" spans="1:1" ht="77.25" customHeight="1">
      <c r="A73" s="10" t="s">
        <v>939</v>
      </c>
    </row>
    <row r="74" spans="1:1" ht="112.5" customHeight="1">
      <c r="A74" s="743" t="s">
        <v>940</v>
      </c>
    </row>
    <row r="75" spans="1:1" ht="138" customHeight="1">
      <c r="A75" s="10" t="s">
        <v>941</v>
      </c>
    </row>
    <row r="76" spans="1:1" ht="81" customHeight="1">
      <c r="A76" s="10" t="s">
        <v>942</v>
      </c>
    </row>
    <row r="77" spans="1:1" ht="78.75" customHeight="1">
      <c r="A77" s="10" t="s">
        <v>943</v>
      </c>
    </row>
    <row r="78" spans="1:1" ht="99.75" customHeight="1">
      <c r="A78" s="10" t="s">
        <v>944</v>
      </c>
    </row>
    <row r="79" spans="1:1" ht="57" customHeight="1">
      <c r="A79" s="10" t="s">
        <v>945</v>
      </c>
    </row>
    <row r="80" spans="1:1" ht="111" customHeight="1">
      <c r="A80" s="10" t="s">
        <v>946</v>
      </c>
    </row>
    <row r="81" spans="1:1" ht="111.75" customHeight="1">
      <c r="A81" s="488" t="s">
        <v>947</v>
      </c>
    </row>
    <row r="82" spans="1:1" ht="110.25" customHeight="1">
      <c r="A82" s="489" t="s">
        <v>948</v>
      </c>
    </row>
    <row r="83" spans="1:1" ht="51.75" customHeight="1">
      <c r="A83" s="490" t="s">
        <v>949</v>
      </c>
    </row>
    <row r="84" spans="1:1" ht="78.75" customHeight="1">
      <c r="A84" s="743" t="s">
        <v>950</v>
      </c>
    </row>
    <row r="85" spans="1:1" ht="78.75" customHeight="1">
      <c r="A85" s="743" t="s">
        <v>961</v>
      </c>
    </row>
    <row r="86" spans="1:1" ht="46.5" customHeight="1">
      <c r="A86" s="745" t="s">
        <v>962</v>
      </c>
    </row>
    <row r="87" spans="1:1" ht="53.25" customHeight="1">
      <c r="A87" s="744" t="s">
        <v>963</v>
      </c>
    </row>
    <row r="88" spans="1:1" ht="125.25" customHeight="1">
      <c r="A88" s="744" t="s">
        <v>964</v>
      </c>
    </row>
    <row r="89" spans="1:1" ht="149.25" customHeight="1">
      <c r="A89" s="744" t="s">
        <v>965</v>
      </c>
    </row>
    <row r="90" spans="1:1" ht="87" customHeight="1">
      <c r="A90" s="746" t="s">
        <v>966</v>
      </c>
    </row>
    <row r="91" spans="1:1" ht="84" customHeight="1">
      <c r="A91" s="747" t="s">
        <v>967</v>
      </c>
    </row>
    <row r="92" spans="1:1" ht="30.75" customHeight="1"/>
    <row r="93" spans="1:1" ht="162" customHeight="1">
      <c r="A93" s="10" t="s">
        <v>951</v>
      </c>
    </row>
    <row r="94" spans="1:1" ht="159.75" customHeight="1">
      <c r="A94" s="10" t="s">
        <v>952</v>
      </c>
    </row>
    <row r="95" spans="1:1" ht="45" customHeight="1">
      <c r="A95" s="10" t="s">
        <v>953</v>
      </c>
    </row>
    <row r="96" spans="1:1" ht="45" customHeight="1">
      <c r="A96" s="10" t="s">
        <v>954</v>
      </c>
    </row>
    <row r="97" spans="1:1" ht="15" customHeight="1"/>
    <row r="98" spans="1:1" ht="72" customHeight="1">
      <c r="A98" s="743" t="s">
        <v>955</v>
      </c>
    </row>
    <row r="99" spans="1:1">
      <c r="A99" s="748"/>
    </row>
    <row r="100" spans="1:1" ht="54" customHeight="1">
      <c r="A100" s="744" t="s">
        <v>956</v>
      </c>
    </row>
    <row r="101" spans="1:1" ht="101.25" customHeight="1">
      <c r="A101" s="744" t="s">
        <v>957</v>
      </c>
    </row>
    <row r="102" spans="1:1" ht="131.25" customHeight="1">
      <c r="A102" s="744" t="s">
        <v>958</v>
      </c>
    </row>
  </sheetData>
  <sheetProtection sheet="1"/>
  <phoneticPr fontId="0" type="noConversion"/>
  <pageMargins left="0.5" right="0.5" top="0.5" bottom="0.5" header="0.5" footer="0.25"/>
  <pageSetup scale="90"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workbookViewId="0">
      <selection activeCell="I38" sqref="I38"/>
    </sheetView>
  </sheetViews>
  <sheetFormatPr defaultRowHeight="15.75"/>
  <cols>
    <col min="1" max="1" width="4.5546875" style="22" customWidth="1"/>
    <col min="2" max="2" width="20.77734375" style="22" customWidth="1"/>
    <col min="3" max="3" width="9.33203125" style="22" customWidth="1"/>
    <col min="4" max="4" width="9.109375" style="22" customWidth="1"/>
    <col min="5" max="5" width="8.77734375" style="22" customWidth="1"/>
    <col min="6" max="6" width="12.6640625" style="22" customWidth="1"/>
    <col min="7" max="7" width="13.6640625" style="22" customWidth="1"/>
    <col min="8" max="9" width="9.33203125" style="22" customWidth="1"/>
    <col min="10" max="13" width="9.77734375" style="22" customWidth="1"/>
    <col min="14" max="16384" width="8.88671875" style="22"/>
  </cols>
  <sheetData>
    <row r="1" spans="2:13" ht="18.75" customHeight="1">
      <c r="B1" s="150" t="str">
        <f>inputPrYr!$D$2</f>
        <v>CITY OF HOXIE</v>
      </c>
      <c r="C1" s="21"/>
      <c r="D1" s="21"/>
      <c r="E1" s="21"/>
      <c r="F1" s="21"/>
      <c r="G1" s="21"/>
      <c r="H1" s="21"/>
      <c r="I1" s="21"/>
      <c r="J1" s="21"/>
      <c r="K1" s="21"/>
      <c r="L1" s="21"/>
      <c r="M1" s="183">
        <f>inputPrYr!$C$5</f>
        <v>2014</v>
      </c>
    </row>
    <row r="2" spans="2:13">
      <c r="B2" s="150"/>
      <c r="C2" s="21"/>
      <c r="D2" s="21"/>
      <c r="E2" s="21"/>
      <c r="F2" s="21"/>
      <c r="G2" s="21"/>
      <c r="H2" s="21"/>
      <c r="I2" s="21"/>
      <c r="J2" s="21"/>
      <c r="K2" s="21"/>
      <c r="L2" s="21"/>
      <c r="M2" s="146"/>
    </row>
    <row r="3" spans="2:13">
      <c r="B3" s="184" t="s">
        <v>93</v>
      </c>
      <c r="C3" s="32"/>
      <c r="D3" s="32"/>
      <c r="E3" s="32"/>
      <c r="F3" s="32"/>
      <c r="G3" s="32"/>
      <c r="H3" s="32"/>
      <c r="I3" s="32"/>
      <c r="J3" s="32"/>
      <c r="K3" s="32"/>
      <c r="L3" s="32"/>
      <c r="M3" s="32"/>
    </row>
    <row r="4" spans="2:13">
      <c r="B4" s="21"/>
      <c r="C4" s="185"/>
      <c r="D4" s="185"/>
      <c r="E4" s="185"/>
      <c r="F4" s="185"/>
      <c r="G4" s="185"/>
      <c r="H4" s="185"/>
      <c r="I4" s="185"/>
      <c r="J4" s="185"/>
      <c r="K4" s="185"/>
      <c r="L4" s="185"/>
      <c r="M4" s="185"/>
    </row>
    <row r="5" spans="2:13">
      <c r="B5" s="132"/>
      <c r="C5" s="165" t="s">
        <v>61</v>
      </c>
      <c r="D5" s="165" t="s">
        <v>61</v>
      </c>
      <c r="E5" s="165" t="s">
        <v>75</v>
      </c>
      <c r="F5" s="165"/>
      <c r="G5" s="165" t="s">
        <v>198</v>
      </c>
      <c r="H5" s="21"/>
      <c r="I5" s="21"/>
      <c r="J5" s="186" t="s">
        <v>62</v>
      </c>
      <c r="K5" s="187"/>
      <c r="L5" s="186" t="s">
        <v>62</v>
      </c>
      <c r="M5" s="187"/>
    </row>
    <row r="6" spans="2:13">
      <c r="B6" s="126" t="s">
        <v>869</v>
      </c>
      <c r="C6" s="126" t="s">
        <v>63</v>
      </c>
      <c r="D6" s="126" t="s">
        <v>199</v>
      </c>
      <c r="E6" s="126" t="s">
        <v>64</v>
      </c>
      <c r="F6" s="126" t="s">
        <v>17</v>
      </c>
      <c r="G6" s="126" t="s">
        <v>200</v>
      </c>
      <c r="H6" s="823" t="s">
        <v>65</v>
      </c>
      <c r="I6" s="824"/>
      <c r="J6" s="825">
        <f>M1-1</f>
        <v>2013</v>
      </c>
      <c r="K6" s="826"/>
      <c r="L6" s="825">
        <f>M1</f>
        <v>2014</v>
      </c>
      <c r="M6" s="826"/>
    </row>
    <row r="7" spans="2:13">
      <c r="B7" s="129" t="s">
        <v>870</v>
      </c>
      <c r="C7" s="129" t="s">
        <v>66</v>
      </c>
      <c r="D7" s="129" t="s">
        <v>201</v>
      </c>
      <c r="E7" s="129" t="s">
        <v>41</v>
      </c>
      <c r="F7" s="129" t="s">
        <v>67</v>
      </c>
      <c r="G7" s="188" t="str">
        <f>CONCATENATE("Jan 1,",M1-1,"")</f>
        <v>Jan 1,2013</v>
      </c>
      <c r="H7" s="136" t="s">
        <v>75</v>
      </c>
      <c r="I7" s="136" t="s">
        <v>77</v>
      </c>
      <c r="J7" s="136" t="s">
        <v>75</v>
      </c>
      <c r="K7" s="136" t="s">
        <v>77</v>
      </c>
      <c r="L7" s="136" t="s">
        <v>75</v>
      </c>
      <c r="M7" s="136" t="s">
        <v>77</v>
      </c>
    </row>
    <row r="8" spans="2:13">
      <c r="B8" s="189" t="s">
        <v>68</v>
      </c>
      <c r="C8" s="47"/>
      <c r="D8" s="47"/>
      <c r="E8" s="190"/>
      <c r="F8" s="191"/>
      <c r="G8" s="191"/>
      <c r="H8" s="47"/>
      <c r="I8" s="47"/>
      <c r="J8" s="191"/>
      <c r="K8" s="191"/>
      <c r="L8" s="191"/>
      <c r="M8" s="191"/>
    </row>
    <row r="9" spans="2:13">
      <c r="B9" s="52" t="s">
        <v>1005</v>
      </c>
      <c r="C9" s="348">
        <v>37932</v>
      </c>
      <c r="D9" s="348">
        <v>45352</v>
      </c>
      <c r="E9" s="192" t="s">
        <v>1006</v>
      </c>
      <c r="F9" s="193">
        <v>137000</v>
      </c>
      <c r="G9" s="194">
        <v>100000</v>
      </c>
      <c r="H9" s="195">
        <v>40603</v>
      </c>
      <c r="I9" s="195">
        <v>40603</v>
      </c>
      <c r="J9" s="194">
        <v>2510</v>
      </c>
      <c r="K9" s="194">
        <v>5000</v>
      </c>
      <c r="L9" s="194">
        <v>2380</v>
      </c>
      <c r="M9" s="194">
        <v>5000</v>
      </c>
    </row>
    <row r="10" spans="2:13">
      <c r="B10" s="52"/>
      <c r="C10" s="348"/>
      <c r="D10" s="348"/>
      <c r="E10" s="192"/>
      <c r="F10" s="193"/>
      <c r="G10" s="194"/>
      <c r="H10" s="195">
        <v>40787</v>
      </c>
      <c r="I10" s="195"/>
      <c r="J10" s="194">
        <v>2380</v>
      </c>
      <c r="K10" s="194"/>
      <c r="L10" s="194">
        <v>2253</v>
      </c>
      <c r="M10" s="194"/>
    </row>
    <row r="11" spans="2:13">
      <c r="B11" s="52"/>
      <c r="C11" s="348"/>
      <c r="D11" s="348"/>
      <c r="E11" s="192"/>
      <c r="F11" s="193"/>
      <c r="G11" s="194"/>
      <c r="H11" s="195"/>
      <c r="I11" s="195"/>
      <c r="J11" s="194"/>
      <c r="K11" s="194"/>
      <c r="L11" s="194"/>
      <c r="M11" s="194"/>
    </row>
    <row r="12" spans="2:13">
      <c r="B12" s="52" t="s">
        <v>1007</v>
      </c>
      <c r="C12" s="348">
        <v>37932</v>
      </c>
      <c r="D12" s="348">
        <v>45352</v>
      </c>
      <c r="E12" s="192" t="s">
        <v>1006</v>
      </c>
      <c r="F12" s="193">
        <v>380000</v>
      </c>
      <c r="G12" s="194">
        <v>280000</v>
      </c>
      <c r="H12" s="195">
        <v>40603</v>
      </c>
      <c r="I12" s="195">
        <v>40603</v>
      </c>
      <c r="J12" s="194">
        <v>6801</v>
      </c>
      <c r="K12" s="194">
        <v>15000</v>
      </c>
      <c r="L12" s="194">
        <v>6490</v>
      </c>
      <c r="M12" s="194">
        <v>20000</v>
      </c>
    </row>
    <row r="13" spans="2:13">
      <c r="B13" s="52"/>
      <c r="C13" s="348"/>
      <c r="D13" s="348"/>
      <c r="E13" s="192"/>
      <c r="F13" s="193"/>
      <c r="G13" s="194"/>
      <c r="H13" s="195">
        <v>40787</v>
      </c>
      <c r="I13" s="195"/>
      <c r="J13" s="194">
        <v>6490</v>
      </c>
      <c r="K13" s="194"/>
      <c r="L13" s="194">
        <v>6065</v>
      </c>
      <c r="M13" s="194"/>
    </row>
    <row r="14" spans="2:13">
      <c r="B14" s="52"/>
      <c r="C14" s="348"/>
      <c r="D14" s="348"/>
      <c r="E14" s="192"/>
      <c r="F14" s="193"/>
      <c r="G14" s="194"/>
      <c r="H14" s="195"/>
      <c r="I14" s="195"/>
      <c r="J14" s="194"/>
      <c r="K14" s="194"/>
      <c r="L14" s="194"/>
      <c r="M14" s="194"/>
    </row>
    <row r="15" spans="2:13">
      <c r="B15" s="52"/>
      <c r="C15" s="348"/>
      <c r="D15" s="348"/>
      <c r="E15" s="192"/>
      <c r="F15" s="193"/>
      <c r="G15" s="194"/>
      <c r="H15" s="195"/>
      <c r="I15" s="195"/>
      <c r="J15" s="194"/>
      <c r="K15" s="194"/>
      <c r="L15" s="194"/>
      <c r="M15" s="194"/>
    </row>
    <row r="16" spans="2:13">
      <c r="B16" s="52"/>
      <c r="C16" s="348"/>
      <c r="D16" s="348"/>
      <c r="E16" s="192"/>
      <c r="F16" s="193"/>
      <c r="G16" s="194"/>
      <c r="H16" s="195"/>
      <c r="I16" s="195"/>
      <c r="J16" s="194"/>
      <c r="K16" s="194"/>
      <c r="L16" s="194"/>
      <c r="M16" s="194"/>
    </row>
    <row r="17" spans="2:13">
      <c r="B17" s="52"/>
      <c r="C17" s="348"/>
      <c r="D17" s="348"/>
      <c r="E17" s="192"/>
      <c r="F17" s="193"/>
      <c r="G17" s="194"/>
      <c r="H17" s="195"/>
      <c r="I17" s="195"/>
      <c r="J17" s="194"/>
      <c r="K17" s="194"/>
      <c r="L17" s="194"/>
      <c r="M17" s="194"/>
    </row>
    <row r="18" spans="2:13">
      <c r="B18" s="52"/>
      <c r="C18" s="348"/>
      <c r="D18" s="348"/>
      <c r="E18" s="192"/>
      <c r="F18" s="193"/>
      <c r="G18" s="194"/>
      <c r="H18" s="195"/>
      <c r="I18" s="195"/>
      <c r="J18" s="194"/>
      <c r="K18" s="194"/>
      <c r="L18" s="194"/>
      <c r="M18" s="194"/>
    </row>
    <row r="19" spans="2:13">
      <c r="B19" s="52"/>
      <c r="C19" s="348"/>
      <c r="D19" s="348"/>
      <c r="E19" s="192"/>
      <c r="F19" s="193"/>
      <c r="G19" s="194"/>
      <c r="H19" s="195"/>
      <c r="I19" s="195"/>
      <c r="J19" s="194"/>
      <c r="K19" s="194"/>
      <c r="L19" s="194"/>
      <c r="M19" s="194"/>
    </row>
    <row r="20" spans="2:13">
      <c r="B20" s="196" t="s">
        <v>69</v>
      </c>
      <c r="C20" s="197"/>
      <c r="D20" s="197"/>
      <c r="E20" s="198"/>
      <c r="F20" s="199"/>
      <c r="G20" s="200">
        <f>SUM(G9:G19)</f>
        <v>380000</v>
      </c>
      <c r="H20" s="201"/>
      <c r="I20" s="201"/>
      <c r="J20" s="200">
        <f>SUM(J9:J19)</f>
        <v>18181</v>
      </c>
      <c r="K20" s="200">
        <f>SUM(K9:K19)</f>
        <v>20000</v>
      </c>
      <c r="L20" s="200">
        <f>SUM(L9:L19)</f>
        <v>17188</v>
      </c>
      <c r="M20" s="200">
        <f>SUM(M9:M19)</f>
        <v>25000</v>
      </c>
    </row>
    <row r="21" spans="2:13">
      <c r="B21" s="189" t="s">
        <v>70</v>
      </c>
      <c r="C21" s="202"/>
      <c r="D21" s="202"/>
      <c r="E21" s="203"/>
      <c r="F21" s="181"/>
      <c r="G21" s="181"/>
      <c r="H21" s="204"/>
      <c r="I21" s="204"/>
      <c r="J21" s="181"/>
      <c r="K21" s="181"/>
      <c r="L21" s="181"/>
      <c r="M21" s="181"/>
    </row>
    <row r="22" spans="2:13">
      <c r="B22" s="52"/>
      <c r="C22" s="348"/>
      <c r="D22" s="348"/>
      <c r="E22" s="192"/>
      <c r="F22" s="193"/>
      <c r="G22" s="194"/>
      <c r="H22" s="195"/>
      <c r="I22" s="195"/>
      <c r="J22" s="194"/>
      <c r="K22" s="194"/>
      <c r="L22" s="194"/>
      <c r="M22" s="194"/>
    </row>
    <row r="23" spans="2:13">
      <c r="B23" s="52"/>
      <c r="C23" s="348"/>
      <c r="D23" s="348"/>
      <c r="E23" s="192"/>
      <c r="F23" s="193"/>
      <c r="G23" s="194"/>
      <c r="H23" s="195"/>
      <c r="I23" s="195"/>
      <c r="J23" s="194"/>
      <c r="K23" s="194"/>
      <c r="L23" s="194"/>
      <c r="M23" s="194"/>
    </row>
    <row r="24" spans="2:13">
      <c r="B24" s="52"/>
      <c r="C24" s="348"/>
      <c r="D24" s="348"/>
      <c r="E24" s="192"/>
      <c r="F24" s="193"/>
      <c r="G24" s="194"/>
      <c r="H24" s="195"/>
      <c r="I24" s="195"/>
      <c r="J24" s="194"/>
      <c r="K24" s="194"/>
      <c r="L24" s="194"/>
      <c r="M24" s="194"/>
    </row>
    <row r="25" spans="2:13">
      <c r="B25" s="52"/>
      <c r="C25" s="348"/>
      <c r="D25" s="348"/>
      <c r="E25" s="192"/>
      <c r="F25" s="193"/>
      <c r="G25" s="194"/>
      <c r="H25" s="195"/>
      <c r="I25" s="195"/>
      <c r="J25" s="194"/>
      <c r="K25" s="194"/>
      <c r="L25" s="194"/>
      <c r="M25" s="194"/>
    </row>
    <row r="26" spans="2:13">
      <c r="B26" s="52"/>
      <c r="C26" s="348"/>
      <c r="D26" s="348"/>
      <c r="E26" s="192"/>
      <c r="F26" s="193"/>
      <c r="G26" s="194"/>
      <c r="H26" s="195"/>
      <c r="I26" s="195"/>
      <c r="J26" s="194"/>
      <c r="K26" s="194"/>
      <c r="L26" s="194"/>
      <c r="M26" s="194"/>
    </row>
    <row r="27" spans="2:13">
      <c r="B27" s="52"/>
      <c r="C27" s="348"/>
      <c r="D27" s="348"/>
      <c r="E27" s="192"/>
      <c r="F27" s="193"/>
      <c r="G27" s="194"/>
      <c r="H27" s="195"/>
      <c r="I27" s="195"/>
      <c r="J27" s="194"/>
      <c r="K27" s="194"/>
      <c r="L27" s="194"/>
      <c r="M27" s="194"/>
    </row>
    <row r="28" spans="2:13">
      <c r="B28" s="52"/>
      <c r="C28" s="348"/>
      <c r="D28" s="348"/>
      <c r="E28" s="192"/>
      <c r="F28" s="193"/>
      <c r="G28" s="194"/>
      <c r="H28" s="195"/>
      <c r="I28" s="195"/>
      <c r="J28" s="194"/>
      <c r="K28" s="194"/>
      <c r="L28" s="194"/>
      <c r="M28" s="194"/>
    </row>
    <row r="29" spans="2:13">
      <c r="B29" s="52"/>
      <c r="C29" s="348"/>
      <c r="D29" s="348"/>
      <c r="E29" s="192"/>
      <c r="F29" s="193"/>
      <c r="G29" s="194"/>
      <c r="H29" s="195"/>
      <c r="I29" s="195"/>
      <c r="J29" s="194"/>
      <c r="K29" s="194"/>
      <c r="L29" s="194"/>
      <c r="M29" s="194"/>
    </row>
    <row r="30" spans="2:13">
      <c r="B30" s="52"/>
      <c r="C30" s="348"/>
      <c r="D30" s="348"/>
      <c r="E30" s="192"/>
      <c r="F30" s="193"/>
      <c r="G30" s="194"/>
      <c r="H30" s="195"/>
      <c r="I30" s="195"/>
      <c r="J30" s="194"/>
      <c r="K30" s="194"/>
      <c r="L30" s="194"/>
      <c r="M30" s="194"/>
    </row>
    <row r="31" spans="2:13">
      <c r="B31" s="52"/>
      <c r="C31" s="348"/>
      <c r="D31" s="348"/>
      <c r="E31" s="192"/>
      <c r="F31" s="193"/>
      <c r="G31" s="194"/>
      <c r="H31" s="195"/>
      <c r="I31" s="195"/>
      <c r="J31" s="194"/>
      <c r="K31" s="194"/>
      <c r="L31" s="194"/>
      <c r="M31" s="194"/>
    </row>
    <row r="32" spans="2:13">
      <c r="B32" s="196" t="s">
        <v>71</v>
      </c>
      <c r="C32" s="197"/>
      <c r="D32" s="197"/>
      <c r="E32" s="205"/>
      <c r="F32" s="199"/>
      <c r="G32" s="206">
        <f>SUM(G22:G31)</f>
        <v>0</v>
      </c>
      <c r="H32" s="201"/>
      <c r="I32" s="201"/>
      <c r="J32" s="206">
        <f>SUM(J22:J31)</f>
        <v>0</v>
      </c>
      <c r="K32" s="206">
        <f>SUM(K22:K31)</f>
        <v>0</v>
      </c>
      <c r="L32" s="200">
        <f>SUM(L22:L31)</f>
        <v>0</v>
      </c>
      <c r="M32" s="206">
        <f>SUM(M22:M31)</f>
        <v>0</v>
      </c>
    </row>
    <row r="33" spans="2:29">
      <c r="B33" s="189" t="s">
        <v>72</v>
      </c>
      <c r="C33" s="202"/>
      <c r="D33" s="202"/>
      <c r="E33" s="203"/>
      <c r="F33" s="181"/>
      <c r="G33" s="207"/>
      <c r="H33" s="204"/>
      <c r="I33" s="204"/>
      <c r="J33" s="181"/>
      <c r="K33" s="181"/>
      <c r="L33" s="181"/>
      <c r="M33" s="181"/>
    </row>
    <row r="34" spans="2:29">
      <c r="B34" s="52" t="s">
        <v>1008</v>
      </c>
      <c r="C34" s="348">
        <v>39552</v>
      </c>
      <c r="D34" s="348">
        <v>46600</v>
      </c>
      <c r="E34" s="192">
        <v>3.93</v>
      </c>
      <c r="F34" s="193">
        <v>213795</v>
      </c>
      <c r="G34" s="194">
        <v>170010</v>
      </c>
      <c r="H34" s="195">
        <v>40575</v>
      </c>
      <c r="I34" s="195"/>
      <c r="J34" s="194">
        <v>3341</v>
      </c>
      <c r="K34" s="194"/>
      <c r="L34" s="194">
        <v>3173</v>
      </c>
      <c r="M34" s="194"/>
    </row>
    <row r="35" spans="2:29">
      <c r="B35" s="52"/>
      <c r="C35" s="348"/>
      <c r="D35" s="348"/>
      <c r="E35" s="192"/>
      <c r="F35" s="193"/>
      <c r="G35" s="194"/>
      <c r="H35" s="195">
        <v>40756</v>
      </c>
      <c r="I35" s="195">
        <v>40756</v>
      </c>
      <c r="J35" s="194">
        <v>3341</v>
      </c>
      <c r="K35" s="194">
        <v>8536</v>
      </c>
      <c r="L35" s="194">
        <v>3173</v>
      </c>
      <c r="M35" s="194">
        <v>8871</v>
      </c>
    </row>
    <row r="36" spans="2:29">
      <c r="B36" s="52" t="s">
        <v>1066</v>
      </c>
      <c r="C36" s="348">
        <v>41445</v>
      </c>
      <c r="D36" s="348">
        <v>41821</v>
      </c>
      <c r="E36" s="192">
        <v>1.5</v>
      </c>
      <c r="F36" s="193">
        <v>2755000</v>
      </c>
      <c r="G36" s="194">
        <v>0</v>
      </c>
      <c r="H36" s="195">
        <v>41456</v>
      </c>
      <c r="I36" s="195">
        <v>41456</v>
      </c>
      <c r="J36" s="194"/>
      <c r="K36" s="194"/>
      <c r="L36" s="194">
        <v>42014</v>
      </c>
      <c r="M36" s="194">
        <v>2755000</v>
      </c>
    </row>
    <row r="37" spans="2:29">
      <c r="B37" s="52" t="s">
        <v>1066</v>
      </c>
      <c r="C37" s="348">
        <v>41445</v>
      </c>
      <c r="D37" s="348">
        <v>41821</v>
      </c>
      <c r="E37" s="192">
        <v>1.5</v>
      </c>
      <c r="F37" s="193">
        <v>170000</v>
      </c>
      <c r="G37" s="194">
        <v>0</v>
      </c>
      <c r="H37" s="195">
        <v>41456</v>
      </c>
      <c r="I37" s="195">
        <v>41456</v>
      </c>
      <c r="J37" s="194"/>
      <c r="K37" s="194"/>
      <c r="L37" s="194">
        <v>2593</v>
      </c>
      <c r="M37" s="194">
        <v>170000</v>
      </c>
    </row>
    <row r="38" spans="2:29">
      <c r="B38" s="52"/>
      <c r="C38" s="348"/>
      <c r="D38" s="348"/>
      <c r="E38" s="192"/>
      <c r="F38" s="193"/>
      <c r="G38" s="194"/>
      <c r="H38" s="195"/>
      <c r="I38" s="195"/>
      <c r="J38" s="194"/>
      <c r="K38" s="194"/>
      <c r="L38" s="194"/>
      <c r="M38" s="194"/>
    </row>
    <row r="39" spans="2:29">
      <c r="B39" s="52"/>
      <c r="C39" s="348"/>
      <c r="D39" s="348"/>
      <c r="E39" s="192"/>
      <c r="F39" s="193"/>
      <c r="G39" s="194"/>
      <c r="H39" s="195"/>
      <c r="I39" s="195"/>
      <c r="J39" s="194"/>
      <c r="K39" s="194"/>
      <c r="L39" s="194"/>
      <c r="M39" s="194"/>
    </row>
    <row r="40" spans="2:29">
      <c r="B40" s="52"/>
      <c r="C40" s="348"/>
      <c r="D40" s="348"/>
      <c r="E40" s="192"/>
      <c r="F40" s="193"/>
      <c r="G40" s="194"/>
      <c r="H40" s="195"/>
      <c r="I40" s="195"/>
      <c r="J40" s="194"/>
      <c r="K40" s="194"/>
      <c r="L40" s="194"/>
      <c r="M40" s="194"/>
    </row>
    <row r="41" spans="2:29">
      <c r="B41" s="52"/>
      <c r="C41" s="348"/>
      <c r="D41" s="348"/>
      <c r="E41" s="192"/>
      <c r="F41" s="193"/>
      <c r="G41" s="194"/>
      <c r="H41" s="195"/>
      <c r="I41" s="195"/>
      <c r="J41" s="194"/>
      <c r="K41" s="194"/>
      <c r="L41" s="194"/>
      <c r="M41" s="194"/>
      <c r="N41" s="8"/>
      <c r="O41" s="8"/>
      <c r="P41" s="8"/>
      <c r="Q41" s="8"/>
      <c r="R41" s="8"/>
      <c r="S41" s="8"/>
      <c r="T41" s="8"/>
      <c r="U41" s="8"/>
      <c r="V41" s="8"/>
      <c r="W41" s="8"/>
      <c r="X41" s="8"/>
      <c r="Y41" s="8"/>
      <c r="Z41" s="8"/>
      <c r="AA41" s="8"/>
      <c r="AB41" s="8"/>
      <c r="AC41" s="8"/>
    </row>
    <row r="42" spans="2:29">
      <c r="B42" s="196" t="s">
        <v>202</v>
      </c>
      <c r="C42" s="180"/>
      <c r="D42" s="180"/>
      <c r="E42" s="205"/>
      <c r="F42" s="199"/>
      <c r="G42" s="206">
        <f>SUM(G34:G41)</f>
        <v>170010</v>
      </c>
      <c r="H42" s="199"/>
      <c r="I42" s="199"/>
      <c r="J42" s="206">
        <f>SUM(J34:J41)</f>
        <v>6682</v>
      </c>
      <c r="K42" s="206">
        <f>SUM(K34:K41)</f>
        <v>8536</v>
      </c>
      <c r="L42" s="206">
        <f>SUM(L34:L41)</f>
        <v>50953</v>
      </c>
      <c r="M42" s="206">
        <f>SUM(M34:M41)</f>
        <v>2933871</v>
      </c>
    </row>
    <row r="43" spans="2:29">
      <c r="B43" s="196" t="s">
        <v>73</v>
      </c>
      <c r="C43" s="180"/>
      <c r="D43" s="180"/>
      <c r="E43" s="180"/>
      <c r="F43" s="199"/>
      <c r="G43" s="206">
        <f>SUM(G20+G32+G42)</f>
        <v>550010</v>
      </c>
      <c r="H43" s="199"/>
      <c r="I43" s="199"/>
      <c r="J43" s="206">
        <f>SUM(J20+J32+J42)</f>
        <v>24863</v>
      </c>
      <c r="K43" s="206">
        <f>SUM(K20+K32+K42)</f>
        <v>28536</v>
      </c>
      <c r="L43" s="206">
        <f>SUM(L20+L32+L42)</f>
        <v>68141</v>
      </c>
      <c r="M43" s="206">
        <f>SUM(M20+M32+M42)</f>
        <v>2958871</v>
      </c>
    </row>
    <row r="44" spans="2:29">
      <c r="B44" s="8"/>
      <c r="C44" s="8"/>
      <c r="D44" s="8"/>
      <c r="E44" s="8"/>
      <c r="F44" s="8"/>
      <c r="G44" s="8"/>
      <c r="H44" s="8"/>
      <c r="I44" s="8"/>
      <c r="J44" s="8"/>
      <c r="K44" s="8"/>
      <c r="L44" s="8"/>
      <c r="M44" s="8"/>
    </row>
    <row r="45" spans="2:29">
      <c r="F45" s="208"/>
      <c r="G45" s="208"/>
      <c r="J45" s="208"/>
      <c r="K45" s="208"/>
      <c r="L45" s="208"/>
      <c r="M45" s="208"/>
    </row>
    <row r="46" spans="2:29">
      <c r="F46" s="8"/>
      <c r="H46" s="209"/>
      <c r="N46" s="8"/>
    </row>
    <row r="47" spans="2:29">
      <c r="B47" s="8"/>
      <c r="C47" s="8"/>
      <c r="D47" s="8"/>
      <c r="E47" s="8"/>
      <c r="F47" s="8"/>
      <c r="G47" s="8"/>
      <c r="H47" s="8"/>
      <c r="I47" s="8"/>
      <c r="J47" s="8"/>
      <c r="K47" s="8"/>
      <c r="L47" s="8"/>
      <c r="M47" s="8"/>
    </row>
    <row r="48" spans="2:29">
      <c r="B48" s="8"/>
      <c r="C48" s="8"/>
      <c r="D48" s="8"/>
      <c r="E48" s="8"/>
      <c r="F48" s="8"/>
      <c r="G48" s="8"/>
      <c r="H48" s="8"/>
      <c r="I48" s="8"/>
      <c r="J48" s="8"/>
      <c r="K48" s="8"/>
      <c r="L48" s="8"/>
      <c r="M48" s="8"/>
    </row>
  </sheetData>
  <sheetProtection sheet="1"/>
  <mergeCells count="3">
    <mergeCell ref="H6:I6"/>
    <mergeCell ref="J6:K6"/>
    <mergeCell ref="L6:M6"/>
  </mergeCells>
  <phoneticPr fontId="0" type="noConversion"/>
  <pageMargins left="0.25" right="0.25" top="1" bottom="0.5" header="0.5" footer="0.25"/>
  <pageSetup scale="76" orientation="landscape" blackAndWhite="1" r:id="rId1"/>
  <headerFooter alignWithMargins="0">
    <oddHeader xml:space="preserve">&amp;RState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tabSelected="1" zoomScale="75" workbookViewId="0">
      <selection activeCell="B10" sqref="B10:I13"/>
    </sheetView>
  </sheetViews>
  <sheetFormatPr defaultRowHeight="15.75"/>
  <cols>
    <col min="1" max="1" width="10.77734375" style="22" customWidth="1"/>
    <col min="2" max="2" width="23.5546875" style="22" customWidth="1"/>
    <col min="3" max="5" width="9.77734375" style="22" customWidth="1"/>
    <col min="6" max="6" width="18.33203125" style="22" customWidth="1"/>
    <col min="7" max="9" width="15.77734375" style="22" customWidth="1"/>
    <col min="10" max="16384" width="8.88671875" style="22"/>
  </cols>
  <sheetData>
    <row r="1" spans="2:9">
      <c r="B1" s="150" t="str">
        <f>inputPrYr!$D$2</f>
        <v>CITY OF HOXIE</v>
      </c>
      <c r="C1" s="21"/>
      <c r="D1" s="21"/>
      <c r="E1" s="21"/>
      <c r="F1" s="21"/>
      <c r="G1" s="21"/>
      <c r="H1" s="21"/>
      <c r="I1" s="210">
        <f>inputPrYr!$C$5</f>
        <v>2014</v>
      </c>
    </row>
    <row r="2" spans="2:9">
      <c r="B2" s="150"/>
      <c r="C2" s="21"/>
      <c r="D2" s="21"/>
      <c r="E2" s="21"/>
      <c r="F2" s="21"/>
      <c r="G2" s="21"/>
      <c r="H2" s="21"/>
      <c r="I2" s="146"/>
    </row>
    <row r="3" spans="2:9">
      <c r="B3" s="21"/>
      <c r="C3" s="21"/>
      <c r="D3" s="21"/>
      <c r="E3" s="21"/>
      <c r="F3" s="21"/>
      <c r="G3" s="21"/>
      <c r="H3" s="21"/>
      <c r="I3" s="118"/>
    </row>
    <row r="4" spans="2:9">
      <c r="B4" s="184" t="s">
        <v>87</v>
      </c>
      <c r="C4" s="32"/>
      <c r="D4" s="32"/>
      <c r="E4" s="32"/>
      <c r="F4" s="32"/>
      <c r="G4" s="32"/>
      <c r="H4" s="32"/>
      <c r="I4" s="32"/>
    </row>
    <row r="5" spans="2:9">
      <c r="B5" s="54"/>
      <c r="C5" s="185"/>
      <c r="D5" s="185"/>
      <c r="E5" s="185"/>
      <c r="F5" s="185"/>
      <c r="G5" s="185"/>
      <c r="H5" s="185"/>
      <c r="I5" s="185"/>
    </row>
    <row r="6" spans="2:9">
      <c r="B6" s="132"/>
      <c r="C6" s="132"/>
      <c r="D6" s="132"/>
      <c r="E6" s="132"/>
      <c r="F6" s="165" t="s">
        <v>335</v>
      </c>
      <c r="G6" s="132"/>
      <c r="H6" s="132"/>
      <c r="I6" s="132"/>
    </row>
    <row r="7" spans="2:9">
      <c r="B7" s="133"/>
      <c r="C7" s="126"/>
      <c r="D7" s="126" t="s">
        <v>74</v>
      </c>
      <c r="E7" s="126" t="s">
        <v>75</v>
      </c>
      <c r="F7" s="126" t="s">
        <v>17</v>
      </c>
      <c r="G7" s="126" t="s">
        <v>77</v>
      </c>
      <c r="H7" s="126" t="s">
        <v>78</v>
      </c>
      <c r="I7" s="126" t="s">
        <v>78</v>
      </c>
    </row>
    <row r="8" spans="2:9">
      <c r="B8" s="133"/>
      <c r="C8" s="126" t="s">
        <v>79</v>
      </c>
      <c r="D8" s="126" t="s">
        <v>80</v>
      </c>
      <c r="E8" s="126" t="s">
        <v>64</v>
      </c>
      <c r="F8" s="126" t="s">
        <v>81</v>
      </c>
      <c r="G8" s="126" t="s">
        <v>127</v>
      </c>
      <c r="H8" s="126" t="s">
        <v>82</v>
      </c>
      <c r="I8" s="126" t="s">
        <v>82</v>
      </c>
    </row>
    <row r="9" spans="2:9">
      <c r="B9" s="129" t="s">
        <v>83</v>
      </c>
      <c r="C9" s="129" t="s">
        <v>61</v>
      </c>
      <c r="D9" s="211" t="s">
        <v>84</v>
      </c>
      <c r="E9" s="129" t="s">
        <v>41</v>
      </c>
      <c r="F9" s="211" t="s">
        <v>151</v>
      </c>
      <c r="G9" s="212" t="str">
        <f>CONCATENATE("Jan 1 ",I1-1,"")</f>
        <v>Jan 1 2013</v>
      </c>
      <c r="H9" s="129">
        <f>I1-1</f>
        <v>2013</v>
      </c>
      <c r="I9" s="129">
        <f>I1</f>
        <v>2014</v>
      </c>
    </row>
    <row r="10" spans="2:9">
      <c r="B10" s="52"/>
      <c r="C10" s="348"/>
      <c r="D10" s="214"/>
      <c r="E10" s="192"/>
      <c r="F10" s="193"/>
      <c r="G10" s="193"/>
      <c r="H10" s="193"/>
      <c r="I10" s="193"/>
    </row>
    <row r="11" spans="2:9">
      <c r="B11" s="52"/>
      <c r="C11" s="348"/>
      <c r="D11" s="214"/>
      <c r="E11" s="192"/>
      <c r="F11" s="193"/>
      <c r="G11" s="193"/>
      <c r="H11" s="193"/>
      <c r="I11" s="193"/>
    </row>
    <row r="12" spans="2:9">
      <c r="B12" s="52"/>
      <c r="C12" s="213"/>
      <c r="D12" s="214"/>
      <c r="E12" s="192"/>
      <c r="F12" s="193"/>
      <c r="G12" s="193"/>
      <c r="H12" s="193"/>
      <c r="I12" s="193"/>
    </row>
    <row r="13" spans="2:9">
      <c r="B13" s="52"/>
      <c r="C13" s="213"/>
      <c r="D13" s="214"/>
      <c r="E13" s="192"/>
      <c r="F13" s="193"/>
      <c r="G13" s="193"/>
      <c r="H13" s="193"/>
      <c r="I13" s="193"/>
    </row>
    <row r="14" spans="2:9">
      <c r="B14" s="52"/>
      <c r="C14" s="348"/>
      <c r="D14" s="214"/>
      <c r="E14" s="192"/>
      <c r="F14" s="193"/>
      <c r="G14" s="193"/>
      <c r="H14" s="193"/>
      <c r="I14" s="193"/>
    </row>
    <row r="15" spans="2:9">
      <c r="B15" s="52"/>
      <c r="C15" s="213"/>
      <c r="D15" s="214"/>
      <c r="E15" s="192"/>
      <c r="F15" s="193"/>
      <c r="G15" s="193"/>
      <c r="H15" s="193"/>
      <c r="I15" s="193"/>
    </row>
    <row r="16" spans="2:9">
      <c r="B16" s="52"/>
      <c r="C16" s="213"/>
      <c r="D16" s="214"/>
      <c r="E16" s="192"/>
      <c r="F16" s="193"/>
      <c r="G16" s="193"/>
      <c r="H16" s="193"/>
      <c r="I16" s="193"/>
    </row>
    <row r="17" spans="2:9">
      <c r="B17" s="52"/>
      <c r="C17" s="213"/>
      <c r="D17" s="214"/>
      <c r="E17" s="192"/>
      <c r="F17" s="193"/>
      <c r="G17" s="193"/>
      <c r="H17" s="193"/>
      <c r="I17" s="193"/>
    </row>
    <row r="18" spans="2:9">
      <c r="B18" s="52"/>
      <c r="C18" s="213"/>
      <c r="D18" s="214"/>
      <c r="E18" s="192"/>
      <c r="F18" s="193"/>
      <c r="G18" s="193"/>
      <c r="H18" s="193"/>
      <c r="I18" s="193"/>
    </row>
    <row r="19" spans="2:9">
      <c r="B19" s="52"/>
      <c r="C19" s="213"/>
      <c r="D19" s="214"/>
      <c r="E19" s="192"/>
      <c r="F19" s="193"/>
      <c r="G19" s="193"/>
      <c r="H19" s="193"/>
      <c r="I19" s="193"/>
    </row>
    <row r="20" spans="2:9">
      <c r="B20" s="52"/>
      <c r="C20" s="213"/>
      <c r="D20" s="214"/>
      <c r="E20" s="192"/>
      <c r="F20" s="193"/>
      <c r="G20" s="193"/>
      <c r="H20" s="193"/>
      <c r="I20" s="193"/>
    </row>
    <row r="21" spans="2:9">
      <c r="B21" s="52"/>
      <c r="C21" s="213"/>
      <c r="D21" s="214"/>
      <c r="E21" s="192"/>
      <c r="F21" s="193"/>
      <c r="G21" s="193"/>
      <c r="H21" s="193"/>
      <c r="I21" s="193"/>
    </row>
    <row r="22" spans="2:9">
      <c r="B22" s="52"/>
      <c r="C22" s="213"/>
      <c r="D22" s="214"/>
      <c r="E22" s="192"/>
      <c r="F22" s="193"/>
      <c r="G22" s="193"/>
      <c r="H22" s="193"/>
      <c r="I22" s="193"/>
    </row>
    <row r="23" spans="2:9">
      <c r="B23" s="52"/>
      <c r="C23" s="213"/>
      <c r="D23" s="214"/>
      <c r="E23" s="192"/>
      <c r="F23" s="193"/>
      <c r="G23" s="193"/>
      <c r="H23" s="193"/>
      <c r="I23" s="193"/>
    </row>
    <row r="24" spans="2:9">
      <c r="B24" s="52"/>
      <c r="C24" s="213"/>
      <c r="D24" s="214"/>
      <c r="E24" s="192"/>
      <c r="F24" s="193"/>
      <c r="G24" s="193"/>
      <c r="H24" s="193"/>
      <c r="I24" s="193"/>
    </row>
    <row r="25" spans="2:9">
      <c r="B25" s="52"/>
      <c r="C25" s="213"/>
      <c r="D25" s="214"/>
      <c r="E25" s="192"/>
      <c r="F25" s="193"/>
      <c r="G25" s="193"/>
      <c r="H25" s="193"/>
      <c r="I25" s="193"/>
    </row>
    <row r="26" spans="2:9">
      <c r="B26" s="52"/>
      <c r="C26" s="213"/>
      <c r="D26" s="214"/>
      <c r="E26" s="192"/>
      <c r="F26" s="193"/>
      <c r="G26" s="193"/>
      <c r="H26" s="193"/>
      <c r="I26" s="193"/>
    </row>
    <row r="27" spans="2:9">
      <c r="B27" s="52"/>
      <c r="C27" s="213"/>
      <c r="D27" s="214"/>
      <c r="E27" s="192"/>
      <c r="F27" s="193"/>
      <c r="G27" s="193"/>
      <c r="H27" s="193"/>
      <c r="I27" s="193"/>
    </row>
    <row r="28" spans="2:9" ht="16.5" thickBot="1">
      <c r="B28" s="215" t="s">
        <v>12</v>
      </c>
      <c r="C28" s="149"/>
      <c r="D28" s="149"/>
      <c r="E28" s="149"/>
      <c r="F28" s="149"/>
      <c r="G28" s="216">
        <f>SUM(G10:G27)</f>
        <v>0</v>
      </c>
      <c r="H28" s="216">
        <f>SUM(H10:H27)</f>
        <v>0</v>
      </c>
      <c r="I28" s="216">
        <f>SUM(I10:I27)</f>
        <v>0</v>
      </c>
    </row>
    <row r="29" spans="2:9" ht="16.5" thickTop="1">
      <c r="B29" s="21"/>
      <c r="C29" s="21"/>
      <c r="D29" s="21"/>
      <c r="E29" s="21"/>
      <c r="F29" s="21"/>
      <c r="G29" s="21"/>
      <c r="H29" s="150"/>
      <c r="I29" s="150"/>
    </row>
    <row r="30" spans="2:9">
      <c r="B30" s="217" t="s">
        <v>279</v>
      </c>
      <c r="C30" s="218"/>
      <c r="D30" s="218"/>
      <c r="E30" s="218"/>
      <c r="F30" s="218"/>
      <c r="G30" s="218"/>
      <c r="H30" s="150"/>
      <c r="I30" s="150"/>
    </row>
  </sheetData>
  <sheetProtection sheet="1"/>
  <phoneticPr fontId="0" type="noConversion"/>
  <pageMargins left="0.25" right="0.25" top="1" bottom="0.5" header="0.5" footer="0.5"/>
  <pageSetup scale="88" orientation="landscape" blackAndWhite="1" r:id="rId1"/>
  <headerFooter alignWithMargins="0">
    <oddHeader xml:space="preserve">&amp;RState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Normal="100" workbookViewId="0">
      <selection activeCell="P15" sqref="P15"/>
    </sheetView>
  </sheetViews>
  <sheetFormatPr defaultRowHeight="15"/>
  <cols>
    <col min="1" max="1" width="2.5546875" style="625" customWidth="1"/>
    <col min="2" max="4" width="8.88671875" style="625"/>
    <col min="5" max="5" width="9.6640625" style="625" customWidth="1"/>
    <col min="6" max="6" width="8.88671875" style="625"/>
    <col min="7" max="7" width="9.6640625" style="625" customWidth="1"/>
    <col min="8" max="16384" width="8.88671875" style="625"/>
  </cols>
  <sheetData>
    <row r="1" spans="2:9" ht="15.75">
      <c r="B1" s="624"/>
      <c r="C1" s="624"/>
      <c r="D1" s="624"/>
      <c r="E1" s="624"/>
      <c r="F1" s="624"/>
      <c r="G1" s="624"/>
      <c r="H1" s="624"/>
      <c r="I1" s="624"/>
    </row>
    <row r="2" spans="2:9" ht="15.75">
      <c r="B2" s="829" t="s">
        <v>817</v>
      </c>
      <c r="C2" s="829"/>
      <c r="D2" s="829"/>
      <c r="E2" s="829"/>
      <c r="F2" s="829"/>
      <c r="G2" s="829"/>
      <c r="H2" s="829"/>
      <c r="I2" s="829"/>
    </row>
    <row r="3" spans="2:9" ht="15.75">
      <c r="B3" s="829" t="s">
        <v>818</v>
      </c>
      <c r="C3" s="829"/>
      <c r="D3" s="829"/>
      <c r="E3" s="829"/>
      <c r="F3" s="829"/>
      <c r="G3" s="829"/>
      <c r="H3" s="829"/>
      <c r="I3" s="829"/>
    </row>
    <row r="4" spans="2:9" ht="15.75">
      <c r="B4" s="626"/>
      <c r="C4" s="626"/>
      <c r="D4" s="626"/>
      <c r="E4" s="626"/>
      <c r="F4" s="626"/>
      <c r="G4" s="626"/>
      <c r="H4" s="626"/>
      <c r="I4" s="626"/>
    </row>
    <row r="5" spans="2:9" ht="15.75">
      <c r="B5" s="830" t="str">
        <f>CONCATENATE("Budgeted Year: ",inputPrYr!C5,"")</f>
        <v>Budgeted Year: 2014</v>
      </c>
      <c r="C5" s="830"/>
      <c r="D5" s="830"/>
      <c r="E5" s="830"/>
      <c r="F5" s="830"/>
      <c r="G5" s="830"/>
      <c r="H5" s="830"/>
      <c r="I5" s="830"/>
    </row>
    <row r="6" spans="2:9" ht="15.75">
      <c r="B6" s="627"/>
      <c r="C6" s="626"/>
      <c r="D6" s="626"/>
      <c r="E6" s="626"/>
      <c r="F6" s="626"/>
      <c r="G6" s="626"/>
      <c r="H6" s="626"/>
      <c r="I6" s="626"/>
    </row>
    <row r="7" spans="2:9" ht="15.75">
      <c r="B7" s="627" t="str">
        <f>CONCATENATE("Library found in: ",inputPrYr!D2,"")</f>
        <v>Library found in: CITY OF HOXIE</v>
      </c>
      <c r="C7" s="626"/>
      <c r="D7" s="626"/>
      <c r="E7" s="626"/>
      <c r="F7" s="626"/>
      <c r="G7" s="626"/>
      <c r="H7" s="626"/>
      <c r="I7" s="626"/>
    </row>
    <row r="8" spans="2:9" ht="15.75">
      <c r="B8" s="627" t="str">
        <f>inputPrYr!D3</f>
        <v>SHERIDAN COUNTY</v>
      </c>
      <c r="C8" s="626"/>
      <c r="D8" s="626"/>
      <c r="E8" s="626"/>
      <c r="F8" s="626"/>
      <c r="G8" s="626"/>
      <c r="H8" s="626"/>
      <c r="I8" s="626"/>
    </row>
    <row r="9" spans="2:9" ht="15.75">
      <c r="B9" s="626"/>
      <c r="C9" s="626"/>
      <c r="D9" s="626"/>
      <c r="E9" s="626"/>
      <c r="F9" s="626"/>
      <c r="G9" s="626"/>
      <c r="H9" s="626"/>
      <c r="I9" s="626"/>
    </row>
    <row r="10" spans="2:9" ht="39" customHeight="1">
      <c r="B10" s="831" t="s">
        <v>819</v>
      </c>
      <c r="C10" s="831"/>
      <c r="D10" s="831"/>
      <c r="E10" s="831"/>
      <c r="F10" s="831"/>
      <c r="G10" s="831"/>
      <c r="H10" s="831"/>
      <c r="I10" s="831"/>
    </row>
    <row r="11" spans="2:9" ht="15.75">
      <c r="B11" s="626"/>
      <c r="C11" s="626"/>
      <c r="D11" s="626"/>
      <c r="E11" s="626"/>
      <c r="F11" s="626"/>
      <c r="G11" s="626"/>
      <c r="H11" s="626"/>
      <c r="I11" s="626"/>
    </row>
    <row r="12" spans="2:9" ht="15.75">
      <c r="B12" s="628" t="s">
        <v>820</v>
      </c>
      <c r="C12" s="626"/>
      <c r="D12" s="626"/>
      <c r="E12" s="626"/>
      <c r="F12" s="626"/>
      <c r="G12" s="626"/>
      <c r="H12" s="626"/>
      <c r="I12" s="626"/>
    </row>
    <row r="13" spans="2:9" ht="15.75">
      <c r="B13" s="626"/>
      <c r="C13" s="626"/>
      <c r="D13" s="626"/>
      <c r="E13" s="629" t="s">
        <v>811</v>
      </c>
      <c r="F13" s="626"/>
      <c r="G13" s="629" t="s">
        <v>821</v>
      </c>
      <c r="H13" s="626"/>
      <c r="I13" s="626"/>
    </row>
    <row r="14" spans="2:9" ht="15.75">
      <c r="B14" s="626"/>
      <c r="C14" s="626"/>
      <c r="D14" s="626"/>
      <c r="E14" s="630">
        <f>inputPrYr!C5-1</f>
        <v>2013</v>
      </c>
      <c r="F14" s="626"/>
      <c r="G14" s="630">
        <f>inputPrYr!C5</f>
        <v>2014</v>
      </c>
      <c r="H14" s="626"/>
      <c r="I14" s="626"/>
    </row>
    <row r="15" spans="2:9" ht="15.75">
      <c r="B15" s="627" t="str">
        <f>'DebtSvs-Library'!B48</f>
        <v>Ad Valorem Tax</v>
      </c>
      <c r="C15" s="626"/>
      <c r="D15" s="626"/>
      <c r="E15" s="631">
        <f>'DebtSvs-Library'!D48</f>
        <v>28299</v>
      </c>
      <c r="F15" s="626"/>
      <c r="G15" s="631">
        <f>'DebtSvs-Library'!E80</f>
        <v>30075</v>
      </c>
      <c r="H15" s="626"/>
      <c r="I15" s="626"/>
    </row>
    <row r="16" spans="2:9" ht="15.75">
      <c r="B16" s="627" t="str">
        <f>'DebtSvs-Library'!B49</f>
        <v>Delinquent Tax</v>
      </c>
      <c r="C16" s="626"/>
      <c r="D16" s="626"/>
      <c r="E16" s="631">
        <f>'DebtSvs-Library'!D49</f>
        <v>80</v>
      </c>
      <c r="F16" s="626"/>
      <c r="G16" s="631">
        <f>'DebtSvs-Library'!E49</f>
        <v>390</v>
      </c>
      <c r="H16" s="626"/>
      <c r="I16" s="626"/>
    </row>
    <row r="17" spans="2:9" ht="15.75">
      <c r="B17" s="627" t="str">
        <f>'DebtSvs-Library'!B50</f>
        <v>Motor Vehicle Tax</v>
      </c>
      <c r="C17" s="626"/>
      <c r="D17" s="626"/>
      <c r="E17" s="631">
        <f>'DebtSvs-Library'!D50</f>
        <v>6915</v>
      </c>
      <c r="F17" s="626"/>
      <c r="G17" s="631">
        <f>'DebtSvs-Library'!E50</f>
        <v>6962</v>
      </c>
      <c r="H17" s="626"/>
      <c r="I17" s="626"/>
    </row>
    <row r="18" spans="2:9" ht="15.75">
      <c r="B18" s="627" t="str">
        <f>'DebtSvs-Library'!B51</f>
        <v>Recreational Vehicle Tax</v>
      </c>
      <c r="C18" s="626"/>
      <c r="D18" s="626"/>
      <c r="E18" s="631">
        <f>'DebtSvs-Library'!D51</f>
        <v>94</v>
      </c>
      <c r="F18" s="626"/>
      <c r="G18" s="631">
        <f>'DebtSvs-Library'!E51</f>
        <v>100</v>
      </c>
      <c r="H18" s="626"/>
      <c r="I18" s="626"/>
    </row>
    <row r="19" spans="2:9" ht="15.75">
      <c r="B19" s="627" t="str">
        <f>'DebtSvs-Library'!B52</f>
        <v>16/20M Vehicle Tax</v>
      </c>
      <c r="C19" s="626"/>
      <c r="D19" s="626"/>
      <c r="E19" s="631">
        <f>'DebtSvs-Library'!D52</f>
        <v>180</v>
      </c>
      <c r="F19" s="626"/>
      <c r="G19" s="631">
        <f>'DebtSvs-Library'!E52</f>
        <v>156</v>
      </c>
      <c r="H19" s="626"/>
      <c r="I19" s="626"/>
    </row>
    <row r="20" spans="2:9" ht="15.75">
      <c r="B20" s="626" t="s">
        <v>170</v>
      </c>
      <c r="C20" s="626"/>
      <c r="D20" s="626"/>
      <c r="E20" s="631">
        <v>0</v>
      </c>
      <c r="F20" s="626"/>
      <c r="G20" s="631">
        <v>0</v>
      </c>
      <c r="H20" s="626"/>
      <c r="I20" s="626"/>
    </row>
    <row r="21" spans="2:9" ht="15.75">
      <c r="B21" s="626"/>
      <c r="C21" s="626"/>
      <c r="D21" s="626"/>
      <c r="E21" s="631">
        <v>0</v>
      </c>
      <c r="F21" s="626"/>
      <c r="G21" s="631">
        <v>0</v>
      </c>
      <c r="H21" s="626"/>
      <c r="I21" s="626"/>
    </row>
    <row r="22" spans="2:9" ht="15.75">
      <c r="B22" s="626" t="s">
        <v>822</v>
      </c>
      <c r="C22" s="626"/>
      <c r="D22" s="626"/>
      <c r="E22" s="632">
        <f>SUM(E15:E21)</f>
        <v>35568</v>
      </c>
      <c r="F22" s="626"/>
      <c r="G22" s="632">
        <f>SUM(G15:G21)</f>
        <v>37683</v>
      </c>
      <c r="H22" s="626"/>
      <c r="I22" s="626"/>
    </row>
    <row r="23" spans="2:9" ht="15.75">
      <c r="B23" s="626" t="s">
        <v>823</v>
      </c>
      <c r="C23" s="626"/>
      <c r="D23" s="626"/>
      <c r="E23" s="633">
        <f>G22-E22</f>
        <v>2115</v>
      </c>
      <c r="F23" s="626"/>
      <c r="G23" s="634"/>
      <c r="H23" s="626"/>
      <c r="I23" s="626"/>
    </row>
    <row r="24" spans="2:9" ht="15.75">
      <c r="B24" s="626" t="s">
        <v>824</v>
      </c>
      <c r="C24" s="626"/>
      <c r="D24" s="635" t="str">
        <f>IF((G22-E22)&gt;0,"Qualify","Not Qualify")</f>
        <v>Qualify</v>
      </c>
      <c r="E24" s="626"/>
      <c r="F24" s="626"/>
      <c r="G24" s="626"/>
      <c r="H24" s="626"/>
      <c r="I24" s="626"/>
    </row>
    <row r="25" spans="2:9" ht="15.75">
      <c r="B25" s="626"/>
      <c r="C25" s="626"/>
      <c r="D25" s="626"/>
      <c r="E25" s="626"/>
      <c r="F25" s="626"/>
      <c r="G25" s="626"/>
      <c r="H25" s="626"/>
      <c r="I25" s="626"/>
    </row>
    <row r="26" spans="2:9" ht="15.75">
      <c r="B26" s="628" t="s">
        <v>825</v>
      </c>
      <c r="C26" s="626"/>
      <c r="D26" s="626"/>
      <c r="E26" s="626"/>
      <c r="F26" s="626"/>
      <c r="G26" s="626"/>
      <c r="H26" s="626"/>
      <c r="I26" s="626"/>
    </row>
    <row r="27" spans="2:9" ht="15.75">
      <c r="B27" s="626" t="s">
        <v>826</v>
      </c>
      <c r="C27" s="626"/>
      <c r="D27" s="626"/>
      <c r="E27" s="631">
        <f>summ!D48</f>
        <v>6264345</v>
      </c>
      <c r="F27" s="626"/>
      <c r="G27" s="631">
        <f>summ!F48</f>
        <v>6475812</v>
      </c>
      <c r="H27" s="626"/>
      <c r="I27" s="626"/>
    </row>
    <row r="28" spans="2:9" ht="15.75">
      <c r="B28" s="626" t="s">
        <v>827</v>
      </c>
      <c r="C28" s="626"/>
      <c r="D28" s="626"/>
      <c r="E28" s="636" t="str">
        <f>IF(G27-E27&gt;=0,"No","Yes")</f>
        <v>No</v>
      </c>
      <c r="F28" s="626"/>
      <c r="G28" s="626"/>
      <c r="H28" s="626"/>
      <c r="I28" s="626"/>
    </row>
    <row r="29" spans="2:9" ht="15.75">
      <c r="B29" s="626" t="s">
        <v>828</v>
      </c>
      <c r="C29" s="626"/>
      <c r="D29" s="626"/>
      <c r="E29" s="629">
        <f>summ!E18</f>
        <v>4.5179999999999998</v>
      </c>
      <c r="F29" s="626"/>
      <c r="G29" s="644">
        <f>summ!H18</f>
        <v>4.6440000000000001</v>
      </c>
      <c r="H29" s="626"/>
      <c r="I29" s="626"/>
    </row>
    <row r="30" spans="2:9" ht="15.75">
      <c r="B30" s="626" t="s">
        <v>829</v>
      </c>
      <c r="C30" s="626"/>
      <c r="D30" s="626"/>
      <c r="E30" s="645">
        <f>G29-E29</f>
        <v>0.12600000000000033</v>
      </c>
      <c r="F30" s="626"/>
      <c r="G30" s="626"/>
      <c r="H30" s="626"/>
      <c r="I30" s="626"/>
    </row>
    <row r="31" spans="2:9" ht="15.75">
      <c r="B31" s="626" t="s">
        <v>824</v>
      </c>
      <c r="C31" s="626"/>
      <c r="D31" s="637" t="str">
        <f>IF(E30&gt;=0,"Qualify","Not Qualify")</f>
        <v>Qualify</v>
      </c>
      <c r="E31" s="626"/>
      <c r="F31" s="626"/>
      <c r="G31" s="626"/>
      <c r="H31" s="626"/>
      <c r="I31" s="626"/>
    </row>
    <row r="32" spans="2:9" ht="15.75">
      <c r="B32" s="626"/>
      <c r="C32" s="626"/>
      <c r="D32" s="626"/>
      <c r="E32" s="626"/>
      <c r="F32" s="626"/>
      <c r="G32" s="626"/>
      <c r="H32" s="626"/>
      <c r="I32" s="626"/>
    </row>
    <row r="33" spans="2:9" ht="15.75">
      <c r="B33" s="626" t="s">
        <v>830</v>
      </c>
      <c r="C33" s="626"/>
      <c r="D33" s="626"/>
      <c r="E33" s="626"/>
      <c r="F33" s="646" t="str">
        <f>IF(D24="Not Qualify",IF(D31="Not Qualify",IF(D31="Not Qualify","Not Qualify","Qualify"),"Qualify"),"Qualify")</f>
        <v>Qualify</v>
      </c>
      <c r="G33" s="626"/>
      <c r="H33" s="626"/>
      <c r="I33" s="626"/>
    </row>
    <row r="34" spans="2:9" ht="15.75">
      <c r="B34" s="626"/>
      <c r="C34" s="626"/>
      <c r="D34" s="626"/>
      <c r="E34" s="626"/>
      <c r="F34" s="626"/>
      <c r="G34" s="626"/>
      <c r="H34" s="626"/>
      <c r="I34" s="626"/>
    </row>
    <row r="35" spans="2:9" ht="15.75">
      <c r="B35" s="626"/>
      <c r="C35" s="626"/>
      <c r="D35" s="626"/>
      <c r="E35" s="626"/>
      <c r="F35" s="626"/>
      <c r="G35" s="626"/>
      <c r="H35" s="626"/>
      <c r="I35" s="626"/>
    </row>
    <row r="36" spans="2:9" ht="37.5" customHeight="1">
      <c r="B36" s="831" t="s">
        <v>831</v>
      </c>
      <c r="C36" s="831"/>
      <c r="D36" s="831"/>
      <c r="E36" s="831"/>
      <c r="F36" s="831"/>
      <c r="G36" s="831"/>
      <c r="H36" s="831"/>
      <c r="I36" s="831"/>
    </row>
    <row r="37" spans="2:9" ht="15.75">
      <c r="B37" s="626"/>
      <c r="C37" s="626"/>
      <c r="D37" s="626"/>
      <c r="E37" s="626"/>
      <c r="F37" s="626"/>
      <c r="G37" s="626"/>
      <c r="H37" s="626"/>
      <c r="I37" s="626"/>
    </row>
    <row r="38" spans="2:9" ht="15.75">
      <c r="B38" s="626"/>
      <c r="C38" s="626"/>
      <c r="D38" s="626"/>
      <c r="E38" s="626"/>
      <c r="F38" s="626"/>
      <c r="G38" s="626"/>
      <c r="H38" s="626"/>
      <c r="I38" s="626"/>
    </row>
    <row r="39" spans="2:9" ht="15.75">
      <c r="B39" s="626"/>
      <c r="C39" s="626"/>
      <c r="D39" s="626"/>
      <c r="E39" s="626"/>
      <c r="F39" s="626"/>
      <c r="G39" s="626"/>
      <c r="H39" s="626"/>
      <c r="I39" s="626"/>
    </row>
    <row r="40" spans="2:9" ht="15.75">
      <c r="B40" s="626"/>
      <c r="C40" s="626"/>
      <c r="D40" s="626"/>
      <c r="E40" s="643" t="s">
        <v>34</v>
      </c>
      <c r="F40" s="642">
        <v>7</v>
      </c>
      <c r="G40" s="626"/>
      <c r="H40" s="626"/>
      <c r="I40" s="626"/>
    </row>
    <row r="41" spans="2:9" ht="15.75">
      <c r="B41" s="626"/>
      <c r="C41" s="626"/>
      <c r="D41" s="626"/>
      <c r="E41" s="626"/>
      <c r="F41" s="626"/>
      <c r="G41" s="626"/>
      <c r="H41" s="626"/>
      <c r="I41" s="626"/>
    </row>
    <row r="42" spans="2:9" ht="15.75">
      <c r="B42" s="626"/>
      <c r="C42" s="626"/>
      <c r="D42" s="626"/>
      <c r="E42" s="626"/>
      <c r="F42" s="626"/>
      <c r="G42" s="626"/>
      <c r="H42" s="626"/>
      <c r="I42" s="626"/>
    </row>
    <row r="43" spans="2:9" ht="15.75">
      <c r="B43" s="827" t="s">
        <v>832</v>
      </c>
      <c r="C43" s="828"/>
      <c r="D43" s="828"/>
      <c r="E43" s="828"/>
      <c r="F43" s="828"/>
      <c r="G43" s="828"/>
      <c r="H43" s="828"/>
      <c r="I43" s="828"/>
    </row>
    <row r="44" spans="2:9" ht="15.75">
      <c r="B44" s="626"/>
      <c r="C44" s="626"/>
      <c r="D44" s="626"/>
      <c r="E44" s="626"/>
      <c r="F44" s="626"/>
      <c r="G44" s="626"/>
      <c r="H44" s="626"/>
      <c r="I44" s="626"/>
    </row>
    <row r="45" spans="2:9" ht="15.75">
      <c r="B45" s="638" t="s">
        <v>833</v>
      </c>
      <c r="C45" s="626"/>
      <c r="D45" s="626"/>
      <c r="E45" s="626"/>
      <c r="F45" s="626"/>
      <c r="G45" s="626"/>
      <c r="H45" s="626"/>
      <c r="I45" s="626"/>
    </row>
    <row r="46" spans="2:9" ht="15.75">
      <c r="B46" s="638" t="str">
        <f>CONCATENATE("sources in your ",G14," library fund is not equal to or greater than the amount from the same")</f>
        <v>sources in your 2014 library fund is not equal to or greater than the amount from the same</v>
      </c>
      <c r="C46" s="626"/>
      <c r="D46" s="626"/>
      <c r="E46" s="626"/>
      <c r="F46" s="626"/>
      <c r="G46" s="626"/>
      <c r="H46" s="626"/>
      <c r="I46" s="626"/>
    </row>
    <row r="47" spans="2:9" ht="15.75">
      <c r="B47" s="638" t="str">
        <f>CONCATENATE("sources in ",E14,".")</f>
        <v>sources in 2013.</v>
      </c>
      <c r="C47" s="624"/>
      <c r="D47" s="624"/>
      <c r="E47" s="624"/>
      <c r="F47" s="624"/>
      <c r="G47" s="624"/>
      <c r="H47" s="624"/>
      <c r="I47" s="624"/>
    </row>
    <row r="48" spans="2:9" ht="15.75">
      <c r="B48" s="624"/>
      <c r="C48" s="624"/>
      <c r="D48" s="624"/>
      <c r="E48" s="624"/>
      <c r="F48" s="624"/>
      <c r="G48" s="624"/>
      <c r="H48" s="624"/>
      <c r="I48" s="624"/>
    </row>
    <row r="49" spans="2:9" ht="15.75">
      <c r="B49" s="638" t="s">
        <v>834</v>
      </c>
      <c r="C49" s="638"/>
      <c r="D49" s="639"/>
      <c r="E49" s="639"/>
      <c r="F49" s="639"/>
      <c r="G49" s="639"/>
      <c r="H49" s="639"/>
      <c r="I49" s="639"/>
    </row>
    <row r="50" spans="2:9" ht="15.75">
      <c r="B50" s="638" t="s">
        <v>835</v>
      </c>
      <c r="C50" s="638"/>
      <c r="D50" s="639"/>
      <c r="E50" s="639"/>
      <c r="F50" s="639"/>
      <c r="G50" s="639"/>
      <c r="H50" s="639"/>
      <c r="I50" s="639"/>
    </row>
    <row r="51" spans="2:9" ht="15.75">
      <c r="B51" s="638" t="s">
        <v>836</v>
      </c>
      <c r="C51" s="638"/>
      <c r="D51" s="639"/>
      <c r="E51" s="639"/>
      <c r="F51" s="639"/>
      <c r="G51" s="639"/>
      <c r="H51" s="639"/>
      <c r="I51" s="639"/>
    </row>
    <row r="52" spans="2:9">
      <c r="B52" s="639"/>
      <c r="C52" s="639"/>
      <c r="D52" s="639"/>
      <c r="E52" s="639"/>
      <c r="F52" s="639"/>
      <c r="G52" s="639"/>
      <c r="H52" s="639"/>
      <c r="I52" s="639"/>
    </row>
    <row r="53" spans="2:9" ht="15.75">
      <c r="B53" s="640" t="s">
        <v>837</v>
      </c>
      <c r="C53" s="639"/>
      <c r="D53" s="639"/>
      <c r="E53" s="639"/>
      <c r="F53" s="639"/>
      <c r="G53" s="639"/>
      <c r="H53" s="639"/>
      <c r="I53" s="639"/>
    </row>
    <row r="54" spans="2:9">
      <c r="B54" s="639"/>
      <c r="C54" s="639"/>
      <c r="D54" s="639"/>
      <c r="E54" s="639"/>
      <c r="F54" s="639"/>
      <c r="G54" s="639"/>
      <c r="H54" s="639"/>
      <c r="I54" s="639"/>
    </row>
    <row r="55" spans="2:9" ht="15.75">
      <c r="B55" s="638" t="s">
        <v>838</v>
      </c>
      <c r="C55" s="639"/>
      <c r="D55" s="639"/>
      <c r="E55" s="639"/>
      <c r="F55" s="639"/>
      <c r="G55" s="639"/>
      <c r="H55" s="639"/>
      <c r="I55" s="639"/>
    </row>
    <row r="56" spans="2:9" ht="15.75">
      <c r="B56" s="638" t="s">
        <v>839</v>
      </c>
      <c r="C56" s="639"/>
      <c r="D56" s="639"/>
      <c r="E56" s="639"/>
      <c r="F56" s="639"/>
      <c r="G56" s="639"/>
      <c r="H56" s="639"/>
      <c r="I56" s="639"/>
    </row>
    <row r="57" spans="2:9">
      <c r="B57" s="639"/>
      <c r="C57" s="639"/>
      <c r="D57" s="639"/>
      <c r="E57" s="639"/>
      <c r="F57" s="639"/>
      <c r="G57" s="639"/>
      <c r="H57" s="639"/>
      <c r="I57" s="639"/>
    </row>
    <row r="58" spans="2:9" ht="15.75">
      <c r="B58" s="640" t="s">
        <v>840</v>
      </c>
      <c r="C58" s="638"/>
      <c r="D58" s="638"/>
      <c r="E58" s="638"/>
      <c r="F58" s="638"/>
      <c r="G58" s="639"/>
      <c r="H58" s="639"/>
      <c r="I58" s="639"/>
    </row>
    <row r="59" spans="2:9" ht="15.75">
      <c r="B59" s="638"/>
      <c r="C59" s="638"/>
      <c r="D59" s="638"/>
      <c r="E59" s="638"/>
      <c r="F59" s="638"/>
      <c r="G59" s="639"/>
      <c r="H59" s="639"/>
      <c r="I59" s="639"/>
    </row>
    <row r="60" spans="2:9" ht="15.75">
      <c r="B60" s="638" t="s">
        <v>841</v>
      </c>
      <c r="C60" s="638"/>
      <c r="D60" s="638"/>
      <c r="E60" s="638"/>
      <c r="F60" s="638"/>
      <c r="G60" s="639"/>
      <c r="H60" s="639"/>
      <c r="I60" s="639"/>
    </row>
    <row r="61" spans="2:9" ht="15.75">
      <c r="B61" s="638" t="s">
        <v>842</v>
      </c>
      <c r="C61" s="638"/>
      <c r="D61" s="638"/>
      <c r="E61" s="638"/>
      <c r="F61" s="638"/>
      <c r="G61" s="639"/>
      <c r="H61" s="639"/>
      <c r="I61" s="639"/>
    </row>
    <row r="62" spans="2:9" ht="15.75">
      <c r="B62" s="638" t="s">
        <v>843</v>
      </c>
      <c r="C62" s="638"/>
      <c r="D62" s="638"/>
      <c r="E62" s="638"/>
      <c r="F62" s="638"/>
      <c r="G62" s="639"/>
      <c r="H62" s="639"/>
      <c r="I62" s="639"/>
    </row>
    <row r="63" spans="2:9" ht="15.75">
      <c r="B63" s="638" t="s">
        <v>844</v>
      </c>
      <c r="C63" s="638"/>
      <c r="D63" s="638"/>
      <c r="E63" s="638"/>
      <c r="F63" s="638"/>
      <c r="G63" s="639"/>
      <c r="H63" s="639"/>
      <c r="I63" s="639"/>
    </row>
    <row r="64" spans="2:9">
      <c r="B64" s="641"/>
      <c r="C64" s="641"/>
      <c r="D64" s="641"/>
      <c r="E64" s="641"/>
      <c r="F64" s="641"/>
      <c r="G64" s="639"/>
      <c r="H64" s="639"/>
      <c r="I64" s="639"/>
    </row>
    <row r="65" spans="2:9" ht="15.75">
      <c r="B65" s="638" t="s">
        <v>845</v>
      </c>
      <c r="C65" s="641"/>
      <c r="D65" s="641"/>
      <c r="E65" s="641"/>
      <c r="F65" s="641"/>
      <c r="G65" s="639"/>
      <c r="H65" s="639"/>
      <c r="I65" s="639"/>
    </row>
    <row r="66" spans="2:9" ht="15.75">
      <c r="B66" s="638" t="s">
        <v>846</v>
      </c>
      <c r="C66" s="641"/>
      <c r="D66" s="641"/>
      <c r="E66" s="641"/>
      <c r="F66" s="641"/>
      <c r="G66" s="639"/>
      <c r="H66" s="639"/>
      <c r="I66" s="639"/>
    </row>
    <row r="67" spans="2:9">
      <c r="B67" s="641"/>
      <c r="C67" s="641"/>
      <c r="D67" s="641"/>
      <c r="E67" s="641"/>
      <c r="F67" s="641"/>
      <c r="G67" s="639"/>
      <c r="H67" s="639"/>
      <c r="I67" s="639"/>
    </row>
    <row r="68" spans="2:9" ht="15.75">
      <c r="B68" s="638" t="s">
        <v>847</v>
      </c>
      <c r="C68" s="641"/>
      <c r="D68" s="641"/>
      <c r="E68" s="641"/>
      <c r="F68" s="641"/>
      <c r="G68" s="639"/>
      <c r="H68" s="639"/>
      <c r="I68" s="639"/>
    </row>
    <row r="69" spans="2:9" ht="15.75">
      <c r="B69" s="638" t="s">
        <v>848</v>
      </c>
      <c r="C69" s="641"/>
      <c r="D69" s="641"/>
      <c r="E69" s="641"/>
      <c r="F69" s="641"/>
      <c r="G69" s="639"/>
      <c r="H69" s="639"/>
      <c r="I69" s="639"/>
    </row>
    <row r="70" spans="2:9">
      <c r="B70" s="641"/>
      <c r="C70" s="641"/>
      <c r="D70" s="641"/>
      <c r="E70" s="641"/>
      <c r="F70" s="641"/>
      <c r="G70" s="639"/>
      <c r="H70" s="639"/>
      <c r="I70" s="639"/>
    </row>
    <row r="71" spans="2:9" ht="15.75">
      <c r="B71" s="640" t="s">
        <v>849</v>
      </c>
      <c r="C71" s="641"/>
      <c r="D71" s="641"/>
      <c r="E71" s="641"/>
      <c r="F71" s="641"/>
      <c r="G71" s="639"/>
      <c r="H71" s="639"/>
      <c r="I71" s="639"/>
    </row>
    <row r="72" spans="2:9">
      <c r="B72" s="641"/>
      <c r="C72" s="641"/>
      <c r="D72" s="641"/>
      <c r="E72" s="641"/>
      <c r="F72" s="641"/>
      <c r="G72" s="639"/>
      <c r="H72" s="639"/>
      <c r="I72" s="639"/>
    </row>
    <row r="73" spans="2:9" ht="15.75">
      <c r="B73" s="638" t="s">
        <v>850</v>
      </c>
      <c r="C73" s="641"/>
      <c r="D73" s="641"/>
      <c r="E73" s="641"/>
      <c r="F73" s="641"/>
      <c r="G73" s="639"/>
      <c r="H73" s="639"/>
      <c r="I73" s="639"/>
    </row>
    <row r="74" spans="2:9" ht="15.75">
      <c r="B74" s="638" t="s">
        <v>851</v>
      </c>
      <c r="C74" s="641"/>
      <c r="D74" s="641"/>
      <c r="E74" s="641"/>
      <c r="F74" s="641"/>
      <c r="G74" s="639"/>
      <c r="H74" s="639"/>
      <c r="I74" s="639"/>
    </row>
    <row r="75" spans="2:9">
      <c r="B75" s="641"/>
      <c r="C75" s="641"/>
      <c r="D75" s="641"/>
      <c r="E75" s="641"/>
      <c r="F75" s="641"/>
      <c r="G75" s="639"/>
      <c r="H75" s="639"/>
      <c r="I75" s="639"/>
    </row>
    <row r="76" spans="2:9" ht="15.75">
      <c r="B76" s="640" t="s">
        <v>852</v>
      </c>
      <c r="C76" s="641"/>
      <c r="D76" s="641"/>
      <c r="E76" s="641"/>
      <c r="F76" s="641"/>
      <c r="G76" s="639"/>
      <c r="H76" s="639"/>
      <c r="I76" s="639"/>
    </row>
    <row r="77" spans="2:9">
      <c r="B77" s="641"/>
      <c r="C77" s="641"/>
      <c r="D77" s="641"/>
      <c r="E77" s="641"/>
      <c r="F77" s="641"/>
      <c r="G77" s="639"/>
      <c r="H77" s="639"/>
      <c r="I77" s="639"/>
    </row>
    <row r="78" spans="2:9" ht="15.75">
      <c r="B78" s="638" t="str">
        <f>CONCATENATE("If the ",G14," municipal budget has not been published and has not been submitted to the County")</f>
        <v>If the 2014 municipal budget has not been published and has not been submitted to the County</v>
      </c>
      <c r="C78" s="641"/>
      <c r="D78" s="641"/>
      <c r="E78" s="641"/>
      <c r="F78" s="641"/>
      <c r="G78" s="639"/>
      <c r="H78" s="639"/>
      <c r="I78" s="639"/>
    </row>
    <row r="79" spans="2:9" ht="15.75">
      <c r="B79" s="638" t="s">
        <v>853</v>
      </c>
      <c r="C79" s="641"/>
      <c r="D79" s="641"/>
      <c r="E79" s="641"/>
      <c r="F79" s="641"/>
      <c r="G79" s="639"/>
      <c r="H79" s="639"/>
      <c r="I79" s="639"/>
    </row>
    <row r="80" spans="2:9">
      <c r="B80" s="641"/>
      <c r="C80" s="641"/>
      <c r="D80" s="641"/>
      <c r="E80" s="641"/>
      <c r="F80" s="641"/>
      <c r="G80" s="639"/>
      <c r="H80" s="639"/>
      <c r="I80" s="639"/>
    </row>
    <row r="81" spans="2:9" ht="15.75">
      <c r="B81" s="640" t="s">
        <v>401</v>
      </c>
      <c r="C81" s="641"/>
      <c r="D81" s="641"/>
      <c r="E81" s="641"/>
      <c r="F81" s="641"/>
      <c r="G81" s="639"/>
      <c r="H81" s="639"/>
      <c r="I81" s="639"/>
    </row>
    <row r="82" spans="2:9">
      <c r="B82" s="641"/>
      <c r="C82" s="641"/>
      <c r="D82" s="641"/>
      <c r="E82" s="641"/>
      <c r="F82" s="641"/>
      <c r="G82" s="639"/>
      <c r="H82" s="639"/>
      <c r="I82" s="639"/>
    </row>
    <row r="83" spans="2:9" ht="15.75">
      <c r="B83" s="638" t="s">
        <v>854</v>
      </c>
      <c r="C83" s="641"/>
      <c r="D83" s="641"/>
      <c r="E83" s="641"/>
      <c r="F83" s="641"/>
      <c r="G83" s="639"/>
      <c r="H83" s="639"/>
      <c r="I83" s="639"/>
    </row>
    <row r="84" spans="2:9" ht="15.75">
      <c r="B84" s="638" t="str">
        <f>CONCATENATE("Budget Year ",G14," is equal to or greater than that for Current Year Estimate ",E14,".")</f>
        <v>Budget Year 2014 is equal to or greater than that for Current Year Estimate 2013.</v>
      </c>
      <c r="C84" s="641"/>
      <c r="D84" s="641"/>
      <c r="E84" s="641"/>
      <c r="F84" s="641"/>
      <c r="G84" s="639"/>
      <c r="H84" s="639"/>
      <c r="I84" s="639"/>
    </row>
    <row r="85" spans="2:9">
      <c r="B85" s="641"/>
      <c r="C85" s="641"/>
      <c r="D85" s="641"/>
      <c r="E85" s="641"/>
      <c r="F85" s="641"/>
      <c r="G85" s="639"/>
      <c r="H85" s="639"/>
      <c r="I85" s="639"/>
    </row>
    <row r="86" spans="2:9" ht="15.75">
      <c r="B86" s="638" t="s">
        <v>855</v>
      </c>
      <c r="C86" s="641"/>
      <c r="D86" s="641"/>
      <c r="E86" s="641"/>
      <c r="F86" s="641"/>
      <c r="G86" s="639"/>
      <c r="H86" s="639"/>
      <c r="I86" s="639"/>
    </row>
    <row r="87" spans="2:9" ht="15.75">
      <c r="B87" s="638" t="s">
        <v>856</v>
      </c>
      <c r="C87" s="641"/>
      <c r="D87" s="641"/>
      <c r="E87" s="641"/>
      <c r="F87" s="641"/>
      <c r="G87" s="639"/>
      <c r="H87" s="639"/>
      <c r="I87" s="639"/>
    </row>
    <row r="88" spans="2:9" ht="15.75">
      <c r="B88" s="638" t="s">
        <v>857</v>
      </c>
      <c r="C88" s="641"/>
      <c r="D88" s="641"/>
      <c r="E88" s="641"/>
      <c r="F88" s="641"/>
      <c r="G88" s="639"/>
      <c r="H88" s="639"/>
      <c r="I88" s="639"/>
    </row>
    <row r="89" spans="2:9" ht="15.75">
      <c r="B89" s="638" t="str">
        <f>CONCATENATE("purpose for the previous (",E14,") year.")</f>
        <v>purpose for the previous (2013) year.</v>
      </c>
      <c r="C89" s="641"/>
      <c r="D89" s="641"/>
      <c r="E89" s="641"/>
      <c r="F89" s="641"/>
      <c r="G89" s="639"/>
      <c r="H89" s="639"/>
      <c r="I89" s="639"/>
    </row>
    <row r="90" spans="2:9">
      <c r="B90" s="641"/>
      <c r="C90" s="641"/>
      <c r="D90" s="641"/>
      <c r="E90" s="641"/>
      <c r="F90" s="641"/>
      <c r="G90" s="639"/>
      <c r="H90" s="639"/>
      <c r="I90" s="639"/>
    </row>
    <row r="91" spans="2:9" ht="15.75">
      <c r="B91" s="638" t="str">
        <f>CONCATENATE("Next, look to see if delinquent tax for ",G14," is budgeted. Often this line is budgeted at $0 or left")</f>
        <v>Next, look to see if delinquent tax for 2014 is budgeted. Often this line is budgeted at $0 or left</v>
      </c>
      <c r="C91" s="641"/>
      <c r="D91" s="641"/>
      <c r="E91" s="641"/>
      <c r="F91" s="641"/>
      <c r="G91" s="639"/>
      <c r="H91" s="639"/>
      <c r="I91" s="639"/>
    </row>
    <row r="92" spans="2:9" ht="15.75">
      <c r="B92" s="638" t="s">
        <v>858</v>
      </c>
      <c r="C92" s="641"/>
      <c r="D92" s="641"/>
      <c r="E92" s="641"/>
      <c r="F92" s="641"/>
      <c r="G92" s="639"/>
      <c r="H92" s="639"/>
      <c r="I92" s="639"/>
    </row>
    <row r="93" spans="2:9" ht="15.75">
      <c r="B93" s="638" t="s">
        <v>859</v>
      </c>
      <c r="C93" s="641"/>
      <c r="D93" s="641"/>
      <c r="E93" s="641"/>
      <c r="F93" s="641"/>
      <c r="G93" s="639"/>
      <c r="H93" s="639"/>
      <c r="I93" s="639"/>
    </row>
    <row r="94" spans="2:9" ht="15.75">
      <c r="B94" s="638" t="s">
        <v>860</v>
      </c>
      <c r="C94" s="641"/>
      <c r="D94" s="641"/>
      <c r="E94" s="641"/>
      <c r="F94" s="641"/>
      <c r="G94" s="639"/>
      <c r="H94" s="639"/>
      <c r="I94" s="639"/>
    </row>
    <row r="95" spans="2:9">
      <c r="B95" s="641"/>
      <c r="C95" s="641"/>
      <c r="D95" s="641"/>
      <c r="E95" s="641"/>
      <c r="F95" s="641"/>
      <c r="G95" s="639"/>
      <c r="H95" s="639"/>
      <c r="I95" s="639"/>
    </row>
    <row r="96" spans="2:9" ht="15.75">
      <c r="B96" s="640" t="s">
        <v>861</v>
      </c>
      <c r="C96" s="641"/>
      <c r="D96" s="641"/>
      <c r="E96" s="641"/>
      <c r="F96" s="641"/>
      <c r="G96" s="639"/>
      <c r="H96" s="639"/>
      <c r="I96" s="639"/>
    </row>
    <row r="97" spans="2:9">
      <c r="B97" s="641"/>
      <c r="C97" s="641"/>
      <c r="D97" s="641"/>
      <c r="E97" s="641"/>
      <c r="F97" s="641"/>
      <c r="G97" s="639"/>
      <c r="H97" s="639"/>
      <c r="I97" s="639"/>
    </row>
    <row r="98" spans="2:9" ht="15.75">
      <c r="B98" s="638" t="s">
        <v>862</v>
      </c>
      <c r="C98" s="641"/>
      <c r="D98" s="641"/>
      <c r="E98" s="641"/>
      <c r="F98" s="641"/>
      <c r="G98" s="639"/>
      <c r="H98" s="639"/>
      <c r="I98" s="639"/>
    </row>
    <row r="99" spans="2:9" ht="15.75">
      <c r="B99" s="638" t="s">
        <v>863</v>
      </c>
      <c r="C99" s="641"/>
      <c r="D99" s="641"/>
      <c r="E99" s="641"/>
      <c r="F99" s="641"/>
      <c r="G99" s="639"/>
      <c r="H99" s="639"/>
      <c r="I99" s="639"/>
    </row>
    <row r="100" spans="2:9">
      <c r="B100" s="641"/>
      <c r="C100" s="641"/>
      <c r="D100" s="641"/>
      <c r="E100" s="641"/>
      <c r="F100" s="641"/>
      <c r="G100" s="639"/>
      <c r="H100" s="639"/>
      <c r="I100" s="639"/>
    </row>
    <row r="101" spans="2:9" ht="15.75">
      <c r="B101" s="638" t="s">
        <v>864</v>
      </c>
      <c r="C101" s="641"/>
      <c r="D101" s="641"/>
      <c r="E101" s="641"/>
      <c r="F101" s="641"/>
      <c r="G101" s="639"/>
      <c r="H101" s="639"/>
      <c r="I101" s="639"/>
    </row>
    <row r="102" spans="2:9" ht="15.75">
      <c r="B102" s="638" t="s">
        <v>865</v>
      </c>
      <c r="C102" s="641"/>
      <c r="D102" s="641"/>
      <c r="E102" s="641"/>
      <c r="F102" s="641"/>
      <c r="G102" s="639"/>
      <c r="H102" s="639"/>
      <c r="I102" s="639"/>
    </row>
    <row r="103" spans="2:9" ht="15.75">
      <c r="B103" s="638" t="s">
        <v>866</v>
      </c>
      <c r="C103" s="641"/>
      <c r="D103" s="641"/>
      <c r="E103" s="641"/>
      <c r="F103" s="641"/>
      <c r="G103" s="639"/>
      <c r="H103" s="639"/>
      <c r="I103" s="639"/>
    </row>
    <row r="104" spans="2:9" ht="15.75">
      <c r="B104" s="638" t="s">
        <v>867</v>
      </c>
      <c r="C104" s="641"/>
      <c r="D104" s="641"/>
      <c r="E104" s="641"/>
      <c r="F104" s="641"/>
      <c r="G104" s="639"/>
      <c r="H104" s="639"/>
      <c r="I104" s="639"/>
    </row>
    <row r="105" spans="2:9">
      <c r="B105" s="753" t="s">
        <v>974</v>
      </c>
      <c r="C105" s="752"/>
      <c r="D105" s="752"/>
      <c r="E105" s="752"/>
      <c r="F105" s="752"/>
      <c r="G105" s="751"/>
      <c r="H105" s="751"/>
      <c r="I105" s="751"/>
    </row>
    <row r="108" spans="2:9">
      <c r="G108" s="647"/>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rowBreaks count="1" manualBreakCount="1">
    <brk id="40" max="16383" man="1"/>
  </rowBreaks>
</worksheet>
</file>

<file path=xl/worksheets/sheet13.xml><?xml version="1.0" encoding="utf-8"?>
<worksheet xmlns="http://schemas.openxmlformats.org/spreadsheetml/2006/main" xmlns:r="http://schemas.openxmlformats.org/officeDocument/2006/relationships">
  <dimension ref="B1:K144"/>
  <sheetViews>
    <sheetView topLeftCell="A85" zoomScaleNormal="100" workbookViewId="0">
      <selection activeCell="E100" sqref="E100"/>
    </sheetView>
  </sheetViews>
  <sheetFormatPr defaultRowHeight="15.75"/>
  <cols>
    <col min="1" max="1" width="2.44140625" style="22" customWidth="1"/>
    <col min="2" max="2" width="31.6640625" style="22" customWidth="1"/>
    <col min="3" max="4" width="15.77734375" style="22" customWidth="1"/>
    <col min="5" max="5" width="16.21875" style="22" customWidth="1"/>
    <col min="6" max="6" width="6.88671875" style="22" customWidth="1"/>
    <col min="7" max="7" width="10.21875" style="22" customWidth="1"/>
    <col min="8" max="8" width="8.88671875" style="22"/>
    <col min="9" max="9" width="5" style="22" customWidth="1"/>
    <col min="10" max="10" width="10" style="22" customWidth="1"/>
    <col min="11" max="16384" width="8.88671875" style="22"/>
  </cols>
  <sheetData>
    <row r="1" spans="2:5">
      <c r="B1" s="150" t="str">
        <f>inputPrYr!D2</f>
        <v>CITY OF HOXIE</v>
      </c>
      <c r="C1" s="21"/>
      <c r="D1" s="21"/>
      <c r="E1" s="210">
        <f>inputPrYr!C5</f>
        <v>2014</v>
      </c>
    </row>
    <row r="2" spans="2:5">
      <c r="B2" s="21"/>
      <c r="C2" s="21"/>
      <c r="D2" s="21"/>
      <c r="E2" s="146"/>
    </row>
    <row r="3" spans="2:5">
      <c r="B3" s="40"/>
      <c r="C3" s="21"/>
      <c r="D3" s="21"/>
      <c r="E3" s="118"/>
    </row>
    <row r="4" spans="2:5">
      <c r="B4" s="40" t="s">
        <v>91</v>
      </c>
      <c r="C4" s="219"/>
      <c r="D4" s="219"/>
      <c r="E4" s="219"/>
    </row>
    <row r="5" spans="2:5">
      <c r="B5" s="148" t="s">
        <v>24</v>
      </c>
      <c r="C5" s="658" t="s">
        <v>810</v>
      </c>
      <c r="D5" s="659" t="s">
        <v>813</v>
      </c>
      <c r="E5" s="124" t="s">
        <v>814</v>
      </c>
    </row>
    <row r="6" spans="2:5">
      <c r="B6" s="367" t="str">
        <f>inputPrYr!B17</f>
        <v>General</v>
      </c>
      <c r="C6" s="350" t="str">
        <f>CONCATENATE("Actual for ",E1-2,"")</f>
        <v>Actual for 2012</v>
      </c>
      <c r="D6" s="350" t="str">
        <f>CONCATENATE("Estimate for ",E1-1,"")</f>
        <v>Estimate for 2013</v>
      </c>
      <c r="E6" s="220" t="str">
        <f>CONCATENATE("Year for ",E1,"")</f>
        <v>Year for 2014</v>
      </c>
    </row>
    <row r="7" spans="2:5">
      <c r="B7" s="221" t="s">
        <v>146</v>
      </c>
      <c r="C7" s="222">
        <v>50461</v>
      </c>
      <c r="D7" s="349">
        <f>C112</f>
        <v>28072</v>
      </c>
      <c r="E7" s="191">
        <f>D112</f>
        <v>49513</v>
      </c>
    </row>
    <row r="8" spans="2:5">
      <c r="B8" s="224" t="s">
        <v>148</v>
      </c>
      <c r="C8" s="138"/>
      <c r="D8" s="138"/>
      <c r="E8" s="67"/>
    </row>
    <row r="9" spans="2:5">
      <c r="B9" s="221" t="s">
        <v>25</v>
      </c>
      <c r="C9" s="222">
        <v>52538</v>
      </c>
      <c r="D9" s="349">
        <f>IF(inputPrYr!H16&gt;0,inputPrYr!G17,inputPrYr!E17)</f>
        <v>74610</v>
      </c>
      <c r="E9" s="227" t="s">
        <v>13</v>
      </c>
    </row>
    <row r="10" spans="2:5">
      <c r="B10" s="221" t="s">
        <v>26</v>
      </c>
      <c r="C10" s="222">
        <v>770</v>
      </c>
      <c r="D10" s="222">
        <v>151</v>
      </c>
      <c r="E10" s="228"/>
    </row>
    <row r="11" spans="2:5">
      <c r="B11" s="221" t="s">
        <v>27</v>
      </c>
      <c r="C11" s="222">
        <v>13490</v>
      </c>
      <c r="D11" s="222">
        <v>13800</v>
      </c>
      <c r="E11" s="191">
        <f>mvalloc!D7</f>
        <v>18356</v>
      </c>
    </row>
    <row r="12" spans="2:5">
      <c r="B12" s="221" t="s">
        <v>28</v>
      </c>
      <c r="C12" s="222">
        <v>200</v>
      </c>
      <c r="D12" s="222">
        <v>179</v>
      </c>
      <c r="E12" s="191">
        <f>mvalloc!E7</f>
        <v>265</v>
      </c>
    </row>
    <row r="13" spans="2:5">
      <c r="B13" s="221" t="s">
        <v>123</v>
      </c>
      <c r="C13" s="222">
        <v>298</v>
      </c>
      <c r="D13" s="222">
        <v>350</v>
      </c>
      <c r="E13" s="191">
        <f>mvalloc!F7</f>
        <v>413</v>
      </c>
    </row>
    <row r="14" spans="2:5">
      <c r="B14" s="221" t="s">
        <v>124</v>
      </c>
      <c r="C14" s="222"/>
      <c r="D14" s="222"/>
      <c r="E14" s="191">
        <f>inputOth!E16</f>
        <v>0</v>
      </c>
    </row>
    <row r="15" spans="2:5">
      <c r="B15" s="221" t="s">
        <v>170</v>
      </c>
      <c r="C15" s="222"/>
      <c r="D15" s="222"/>
      <c r="E15" s="191">
        <f>inputOth!E42</f>
        <v>0</v>
      </c>
    </row>
    <row r="16" spans="2:5">
      <c r="B16" s="221" t="s">
        <v>171</v>
      </c>
      <c r="C16" s="222"/>
      <c r="D16" s="222"/>
      <c r="E16" s="191">
        <f>inputOth!E43</f>
        <v>0</v>
      </c>
    </row>
    <row r="17" spans="2:5">
      <c r="B17" s="225" t="s">
        <v>1009</v>
      </c>
      <c r="C17" s="222">
        <v>3494</v>
      </c>
      <c r="D17" s="222">
        <v>3477</v>
      </c>
      <c r="E17" s="49">
        <v>3500</v>
      </c>
    </row>
    <row r="18" spans="2:5">
      <c r="B18" s="225" t="s">
        <v>29</v>
      </c>
      <c r="C18" s="222">
        <v>522</v>
      </c>
      <c r="D18" s="222">
        <v>515</v>
      </c>
      <c r="E18" s="49">
        <v>515</v>
      </c>
    </row>
    <row r="19" spans="2:5">
      <c r="B19" s="510" t="s">
        <v>754</v>
      </c>
      <c r="C19" s="222">
        <v>26932</v>
      </c>
      <c r="D19" s="222">
        <v>34475</v>
      </c>
      <c r="E19" s="49">
        <v>37500</v>
      </c>
    </row>
    <row r="20" spans="2:5">
      <c r="B20" s="511" t="s">
        <v>755</v>
      </c>
      <c r="C20" s="222">
        <v>93571</v>
      </c>
      <c r="D20" s="222">
        <v>102925</v>
      </c>
      <c r="E20" s="49">
        <v>105000</v>
      </c>
    </row>
    <row r="21" spans="2:5">
      <c r="B21" s="511" t="s">
        <v>756</v>
      </c>
      <c r="C21" s="222">
        <v>89944</v>
      </c>
      <c r="D21" s="222">
        <v>95000</v>
      </c>
      <c r="E21" s="49">
        <v>95000</v>
      </c>
    </row>
    <row r="22" spans="2:5">
      <c r="B22" s="511" t="s">
        <v>757</v>
      </c>
      <c r="C22" s="222">
        <v>2000</v>
      </c>
      <c r="D22" s="222">
        <v>1250</v>
      </c>
      <c r="E22" s="49">
        <v>1500</v>
      </c>
    </row>
    <row r="23" spans="2:5">
      <c r="B23" s="784" t="s">
        <v>1010</v>
      </c>
      <c r="C23" s="222">
        <v>195</v>
      </c>
      <c r="D23" s="222">
        <v>360</v>
      </c>
      <c r="E23" s="49">
        <v>250</v>
      </c>
    </row>
    <row r="24" spans="2:5">
      <c r="B24" s="784" t="s">
        <v>1011</v>
      </c>
      <c r="C24" s="222">
        <v>11952</v>
      </c>
      <c r="D24" s="222">
        <v>15000</v>
      </c>
      <c r="E24" s="49">
        <v>16000</v>
      </c>
    </row>
    <row r="25" spans="2:5">
      <c r="B25" s="784" t="s">
        <v>1012</v>
      </c>
      <c r="C25" s="222">
        <v>11120</v>
      </c>
      <c r="D25" s="222">
        <v>20000</v>
      </c>
      <c r="E25" s="49">
        <v>20000</v>
      </c>
    </row>
    <row r="26" spans="2:5">
      <c r="B26" s="784" t="s">
        <v>270</v>
      </c>
      <c r="C26" s="222">
        <v>226</v>
      </c>
      <c r="D26" s="222">
        <v>1994</v>
      </c>
      <c r="E26" s="49">
        <v>1000</v>
      </c>
    </row>
    <row r="27" spans="2:5">
      <c r="B27" s="784" t="s">
        <v>1013</v>
      </c>
      <c r="C27" s="222">
        <v>12900</v>
      </c>
      <c r="D27" s="222">
        <v>12550</v>
      </c>
      <c r="E27" s="49">
        <v>12500</v>
      </c>
    </row>
    <row r="28" spans="2:5">
      <c r="B28" s="784" t="s">
        <v>1014</v>
      </c>
      <c r="C28" s="222">
        <v>1501</v>
      </c>
      <c r="D28" s="222">
        <v>208</v>
      </c>
      <c r="E28" s="49">
        <v>1000</v>
      </c>
    </row>
    <row r="29" spans="2:5">
      <c r="B29" s="784" t="s">
        <v>1015</v>
      </c>
      <c r="C29" s="222">
        <v>37875</v>
      </c>
      <c r="D29" s="222">
        <v>8500</v>
      </c>
      <c r="E29" s="49">
        <v>9000</v>
      </c>
    </row>
    <row r="30" spans="2:5">
      <c r="B30" s="784" t="s">
        <v>1016</v>
      </c>
      <c r="C30" s="222"/>
      <c r="D30" s="222"/>
      <c r="E30" s="49"/>
    </row>
    <row r="31" spans="2:5">
      <c r="B31" s="784" t="s">
        <v>75</v>
      </c>
      <c r="C31" s="222">
        <v>2904</v>
      </c>
      <c r="D31" s="222">
        <v>2394</v>
      </c>
      <c r="E31" s="49">
        <v>2400</v>
      </c>
    </row>
    <row r="32" spans="2:5">
      <c r="B32" s="784" t="s">
        <v>132</v>
      </c>
      <c r="C32" s="222"/>
      <c r="D32" s="222">
        <v>7803</v>
      </c>
      <c r="E32" s="49">
        <v>0</v>
      </c>
    </row>
    <row r="33" spans="2:5">
      <c r="B33" s="784" t="s">
        <v>1017</v>
      </c>
      <c r="C33" s="222">
        <v>30000</v>
      </c>
      <c r="D33" s="222">
        <v>31500</v>
      </c>
      <c r="E33" s="49">
        <v>30500</v>
      </c>
    </row>
    <row r="34" spans="2:5">
      <c r="B34" s="225" t="s">
        <v>1018</v>
      </c>
      <c r="C34" s="222"/>
      <c r="D34" s="222">
        <v>14500</v>
      </c>
      <c r="E34" s="49">
        <v>0</v>
      </c>
    </row>
    <row r="35" spans="2:5">
      <c r="B35" s="225"/>
      <c r="C35" s="222"/>
      <c r="D35" s="222"/>
      <c r="E35" s="49"/>
    </row>
    <row r="36" spans="2:5">
      <c r="B36" s="225"/>
      <c r="C36" s="222"/>
      <c r="D36" s="222"/>
      <c r="E36" s="49"/>
    </row>
    <row r="37" spans="2:5">
      <c r="B37" s="225"/>
      <c r="C37" s="222"/>
      <c r="D37" s="222"/>
      <c r="E37" s="49"/>
    </row>
    <row r="38" spans="2:5">
      <c r="B38" s="225"/>
      <c r="C38" s="222"/>
      <c r="D38" s="222"/>
      <c r="E38" s="49"/>
    </row>
    <row r="39" spans="2:5">
      <c r="B39" s="225"/>
      <c r="C39" s="222"/>
      <c r="D39" s="222"/>
      <c r="E39" s="49"/>
    </row>
    <row r="40" spans="2:5">
      <c r="B40" s="225"/>
      <c r="C40" s="222"/>
      <c r="D40" s="222"/>
      <c r="E40" s="49"/>
    </row>
    <row r="41" spans="2:5">
      <c r="B41" s="225"/>
      <c r="C41" s="222"/>
      <c r="D41" s="222"/>
      <c r="E41" s="49"/>
    </row>
    <row r="42" spans="2:5">
      <c r="B42" s="225"/>
      <c r="C42" s="222"/>
      <c r="D42" s="222"/>
      <c r="E42" s="49"/>
    </row>
    <row r="43" spans="2:5">
      <c r="B43" s="225"/>
      <c r="C43" s="222"/>
      <c r="D43" s="222"/>
      <c r="E43" s="49"/>
    </row>
    <row r="44" spans="2:5">
      <c r="B44" s="225"/>
      <c r="C44" s="222"/>
      <c r="D44" s="222"/>
      <c r="E44" s="49"/>
    </row>
    <row r="45" spans="2:5">
      <c r="B45" s="225"/>
      <c r="C45" s="222"/>
      <c r="D45" s="222"/>
      <c r="E45" s="49"/>
    </row>
    <row r="46" spans="2:5">
      <c r="B46" s="225"/>
      <c r="C46" s="222"/>
      <c r="D46" s="222"/>
      <c r="E46" s="49"/>
    </row>
    <row r="47" spans="2:5">
      <c r="B47" s="225"/>
      <c r="C47" s="222"/>
      <c r="D47" s="222"/>
      <c r="E47" s="49"/>
    </row>
    <row r="48" spans="2:5">
      <c r="B48" s="225"/>
      <c r="C48" s="222"/>
      <c r="D48" s="222"/>
      <c r="E48" s="49"/>
    </row>
    <row r="49" spans="2:5">
      <c r="B49" s="225"/>
      <c r="C49" s="222"/>
      <c r="D49" s="222"/>
      <c r="E49" s="49"/>
    </row>
    <row r="50" spans="2:5">
      <c r="B50" s="225"/>
      <c r="C50" s="222"/>
      <c r="D50" s="222"/>
      <c r="E50" s="49"/>
    </row>
    <row r="51" spans="2:5">
      <c r="B51" s="225"/>
      <c r="C51" s="222"/>
      <c r="D51" s="222"/>
      <c r="E51" s="49"/>
    </row>
    <row r="52" spans="2:5">
      <c r="B52" s="512" t="s">
        <v>30</v>
      </c>
      <c r="C52" s="222"/>
      <c r="D52" s="222"/>
      <c r="E52" s="49"/>
    </row>
    <row r="53" spans="2:5">
      <c r="B53" s="229" t="s">
        <v>31</v>
      </c>
      <c r="C53" s="222"/>
      <c r="D53" s="222"/>
      <c r="E53" s="49"/>
    </row>
    <row r="54" spans="2:5">
      <c r="B54" s="138" t="s">
        <v>270</v>
      </c>
      <c r="C54" s="222"/>
      <c r="D54" s="49"/>
      <c r="E54" s="223"/>
    </row>
    <row r="55" spans="2:5">
      <c r="B55" s="221" t="s">
        <v>793</v>
      </c>
      <c r="C55" s="347" t="str">
        <f>IF(C56*0.1&lt;C54,"Exceed 10% Rule","")</f>
        <v/>
      </c>
      <c r="D55" s="354" t="str">
        <f>IF(D56*0.1&lt;D54,"Exceed 10% Rule","")</f>
        <v/>
      </c>
      <c r="E55" s="230" t="str">
        <f>IF(E56*0.1+E118&lt;E54,"Exceed 10% Rule","")</f>
        <v/>
      </c>
    </row>
    <row r="56" spans="2:5">
      <c r="B56" s="231" t="s">
        <v>32</v>
      </c>
      <c r="C56" s="364">
        <f>SUM(C9:C54)</f>
        <v>392432</v>
      </c>
      <c r="D56" s="364">
        <f>SUM(D9:D54)</f>
        <v>441541</v>
      </c>
      <c r="E56" s="232">
        <f>SUM(E10:E54)</f>
        <v>354699</v>
      </c>
    </row>
    <row r="57" spans="2:5">
      <c r="B57" s="231" t="s">
        <v>33</v>
      </c>
      <c r="C57" s="364">
        <f>C7+C56</f>
        <v>442893</v>
      </c>
      <c r="D57" s="364">
        <f>D7+D56</f>
        <v>469613</v>
      </c>
      <c r="E57" s="232">
        <f>E7+E56</f>
        <v>404212</v>
      </c>
    </row>
    <row r="58" spans="2:5">
      <c r="B58" s="21"/>
      <c r="C58" s="21"/>
      <c r="D58" s="21"/>
      <c r="E58" s="21"/>
    </row>
    <row r="59" spans="2:5">
      <c r="B59" s="149"/>
      <c r="C59" s="118" t="s">
        <v>42</v>
      </c>
      <c r="D59" s="148">
        <f>IF(inputPrYr!D19&gt;0,8,7)</f>
        <v>8</v>
      </c>
      <c r="E59" s="149"/>
    </row>
    <row r="60" spans="2:5">
      <c r="B60" s="149"/>
      <c r="C60" s="149"/>
      <c r="D60" s="149"/>
      <c r="E60" s="149"/>
    </row>
    <row r="61" spans="2:5">
      <c r="B61" s="150" t="str">
        <f>inputPrYr!D2</f>
        <v>CITY OF HOXIE</v>
      </c>
      <c r="C61" s="21"/>
      <c r="D61" s="21"/>
      <c r="E61" s="146"/>
    </row>
    <row r="62" spans="2:5">
      <c r="B62" s="21"/>
      <c r="C62" s="21"/>
      <c r="D62" s="21"/>
      <c r="E62" s="118"/>
    </row>
    <row r="63" spans="2:5">
      <c r="B63" s="215" t="s">
        <v>90</v>
      </c>
      <c r="C63" s="185"/>
      <c r="D63" s="185"/>
      <c r="E63" s="185"/>
    </row>
    <row r="64" spans="2:5">
      <c r="B64" s="21" t="s">
        <v>24</v>
      </c>
      <c r="C64" s="658" t="str">
        <f t="shared" ref="C64:E65" si="0">C5</f>
        <v xml:space="preserve">Prior Year </v>
      </c>
      <c r="D64" s="659" t="str">
        <f t="shared" si="0"/>
        <v xml:space="preserve">Current Year </v>
      </c>
      <c r="E64" s="124" t="str">
        <f t="shared" si="0"/>
        <v xml:space="preserve">Proposed Budget </v>
      </c>
    </row>
    <row r="65" spans="2:6">
      <c r="B65" s="169" t="str">
        <f>inputPrYr!B17</f>
        <v>General</v>
      </c>
      <c r="C65" s="350" t="str">
        <f t="shared" si="0"/>
        <v>Actual for 2012</v>
      </c>
      <c r="D65" s="350" t="str">
        <f t="shared" si="0"/>
        <v>Estimate for 2013</v>
      </c>
      <c r="E65" s="220" t="str">
        <f t="shared" si="0"/>
        <v>Year for 2014</v>
      </c>
    </row>
    <row r="66" spans="2:6">
      <c r="B66" s="233" t="s">
        <v>33</v>
      </c>
      <c r="C66" s="349">
        <f>C57</f>
        <v>442893</v>
      </c>
      <c r="D66" s="349">
        <f>D57</f>
        <v>469613</v>
      </c>
      <c r="E66" s="191">
        <f>E57</f>
        <v>404212</v>
      </c>
    </row>
    <row r="67" spans="2:6">
      <c r="B67" s="221" t="s">
        <v>35</v>
      </c>
      <c r="C67" s="138"/>
      <c r="D67" s="138"/>
      <c r="E67" s="67"/>
    </row>
    <row r="68" spans="2:6">
      <c r="B68" s="234">
        <f>GenDetail!A7</f>
        <v>0</v>
      </c>
      <c r="C68" s="365">
        <f>GenDetail!B15</f>
        <v>0</v>
      </c>
      <c r="D68" s="365">
        <f>GenDetail!C15</f>
        <v>0</v>
      </c>
      <c r="E68" s="56">
        <f>GenDetail!D15</f>
        <v>0</v>
      </c>
    </row>
    <row r="69" spans="2:6">
      <c r="B69" s="234">
        <f>GenDetail!A16</f>
        <v>0</v>
      </c>
      <c r="C69" s="365">
        <f>GenDetail!B21</f>
        <v>0</v>
      </c>
      <c r="D69" s="365">
        <f>GenDetail!C21</f>
        <v>0</v>
      </c>
      <c r="E69" s="56">
        <f>GenDetail!D21</f>
        <v>0</v>
      </c>
    </row>
    <row r="70" spans="2:6">
      <c r="B70" s="234">
        <f>GenDetail!A22</f>
        <v>0</v>
      </c>
      <c r="C70" s="365">
        <f>GenDetail!B27</f>
        <v>0</v>
      </c>
      <c r="D70" s="365">
        <f>GenDetail!C27</f>
        <v>0</v>
      </c>
      <c r="E70" s="56">
        <f>GenDetail!D27</f>
        <v>0</v>
      </c>
    </row>
    <row r="71" spans="2:6">
      <c r="B71" s="234">
        <f>GenDetail!A28</f>
        <v>0</v>
      </c>
      <c r="C71" s="365">
        <f>GenDetail!B33</f>
        <v>0</v>
      </c>
      <c r="D71" s="365">
        <f>GenDetail!C33</f>
        <v>0</v>
      </c>
      <c r="E71" s="56">
        <f>GenDetail!D33</f>
        <v>0</v>
      </c>
    </row>
    <row r="72" spans="2:6">
      <c r="B72" s="234">
        <f>GenDetail!A34</f>
        <v>0</v>
      </c>
      <c r="C72" s="365">
        <f>GenDetail!B39</f>
        <v>0</v>
      </c>
      <c r="D72" s="365">
        <f>GenDetail!C39</f>
        <v>0</v>
      </c>
      <c r="E72" s="56">
        <f>GenDetail!D39</f>
        <v>0</v>
      </c>
    </row>
    <row r="73" spans="2:6">
      <c r="B73" s="234">
        <f>GenDetail!A40</f>
        <v>0</v>
      </c>
      <c r="C73" s="365">
        <f>GenDetail!B45</f>
        <v>0</v>
      </c>
      <c r="D73" s="365">
        <f>GenDetail!C45</f>
        <v>0</v>
      </c>
      <c r="E73" s="56">
        <f>GenDetail!D45</f>
        <v>0</v>
      </c>
    </row>
    <row r="74" spans="2:6">
      <c r="B74" s="234">
        <f>GenDetail!A46</f>
        <v>0</v>
      </c>
      <c r="C74" s="365">
        <f>GenDetail!B51</f>
        <v>0</v>
      </c>
      <c r="D74" s="365">
        <f>GenDetail!C51</f>
        <v>0</v>
      </c>
      <c r="E74" s="56">
        <f>GenDetail!D51</f>
        <v>0</v>
      </c>
    </row>
    <row r="75" spans="2:6">
      <c r="B75" s="234">
        <f>GenDetail!A52</f>
        <v>0</v>
      </c>
      <c r="C75" s="365">
        <f>GenDetail!B57</f>
        <v>0</v>
      </c>
      <c r="D75" s="365">
        <f>GenDetail!C57</f>
        <v>0</v>
      </c>
      <c r="E75" s="56">
        <f>GenDetail!D57</f>
        <v>0</v>
      </c>
    </row>
    <row r="76" spans="2:6">
      <c r="B76" s="235" t="s">
        <v>634</v>
      </c>
      <c r="C76" s="410">
        <f>SUM(C68:C75)</f>
        <v>0</v>
      </c>
      <c r="D76" s="410">
        <f>SUM(D68:D75)</f>
        <v>0</v>
      </c>
      <c r="E76" s="254">
        <f>SUM(E68:E75)</f>
        <v>0</v>
      </c>
      <c r="F76" s="236"/>
    </row>
    <row r="77" spans="2:6">
      <c r="B77" s="785" t="s">
        <v>1019</v>
      </c>
      <c r="C77" s="222"/>
      <c r="D77" s="222"/>
      <c r="E77" s="49"/>
    </row>
    <row r="78" spans="2:6">
      <c r="B78" s="785" t="s">
        <v>1020</v>
      </c>
      <c r="C78" s="222">
        <v>83246</v>
      </c>
      <c r="D78" s="222">
        <v>84625</v>
      </c>
      <c r="E78" s="49">
        <v>88500</v>
      </c>
    </row>
    <row r="79" spans="2:6">
      <c r="B79" s="785" t="s">
        <v>1021</v>
      </c>
      <c r="C79" s="222">
        <v>44142</v>
      </c>
      <c r="D79" s="222">
        <v>46679</v>
      </c>
      <c r="E79" s="49">
        <v>47500</v>
      </c>
    </row>
    <row r="80" spans="2:6">
      <c r="B80" s="785" t="s">
        <v>37</v>
      </c>
      <c r="C80" s="222">
        <v>36826</v>
      </c>
      <c r="D80" s="222">
        <v>10328</v>
      </c>
      <c r="E80" s="49">
        <v>10600</v>
      </c>
    </row>
    <row r="81" spans="2:5">
      <c r="B81" s="786" t="s">
        <v>1022</v>
      </c>
      <c r="C81" s="222"/>
      <c r="D81" s="222"/>
      <c r="E81" s="49"/>
    </row>
    <row r="82" spans="2:5">
      <c r="B82" s="787" t="s">
        <v>1020</v>
      </c>
      <c r="C82" s="222">
        <v>27160</v>
      </c>
      <c r="D82" s="222">
        <v>27975</v>
      </c>
      <c r="E82" s="49">
        <v>29200</v>
      </c>
    </row>
    <row r="83" spans="2:5">
      <c r="B83" s="787" t="s">
        <v>1021</v>
      </c>
      <c r="C83" s="222">
        <v>35236</v>
      </c>
      <c r="D83" s="222">
        <v>39075</v>
      </c>
      <c r="E83" s="49">
        <v>42500</v>
      </c>
    </row>
    <row r="84" spans="2:5">
      <c r="B84" s="787" t="s">
        <v>37</v>
      </c>
      <c r="C84" s="222">
        <v>24908</v>
      </c>
      <c r="D84" s="222">
        <v>31230</v>
      </c>
      <c r="E84" s="49">
        <v>34000</v>
      </c>
    </row>
    <row r="85" spans="2:5">
      <c r="B85" s="786" t="s">
        <v>1023</v>
      </c>
      <c r="C85" s="222"/>
      <c r="D85" s="222"/>
      <c r="E85" s="49"/>
    </row>
    <row r="86" spans="2:5">
      <c r="B86" s="786" t="s">
        <v>1020</v>
      </c>
      <c r="C86" s="222">
        <v>21488</v>
      </c>
      <c r="D86" s="222">
        <v>34000</v>
      </c>
      <c r="E86" s="49">
        <v>38000</v>
      </c>
    </row>
    <row r="87" spans="2:5">
      <c r="B87" s="786" t="s">
        <v>1021</v>
      </c>
      <c r="C87" s="222">
        <v>15444</v>
      </c>
      <c r="D87" s="222">
        <v>20970</v>
      </c>
      <c r="E87" s="49">
        <v>20000</v>
      </c>
    </row>
    <row r="88" spans="2:5">
      <c r="B88" s="786" t="s">
        <v>37</v>
      </c>
      <c r="C88" s="222">
        <v>12122</v>
      </c>
      <c r="D88" s="222">
        <v>18652</v>
      </c>
      <c r="E88" s="49">
        <v>18000</v>
      </c>
    </row>
    <row r="89" spans="2:5">
      <c r="B89" s="787" t="s">
        <v>1024</v>
      </c>
      <c r="C89" s="222"/>
      <c r="D89" s="222"/>
      <c r="E89" s="49"/>
    </row>
    <row r="90" spans="2:5">
      <c r="B90" s="787" t="s">
        <v>1020</v>
      </c>
      <c r="C90" s="222">
        <v>81052</v>
      </c>
      <c r="D90" s="222">
        <v>81839</v>
      </c>
      <c r="E90" s="49">
        <v>85500</v>
      </c>
    </row>
    <row r="91" spans="2:5">
      <c r="B91" s="787" t="s">
        <v>1021</v>
      </c>
      <c r="C91" s="222">
        <v>9415</v>
      </c>
      <c r="D91" s="222">
        <v>3547</v>
      </c>
      <c r="E91" s="49">
        <v>9500</v>
      </c>
    </row>
    <row r="92" spans="2:5">
      <c r="B92" s="787" t="s">
        <v>37</v>
      </c>
      <c r="C92" s="222">
        <v>11009</v>
      </c>
      <c r="D92" s="222">
        <v>11619</v>
      </c>
      <c r="E92" s="49">
        <v>14000</v>
      </c>
    </row>
    <row r="93" spans="2:5">
      <c r="B93" s="787" t="s">
        <v>1059</v>
      </c>
      <c r="C93" s="222"/>
      <c r="D93" s="222"/>
      <c r="E93" s="49">
        <v>18000</v>
      </c>
    </row>
    <row r="94" spans="2:5">
      <c r="B94" s="787" t="s">
        <v>1025</v>
      </c>
      <c r="C94" s="222"/>
      <c r="D94" s="222"/>
      <c r="E94" s="49"/>
    </row>
    <row r="95" spans="2:5">
      <c r="B95" s="787" t="s">
        <v>1020</v>
      </c>
      <c r="C95" s="222">
        <v>0</v>
      </c>
      <c r="D95" s="222">
        <v>0</v>
      </c>
      <c r="E95" s="49"/>
    </row>
    <row r="96" spans="2:5">
      <c r="B96" s="787" t="s">
        <v>1021</v>
      </c>
      <c r="C96" s="222">
        <v>264</v>
      </c>
      <c r="D96" s="222">
        <v>220</v>
      </c>
      <c r="E96" s="49">
        <v>300</v>
      </c>
    </row>
    <row r="97" spans="2:11">
      <c r="B97" s="787" t="s">
        <v>37</v>
      </c>
      <c r="C97" s="222">
        <v>9</v>
      </c>
      <c r="D97" s="222">
        <v>341</v>
      </c>
      <c r="E97" s="49">
        <v>300</v>
      </c>
    </row>
    <row r="98" spans="2:11">
      <c r="B98" s="237"/>
      <c r="C98" s="222"/>
      <c r="D98" s="222"/>
      <c r="E98" s="49"/>
    </row>
    <row r="99" spans="2:11">
      <c r="B99" s="788" t="s">
        <v>1026</v>
      </c>
      <c r="C99" s="222">
        <v>12500</v>
      </c>
      <c r="D99" s="222"/>
      <c r="E99" s="49">
        <v>32000</v>
      </c>
    </row>
    <row r="100" spans="2:11">
      <c r="B100" s="788" t="s">
        <v>1027</v>
      </c>
      <c r="C100" s="222"/>
      <c r="D100" s="222"/>
      <c r="E100" s="49"/>
    </row>
    <row r="101" spans="2:11">
      <c r="B101" s="237" t="s">
        <v>1028</v>
      </c>
      <c r="C101" s="222"/>
      <c r="D101" s="222">
        <v>9000</v>
      </c>
      <c r="E101" s="49"/>
      <c r="G101" s="832" t="str">
        <f>CONCATENATE("Desired Carryover Into ",E1+1,"")</f>
        <v>Desired Carryover Into 2015</v>
      </c>
      <c r="H101" s="833"/>
      <c r="I101" s="833"/>
      <c r="J101" s="834"/>
    </row>
    <row r="102" spans="2:11">
      <c r="B102" s="237"/>
      <c r="C102" s="222"/>
      <c r="D102" s="222"/>
      <c r="E102" s="49"/>
      <c r="G102" s="475"/>
      <c r="H102" s="474"/>
      <c r="I102" s="474"/>
      <c r="J102" s="476"/>
    </row>
    <row r="103" spans="2:11">
      <c r="B103" s="237"/>
      <c r="C103" s="222"/>
      <c r="D103" s="222"/>
      <c r="E103" s="49"/>
      <c r="G103" s="403" t="s">
        <v>637</v>
      </c>
      <c r="H103" s="397"/>
      <c r="I103" s="397"/>
      <c r="J103" s="392">
        <v>0</v>
      </c>
    </row>
    <row r="104" spans="2:11">
      <c r="B104" s="237"/>
      <c r="C104" s="222"/>
      <c r="D104" s="222"/>
      <c r="E104" s="49"/>
      <c r="G104" s="478" t="s">
        <v>638</v>
      </c>
      <c r="H104" s="390"/>
      <c r="I104" s="391"/>
      <c r="J104" s="473" t="str">
        <f>IF(J103=0,"",ROUND((J103+E118-G116)/inputOth!E7*1000,3)-G121)</f>
        <v/>
      </c>
    </row>
    <row r="105" spans="2:11">
      <c r="B105" s="237"/>
      <c r="C105" s="222"/>
      <c r="D105" s="222"/>
      <c r="E105" s="49"/>
      <c r="G105" s="567" t="str">
        <f>CONCATENATE("",E1," Tot Exp/Non-Appr Must Be:")</f>
        <v>2014 Tot Exp/Non-Appr Must Be:</v>
      </c>
      <c r="H105" s="568"/>
      <c r="I105" s="569"/>
      <c r="J105" s="570">
        <f>IF(J103&gt;0,IF(E115&lt;E57,IF(J103=G116,E115,((J103-G116)*(1-D117))+E57),E115+(J103-G116)),0)</f>
        <v>0</v>
      </c>
    </row>
    <row r="106" spans="2:11">
      <c r="B106" s="237"/>
      <c r="C106" s="222"/>
      <c r="D106" s="222"/>
      <c r="E106" s="49"/>
      <c r="G106" s="589" t="s">
        <v>815</v>
      </c>
      <c r="H106" s="566"/>
      <c r="I106" s="566"/>
      <c r="J106" s="725">
        <f>IF(J103&gt;0,J105-E115,0)</f>
        <v>0</v>
      </c>
    </row>
    <row r="107" spans="2:11">
      <c r="B107" s="237"/>
      <c r="C107" s="222"/>
      <c r="D107" s="222"/>
      <c r="E107" s="49"/>
    </row>
    <row r="108" spans="2:11" ht="15.75" customHeight="1">
      <c r="B108" s="238" t="s">
        <v>271</v>
      </c>
      <c r="C108" s="222"/>
      <c r="D108" s="222"/>
      <c r="E108" s="56">
        <f>nhood!E6</f>
        <v>1635</v>
      </c>
      <c r="G108" s="832" t="str">
        <f>CONCATENATE("Projected Carryover Into ",E1+1,"")</f>
        <v>Projected Carryover Into 2015</v>
      </c>
      <c r="H108" s="842"/>
      <c r="I108" s="842"/>
      <c r="J108" s="843"/>
    </row>
    <row r="109" spans="2:11">
      <c r="B109" s="238" t="s">
        <v>270</v>
      </c>
      <c r="C109" s="222"/>
      <c r="D109" s="222"/>
      <c r="E109" s="49"/>
      <c r="G109" s="475"/>
      <c r="H109" s="474"/>
      <c r="I109" s="474"/>
      <c r="J109" s="476"/>
    </row>
    <row r="110" spans="2:11">
      <c r="B110" s="238" t="s">
        <v>794</v>
      </c>
      <c r="C110" s="347" t="str">
        <f>IF(C111*0.1&lt;C109,"Exceed 10% Rule","")</f>
        <v/>
      </c>
      <c r="D110" s="354" t="str">
        <f>IF(D111*0.1&lt;D109,"Exceed 10% Rule","")</f>
        <v/>
      </c>
      <c r="E110" s="253" t="str">
        <f>IF(E111*0.1&lt;E109,"Exceed 10% Rule","")</f>
        <v/>
      </c>
      <c r="G110" s="394">
        <f>D112</f>
        <v>49513</v>
      </c>
      <c r="H110" s="395" t="str">
        <f>CONCATENATE("",E1-1," Ending Cash Balance (est.)")</f>
        <v>2013 Ending Cash Balance (est.)</v>
      </c>
      <c r="I110" s="396"/>
      <c r="J110" s="476"/>
    </row>
    <row r="111" spans="2:11">
      <c r="B111" s="231" t="s">
        <v>39</v>
      </c>
      <c r="C111" s="364">
        <f>SUM(C76:C109)</f>
        <v>414821</v>
      </c>
      <c r="D111" s="364">
        <f>SUM(D76:D109)</f>
        <v>420100</v>
      </c>
      <c r="E111" s="232">
        <f>SUM(E76:E109)</f>
        <v>489535</v>
      </c>
      <c r="G111" s="394">
        <f>E56</f>
        <v>354699</v>
      </c>
      <c r="H111" s="397" t="str">
        <f>CONCATENATE("",E1," Non-AV Receipts (est.)")</f>
        <v>2014 Non-AV Receipts (est.)</v>
      </c>
      <c r="I111" s="396"/>
      <c r="J111" s="476"/>
    </row>
    <row r="112" spans="2:11">
      <c r="B112" s="130" t="s">
        <v>147</v>
      </c>
      <c r="C112" s="365">
        <f>C57-C111</f>
        <v>28072</v>
      </c>
      <c r="D112" s="365">
        <f>D57-D111</f>
        <v>49513</v>
      </c>
      <c r="E112" s="252" t="s">
        <v>13</v>
      </c>
      <c r="G112" s="398">
        <f>IF(E117&gt;0,E116,E118)</f>
        <v>85323</v>
      </c>
      <c r="H112" s="397" t="str">
        <f>CONCATENATE("",E1," Ad Valorem Tax (est.)")</f>
        <v>2014 Ad Valorem Tax (est.)</v>
      </c>
      <c r="I112" s="396"/>
      <c r="J112" s="476"/>
      <c r="K112" s="731" t="str">
        <f>IF(G112=E118,"","Note: Does not include Delinquent Taxes")</f>
        <v>Note: Does not include Delinquent Taxes</v>
      </c>
    </row>
    <row r="113" spans="2:11">
      <c r="B113" s="118" t="str">
        <f>CONCATENATE("",$E$1-2,"/",$E$1-1," Budget Authority Amount:")</f>
        <v>2012/2013 Budget Authority Amount:</v>
      </c>
      <c r="C113" s="181">
        <f>inputOth!B61</f>
        <v>468801</v>
      </c>
      <c r="D113" s="240">
        <f>inputPrYr!D17</f>
        <v>420807</v>
      </c>
      <c r="E113" s="252" t="s">
        <v>13</v>
      </c>
      <c r="F113" s="241"/>
      <c r="G113" s="394">
        <f>SUM(G110:G112)</f>
        <v>489535</v>
      </c>
      <c r="H113" s="397" t="str">
        <f>CONCATENATE("Total ",E1," Resources Available")</f>
        <v>Total 2014 Resources Available</v>
      </c>
      <c r="I113" s="396"/>
      <c r="J113" s="476"/>
    </row>
    <row r="114" spans="2:11">
      <c r="B114" s="118"/>
      <c r="C114" s="835" t="s">
        <v>629</v>
      </c>
      <c r="D114" s="836"/>
      <c r="E114" s="49"/>
      <c r="F114" s="385" t="str">
        <f>IF((E111/0.95)-E111&lt;E114,"Exceeds 5% ","")</f>
        <v/>
      </c>
      <c r="G114" s="399"/>
      <c r="H114" s="397"/>
      <c r="I114" s="397"/>
      <c r="J114" s="476"/>
    </row>
    <row r="115" spans="2:11">
      <c r="B115" s="370" t="str">
        <f>CONCATENATE(C143,"     ",D143)</f>
        <v xml:space="preserve">     </v>
      </c>
      <c r="C115" s="837" t="s">
        <v>630</v>
      </c>
      <c r="D115" s="838"/>
      <c r="E115" s="191">
        <f>E111+E114</f>
        <v>489535</v>
      </c>
      <c r="G115" s="398">
        <f>ROUND(C111*0.05+C111,0)</f>
        <v>435562</v>
      </c>
      <c r="H115" s="397" t="str">
        <f>CONCATENATE("Less ",E1-2," Expenditures + 5%")</f>
        <v>Less 2012 Expenditures + 5%</v>
      </c>
      <c r="I115" s="396"/>
      <c r="J115" s="393"/>
    </row>
    <row r="116" spans="2:11">
      <c r="B116" s="370" t="str">
        <f>CONCATENATE(C144,"     ",D144)</f>
        <v xml:space="preserve">     </v>
      </c>
      <c r="C116" s="242"/>
      <c r="D116" s="146" t="s">
        <v>40</v>
      </c>
      <c r="E116" s="56">
        <f>IF(E115-E57&gt;0,E115-E57,0)</f>
        <v>85323</v>
      </c>
      <c r="G116" s="404">
        <f>G113-G115</f>
        <v>53973</v>
      </c>
      <c r="H116" s="400" t="str">
        <f>CONCATENATE("Projected ",E1+1," Carryover (est.)")</f>
        <v>Projected 2015 Carryover (est.)</v>
      </c>
      <c r="I116" s="401"/>
      <c r="J116" s="402"/>
    </row>
    <row r="117" spans="2:11">
      <c r="B117" s="118"/>
      <c r="C117" s="356" t="s">
        <v>631</v>
      </c>
      <c r="D117" s="591">
        <f>inputOth!E47</f>
        <v>0.01</v>
      </c>
      <c r="E117" s="56">
        <f>ROUND(IF(D117&gt;0,(E116*D117),0),0)</f>
        <v>853</v>
      </c>
    </row>
    <row r="118" spans="2:11" ht="16.5" thickBot="1">
      <c r="B118" s="21"/>
      <c r="C118" s="839" t="str">
        <f>CONCATENATE("Amount of  ",$E$1-1," Ad Valorem Tax")</f>
        <v>Amount of  2013 Ad Valorem Tax</v>
      </c>
      <c r="D118" s="840"/>
      <c r="E118" s="353">
        <f>E116+E117</f>
        <v>86176</v>
      </c>
      <c r="G118" s="844" t="s">
        <v>871</v>
      </c>
      <c r="H118" s="845"/>
      <c r="I118" s="845"/>
      <c r="J118" s="846"/>
    </row>
    <row r="119" spans="2:11" ht="16.5" thickTop="1">
      <c r="B119" s="21"/>
      <c r="C119" s="839"/>
      <c r="D119" s="841"/>
      <c r="E119" s="660"/>
      <c r="G119" s="661"/>
      <c r="H119" s="662"/>
      <c r="I119" s="663"/>
      <c r="J119" s="664"/>
    </row>
    <row r="120" spans="2:11">
      <c r="B120" s="21"/>
      <c r="C120" s="21"/>
      <c r="D120" s="21"/>
      <c r="E120" s="21"/>
      <c r="G120" s="665">
        <f>summ!H16</f>
        <v>13.307</v>
      </c>
      <c r="H120" s="662" t="str">
        <f>CONCATENATE("",E1," Fund Mill Rate")</f>
        <v>2014 Fund Mill Rate</v>
      </c>
      <c r="I120" s="663"/>
      <c r="J120" s="664"/>
    </row>
    <row r="121" spans="2:11">
      <c r="B121" s="149"/>
      <c r="C121" s="118" t="s">
        <v>42</v>
      </c>
      <c r="D121" s="148" t="str">
        <f>CONCATENATE("",D59,"a")</f>
        <v>8a</v>
      </c>
      <c r="E121" s="149"/>
      <c r="G121" s="666">
        <f>summ!E16</f>
        <v>11.91</v>
      </c>
      <c r="H121" s="662" t="str">
        <f>CONCATENATE("",E1-1," Fund Mill Rate")</f>
        <v>2013 Fund Mill Rate</v>
      </c>
      <c r="I121" s="663"/>
      <c r="J121" s="664"/>
    </row>
    <row r="122" spans="2:11">
      <c r="G122" s="667">
        <f>summ!H43</f>
        <v>46.652000000000001</v>
      </c>
      <c r="H122" s="662" t="str">
        <f>CONCATENATE("Total ",E1," Mill Rate")</f>
        <v>Total 2014 Mill Rate</v>
      </c>
      <c r="I122" s="663"/>
      <c r="J122" s="664"/>
    </row>
    <row r="123" spans="2:11">
      <c r="B123" s="82"/>
      <c r="G123" s="666">
        <f>summ!E43</f>
        <v>48.61</v>
      </c>
      <c r="H123" s="668" t="str">
        <f>CONCATENATE("Total ",E1-1," Mill Rate")</f>
        <v>Total 2013 Mill Rate</v>
      </c>
      <c r="I123" s="669"/>
      <c r="J123" s="670"/>
    </row>
    <row r="124" spans="2:11">
      <c r="K124" s="565"/>
    </row>
    <row r="125" spans="2:11">
      <c r="G125" s="779" t="s">
        <v>977</v>
      </c>
      <c r="H125" s="755"/>
      <c r="I125" s="754" t="str">
        <f>cert!F49</f>
        <v>No</v>
      </c>
    </row>
    <row r="126" spans="2:11">
      <c r="B126" s="8"/>
      <c r="C126" s="8"/>
    </row>
    <row r="143" spans="3:4" hidden="1">
      <c r="C143" s="22" t="str">
        <f>IF(C111&gt;C113,"See Tab A","")</f>
        <v/>
      </c>
      <c r="D143" s="22" t="str">
        <f>IF(D111&gt;D113,"See Tab C","")</f>
        <v/>
      </c>
    </row>
    <row r="144" spans="3:4" hidden="1">
      <c r="C144" s="22" t="str">
        <f>IF(C112&lt;0,"See Tab B","")</f>
        <v/>
      </c>
      <c r="D144" s="22" t="str">
        <f>IF(D112&lt;0,"See Tab D","")</f>
        <v/>
      </c>
    </row>
  </sheetData>
  <sheetProtection sheet="1"/>
  <mergeCells count="7">
    <mergeCell ref="G101:J101"/>
    <mergeCell ref="C114:D114"/>
    <mergeCell ref="C115:D115"/>
    <mergeCell ref="C118:D118"/>
    <mergeCell ref="C119:D119"/>
    <mergeCell ref="G108:J108"/>
    <mergeCell ref="G118:J118"/>
  </mergeCells>
  <phoneticPr fontId="0" type="noConversion"/>
  <conditionalFormatting sqref="E114">
    <cfRule type="cellIs" dxfId="247" priority="2" stopIfTrue="1" operator="greaterThan">
      <formula>$E$111/0.95-$E$111</formula>
    </cfRule>
  </conditionalFormatting>
  <conditionalFormatting sqref="E109">
    <cfRule type="cellIs" dxfId="246" priority="3" stopIfTrue="1" operator="greaterThan">
      <formula>$E$111*0.1</formula>
    </cfRule>
  </conditionalFormatting>
  <conditionalFormatting sqref="D111">
    <cfRule type="cellIs" dxfId="245" priority="4" stopIfTrue="1" operator="greaterThan">
      <formula>$D$113</formula>
    </cfRule>
  </conditionalFormatting>
  <conditionalFormatting sqref="C111">
    <cfRule type="cellIs" dxfId="244" priority="5" stopIfTrue="1" operator="greaterThan">
      <formula>$C$113</formula>
    </cfRule>
  </conditionalFormatting>
  <conditionalFormatting sqref="C112">
    <cfRule type="cellIs" dxfId="243" priority="6" stopIfTrue="1" operator="lessThan">
      <formula>0</formula>
    </cfRule>
  </conditionalFormatting>
  <conditionalFormatting sqref="C109">
    <cfRule type="cellIs" dxfId="242" priority="7" stopIfTrue="1" operator="greaterThan">
      <formula>$C$111*0.1</formula>
    </cfRule>
  </conditionalFormatting>
  <conditionalFormatting sqref="D109">
    <cfRule type="cellIs" dxfId="241" priority="8" stopIfTrue="1" operator="greaterThan">
      <formula>$D$111*0.1</formula>
    </cfRule>
  </conditionalFormatting>
  <conditionalFormatting sqref="D54">
    <cfRule type="cellIs" dxfId="240" priority="9" stopIfTrue="1" operator="greaterThan">
      <formula>$D$56*0.1</formula>
    </cfRule>
  </conditionalFormatting>
  <conditionalFormatting sqref="C54">
    <cfRule type="cellIs" dxfId="239" priority="10" stopIfTrue="1" operator="greaterThan">
      <formula>$C$56*0.1</formula>
    </cfRule>
  </conditionalFormatting>
  <conditionalFormatting sqref="E54">
    <cfRule type="cellIs" dxfId="238" priority="11" stopIfTrue="1" operator="greaterThan">
      <formula>$E$56*0.1+E118</formula>
    </cfRule>
  </conditionalFormatting>
  <conditionalFormatting sqref="D112">
    <cfRule type="cellIs" dxfId="237" priority="1" stopIfTrue="1" operator="lessThan">
      <formula>0</formula>
    </cfRule>
  </conditionalFormatting>
  <pageMargins left="0.5" right="0.5" top="1" bottom="0.5" header="0.5" footer="0.25"/>
  <pageSetup scale="68" fitToHeight="2" orientation="portrait" blackAndWhite="1" r:id="rId1"/>
  <headerFooter alignWithMargins="0">
    <oddHeader xml:space="preserve">&amp;RState of Kansas
City
</oddHeader>
  </headerFooter>
  <rowBreaks count="1" manualBreakCount="1">
    <brk id="60" max="16383" man="1"/>
  </rowBreaks>
</worksheet>
</file>

<file path=xl/worksheets/sheet14.xml><?xml version="1.0" encoding="utf-8"?>
<worksheet xmlns="http://schemas.openxmlformats.org/spreadsheetml/2006/main" xmlns:r="http://schemas.openxmlformats.org/officeDocument/2006/relationships">
  <sheetPr>
    <pageSetUpPr fitToPage="1"/>
  </sheetPr>
  <dimension ref="A1:D61"/>
  <sheetViews>
    <sheetView topLeftCell="A37" workbookViewId="0">
      <selection activeCell="B61" sqref="B61"/>
    </sheetView>
  </sheetViews>
  <sheetFormatPr defaultRowHeight="15.75"/>
  <cols>
    <col min="1" max="1" width="28.33203125" style="8" customWidth="1"/>
    <col min="2" max="3" width="15.77734375" style="8" customWidth="1"/>
    <col min="4" max="4" width="16.109375" style="8" customWidth="1"/>
    <col min="5" max="16384" width="8.88671875" style="8"/>
  </cols>
  <sheetData>
    <row r="1" spans="1:4">
      <c r="A1" s="150" t="str">
        <f>inputPrYr!D2</f>
        <v>CITY OF HOXIE</v>
      </c>
      <c r="B1" s="21"/>
      <c r="C1" s="148"/>
      <c r="D1" s="21">
        <f>inputPrYr!C5</f>
        <v>2014</v>
      </c>
    </row>
    <row r="2" spans="1:4">
      <c r="A2" s="21"/>
      <c r="B2" s="21"/>
      <c r="C2" s="21"/>
      <c r="D2" s="148"/>
    </row>
    <row r="3" spans="1:4">
      <c r="A3" s="40"/>
      <c r="B3" s="244"/>
      <c r="C3" s="244"/>
      <c r="D3" s="244"/>
    </row>
    <row r="4" spans="1:4">
      <c r="A4" s="148" t="s">
        <v>24</v>
      </c>
      <c r="B4" s="245" t="s">
        <v>810</v>
      </c>
      <c r="C4" s="124" t="s">
        <v>813</v>
      </c>
      <c r="D4" s="124" t="s">
        <v>814</v>
      </c>
    </row>
    <row r="5" spans="1:4">
      <c r="A5" s="521" t="s">
        <v>306</v>
      </c>
      <c r="B5" s="350" t="str">
        <f>CONCATENATE("Actual for ",D1-2,"")</f>
        <v>Actual for 2012</v>
      </c>
      <c r="C5" s="350" t="str">
        <f>CONCATENATE("Estimate for ",D1-1,"")</f>
        <v>Estimate for 2013</v>
      </c>
      <c r="D5" s="220" t="str">
        <f>CONCATENATE("Year for ",D1,"")</f>
        <v>Year for 2014</v>
      </c>
    </row>
    <row r="6" spans="1:4">
      <c r="A6" s="189" t="s">
        <v>35</v>
      </c>
      <c r="B6" s="67"/>
      <c r="C6" s="67"/>
      <c r="D6" s="67"/>
    </row>
    <row r="7" spans="1:4">
      <c r="A7" s="246"/>
      <c r="B7" s="67"/>
      <c r="C7" s="67"/>
      <c r="D7" s="67"/>
    </row>
    <row r="8" spans="1:4">
      <c r="A8" s="247" t="s">
        <v>43</v>
      </c>
      <c r="B8" s="228"/>
      <c r="C8" s="228"/>
      <c r="D8" s="228"/>
    </row>
    <row r="9" spans="1:4">
      <c r="A9" s="247" t="s">
        <v>36</v>
      </c>
      <c r="B9" s="228"/>
      <c r="C9" s="228"/>
      <c r="D9" s="228"/>
    </row>
    <row r="10" spans="1:4">
      <c r="A10" s="247" t="s">
        <v>37</v>
      </c>
      <c r="B10" s="228"/>
      <c r="C10" s="228"/>
      <c r="D10" s="228"/>
    </row>
    <row r="11" spans="1:4">
      <c r="A11" s="247" t="s">
        <v>38</v>
      </c>
      <c r="B11" s="228"/>
      <c r="C11" s="228"/>
      <c r="D11" s="228"/>
    </row>
    <row r="12" spans="1:4">
      <c r="A12" s="247"/>
      <c r="B12" s="228"/>
      <c r="C12" s="228"/>
      <c r="D12" s="228"/>
    </row>
    <row r="13" spans="1:4">
      <c r="A13" s="52"/>
      <c r="B13" s="228"/>
      <c r="C13" s="228"/>
      <c r="D13" s="228"/>
    </row>
    <row r="14" spans="1:4">
      <c r="A14" s="52"/>
      <c r="B14" s="228"/>
      <c r="C14" s="228"/>
      <c r="D14" s="228"/>
    </row>
    <row r="15" spans="1:4">
      <c r="A15" s="189" t="s">
        <v>335</v>
      </c>
      <c r="B15" s="239">
        <f>SUM(B8:B14)</f>
        <v>0</v>
      </c>
      <c r="C15" s="239">
        <f>SUM(C8:C14)</f>
        <v>0</v>
      </c>
      <c r="D15" s="239">
        <f>SUM(D8:D14)</f>
        <v>0</v>
      </c>
    </row>
    <row r="16" spans="1:4">
      <c r="A16" s="248"/>
      <c r="B16" s="150"/>
      <c r="C16" s="150"/>
      <c r="D16" s="150"/>
    </row>
    <row r="17" spans="1:4">
      <c r="A17" s="247" t="s">
        <v>43</v>
      </c>
      <c r="B17" s="228"/>
      <c r="C17" s="228"/>
      <c r="D17" s="228"/>
    </row>
    <row r="18" spans="1:4">
      <c r="A18" s="247" t="s">
        <v>36</v>
      </c>
      <c r="B18" s="228"/>
      <c r="C18" s="228"/>
      <c r="D18" s="228"/>
    </row>
    <row r="19" spans="1:4">
      <c r="A19" s="247" t="s">
        <v>37</v>
      </c>
      <c r="B19" s="228"/>
      <c r="C19" s="228"/>
      <c r="D19" s="228"/>
    </row>
    <row r="20" spans="1:4">
      <c r="A20" s="247" t="s">
        <v>38</v>
      </c>
      <c r="B20" s="228"/>
      <c r="C20" s="228"/>
      <c r="D20" s="228"/>
    </row>
    <row r="21" spans="1:4">
      <c r="A21" s="189" t="s">
        <v>335</v>
      </c>
      <c r="B21" s="239">
        <f>SUM(B17:B20)</f>
        <v>0</v>
      </c>
      <c r="C21" s="239">
        <f>SUM(C17:C20)</f>
        <v>0</v>
      </c>
      <c r="D21" s="239">
        <f>SUM(D17:D20)</f>
        <v>0</v>
      </c>
    </row>
    <row r="22" spans="1:4">
      <c r="A22" s="248"/>
      <c r="B22" s="150"/>
      <c r="C22" s="150"/>
      <c r="D22" s="150"/>
    </row>
    <row r="23" spans="1:4">
      <c r="A23" s="247" t="s">
        <v>43</v>
      </c>
      <c r="B23" s="228"/>
      <c r="C23" s="228"/>
      <c r="D23" s="228"/>
    </row>
    <row r="24" spans="1:4">
      <c r="A24" s="247" t="s">
        <v>36</v>
      </c>
      <c r="B24" s="228"/>
      <c r="C24" s="228"/>
      <c r="D24" s="228"/>
    </row>
    <row r="25" spans="1:4">
      <c r="A25" s="247" t="s">
        <v>37</v>
      </c>
      <c r="B25" s="228"/>
      <c r="C25" s="228"/>
      <c r="D25" s="228"/>
    </row>
    <row r="26" spans="1:4">
      <c r="A26" s="247" t="s">
        <v>38</v>
      </c>
      <c r="B26" s="228"/>
      <c r="C26" s="228"/>
      <c r="D26" s="228"/>
    </row>
    <row r="27" spans="1:4">
      <c r="A27" s="189" t="s">
        <v>335</v>
      </c>
      <c r="B27" s="239">
        <f>SUM(B23:B26)</f>
        <v>0</v>
      </c>
      <c r="C27" s="239">
        <f>SUM(C23:C26)</f>
        <v>0</v>
      </c>
      <c r="D27" s="239">
        <f>SUM(D23:D26)</f>
        <v>0</v>
      </c>
    </row>
    <row r="28" spans="1:4">
      <c r="A28" s="248"/>
      <c r="B28" s="150"/>
      <c r="C28" s="150"/>
      <c r="D28" s="150"/>
    </row>
    <row r="29" spans="1:4">
      <c r="A29" s="247" t="s">
        <v>43</v>
      </c>
      <c r="B29" s="228"/>
      <c r="C29" s="228"/>
      <c r="D29" s="228"/>
    </row>
    <row r="30" spans="1:4">
      <c r="A30" s="247" t="s">
        <v>36</v>
      </c>
      <c r="B30" s="228"/>
      <c r="C30" s="228"/>
      <c r="D30" s="228"/>
    </row>
    <row r="31" spans="1:4">
      <c r="A31" s="247" t="s">
        <v>37</v>
      </c>
      <c r="B31" s="228"/>
      <c r="C31" s="228"/>
      <c r="D31" s="228"/>
    </row>
    <row r="32" spans="1:4">
      <c r="A32" s="247" t="s">
        <v>38</v>
      </c>
      <c r="B32" s="228"/>
      <c r="C32" s="228"/>
      <c r="D32" s="228"/>
    </row>
    <row r="33" spans="1:4">
      <c r="A33" s="189" t="s">
        <v>335</v>
      </c>
      <c r="B33" s="239">
        <f>SUM(B29:B32)</f>
        <v>0</v>
      </c>
      <c r="C33" s="239">
        <f>SUM(C29:C32)</f>
        <v>0</v>
      </c>
      <c r="D33" s="239">
        <f>SUM(D29:D32)</f>
        <v>0</v>
      </c>
    </row>
    <row r="34" spans="1:4">
      <c r="A34" s="248"/>
      <c r="B34" s="150"/>
      <c r="C34" s="150"/>
      <c r="D34" s="150"/>
    </row>
    <row r="35" spans="1:4">
      <c r="A35" s="247" t="s">
        <v>43</v>
      </c>
      <c r="B35" s="228"/>
      <c r="C35" s="228"/>
      <c r="D35" s="228"/>
    </row>
    <row r="36" spans="1:4">
      <c r="A36" s="247" t="s">
        <v>36</v>
      </c>
      <c r="B36" s="228"/>
      <c r="C36" s="228"/>
      <c r="D36" s="228"/>
    </row>
    <row r="37" spans="1:4">
      <c r="A37" s="247" t="s">
        <v>37</v>
      </c>
      <c r="B37" s="228"/>
      <c r="C37" s="228"/>
      <c r="D37" s="228"/>
    </row>
    <row r="38" spans="1:4">
      <c r="A38" s="247" t="s">
        <v>38</v>
      </c>
      <c r="B38" s="228"/>
      <c r="C38" s="228"/>
      <c r="D38" s="228"/>
    </row>
    <row r="39" spans="1:4">
      <c r="A39" s="189" t="s">
        <v>335</v>
      </c>
      <c r="B39" s="239">
        <f>SUM(B35:B38)</f>
        <v>0</v>
      </c>
      <c r="C39" s="239">
        <f>SUM(C35:C38)</f>
        <v>0</v>
      </c>
      <c r="D39" s="239">
        <f>SUM(D35:D38)</f>
        <v>0</v>
      </c>
    </row>
    <row r="40" spans="1:4">
      <c r="A40" s="248"/>
      <c r="B40" s="150"/>
      <c r="C40" s="150"/>
      <c r="D40" s="150"/>
    </row>
    <row r="41" spans="1:4">
      <c r="A41" s="247" t="s">
        <v>43</v>
      </c>
      <c r="B41" s="228"/>
      <c r="C41" s="228"/>
      <c r="D41" s="228"/>
    </row>
    <row r="42" spans="1:4">
      <c r="A42" s="247" t="s">
        <v>36</v>
      </c>
      <c r="B42" s="228"/>
      <c r="C42" s="228"/>
      <c r="D42" s="228"/>
    </row>
    <row r="43" spans="1:4">
      <c r="A43" s="247" t="s">
        <v>37</v>
      </c>
      <c r="B43" s="228"/>
      <c r="C43" s="228"/>
      <c r="D43" s="228"/>
    </row>
    <row r="44" spans="1:4">
      <c r="A44" s="247" t="s">
        <v>38</v>
      </c>
      <c r="B44" s="228"/>
      <c r="C44" s="228"/>
      <c r="D44" s="228"/>
    </row>
    <row r="45" spans="1:4">
      <c r="A45" s="189" t="s">
        <v>335</v>
      </c>
      <c r="B45" s="239">
        <f>SUM(B41:B44)</f>
        <v>0</v>
      </c>
      <c r="C45" s="239">
        <f>SUM(C41:C44)</f>
        <v>0</v>
      </c>
      <c r="D45" s="239">
        <f>SUM(D41:D44)</f>
        <v>0</v>
      </c>
    </row>
    <row r="46" spans="1:4">
      <c r="A46" s="248"/>
      <c r="B46" s="150"/>
      <c r="C46" s="150"/>
      <c r="D46" s="150"/>
    </row>
    <row r="47" spans="1:4">
      <c r="A47" s="247" t="s">
        <v>43</v>
      </c>
      <c r="B47" s="228"/>
      <c r="C47" s="228"/>
      <c r="D47" s="228"/>
    </row>
    <row r="48" spans="1:4">
      <c r="A48" s="247" t="s">
        <v>36</v>
      </c>
      <c r="B48" s="228"/>
      <c r="C48" s="228"/>
      <c r="D48" s="228"/>
    </row>
    <row r="49" spans="1:4">
      <c r="A49" s="247" t="s">
        <v>37</v>
      </c>
      <c r="B49" s="228"/>
      <c r="C49" s="228"/>
      <c r="D49" s="228"/>
    </row>
    <row r="50" spans="1:4">
      <c r="A50" s="247" t="s">
        <v>38</v>
      </c>
      <c r="B50" s="228"/>
      <c r="C50" s="228"/>
      <c r="D50" s="228"/>
    </row>
    <row r="51" spans="1:4">
      <c r="A51" s="189" t="s">
        <v>335</v>
      </c>
      <c r="B51" s="239">
        <f>SUM(B47:B50)</f>
        <v>0</v>
      </c>
      <c r="C51" s="239">
        <f>SUM(C47:C50)</f>
        <v>0</v>
      </c>
      <c r="D51" s="239">
        <f>SUM(D47:D50)</f>
        <v>0</v>
      </c>
    </row>
    <row r="52" spans="1:4">
      <c r="A52" s="248"/>
      <c r="B52" s="150"/>
      <c r="C52" s="150"/>
      <c r="D52" s="150"/>
    </row>
    <row r="53" spans="1:4">
      <c r="A53" s="247" t="s">
        <v>43</v>
      </c>
      <c r="B53" s="228"/>
      <c r="C53" s="228"/>
      <c r="D53" s="228"/>
    </row>
    <row r="54" spans="1:4">
      <c r="A54" s="247" t="s">
        <v>36</v>
      </c>
      <c r="B54" s="228"/>
      <c r="C54" s="228"/>
      <c r="D54" s="228"/>
    </row>
    <row r="55" spans="1:4">
      <c r="A55" s="247" t="s">
        <v>37</v>
      </c>
      <c r="B55" s="228"/>
      <c r="C55" s="228"/>
      <c r="D55" s="228"/>
    </row>
    <row r="56" spans="1:4">
      <c r="A56" s="247" t="s">
        <v>38</v>
      </c>
      <c r="B56" s="228"/>
      <c r="C56" s="228"/>
      <c r="D56" s="228"/>
    </row>
    <row r="57" spans="1:4">
      <c r="A57" s="189" t="s">
        <v>335</v>
      </c>
      <c r="B57" s="239">
        <f>SUM(B53:B56)</f>
        <v>0</v>
      </c>
      <c r="C57" s="239">
        <f>SUM(C53:C56)</f>
        <v>0</v>
      </c>
      <c r="D57" s="239">
        <f>SUM(D53:D56)</f>
        <v>0</v>
      </c>
    </row>
    <row r="58" spans="1:4">
      <c r="A58" s="21"/>
      <c r="B58" s="150"/>
      <c r="C58" s="150"/>
      <c r="D58" s="150"/>
    </row>
    <row r="59" spans="1:4" ht="16.5" thickBot="1">
      <c r="A59" s="189" t="s">
        <v>44</v>
      </c>
      <c r="B59" s="249">
        <f>B15+B21+B27+B33+B39+B45+B51+B57</f>
        <v>0</v>
      </c>
      <c r="C59" s="249">
        <f>C15+C21+C27+C33+C39+C45+C51+C57</f>
        <v>0</v>
      </c>
      <c r="D59" s="249">
        <f>D15+D21+D27+D33+D39+D45+D51+D57</f>
        <v>0</v>
      </c>
    </row>
    <row r="60" spans="1:4" ht="16.5" thickTop="1">
      <c r="A60" s="250" t="s">
        <v>305</v>
      </c>
      <c r="B60" s="150"/>
      <c r="C60" s="150"/>
      <c r="D60" s="150"/>
    </row>
    <row r="61" spans="1:4">
      <c r="A61" s="118" t="s">
        <v>42</v>
      </c>
      <c r="B61" s="572" t="str">
        <f>CONCATENATE("",general!D59,"c")</f>
        <v>8c</v>
      </c>
      <c r="C61" s="150"/>
      <c r="D61" s="150"/>
    </row>
  </sheetData>
  <sheetProtection sheet="1"/>
  <phoneticPr fontId="0" type="noConversion"/>
  <pageMargins left="0.5" right="0.5" top="1" bottom="0.5" header="0.5" footer="0.5"/>
  <pageSetup scale="76" orientation="portrait" blackAndWhite="1" horizontalDpi="300" verticalDpi="300" r:id="rId1"/>
  <headerFooter alignWithMargins="0">
    <oddHeader xml:space="preserve">&amp;RState of Kansas
City
</oddHeader>
  </headerFooter>
</worksheet>
</file>

<file path=xl/worksheets/sheet15.xml><?xml version="1.0" encoding="utf-8"?>
<worksheet xmlns="http://schemas.openxmlformats.org/spreadsheetml/2006/main" xmlns:r="http://schemas.openxmlformats.org/officeDocument/2006/relationships">
  <dimension ref="B1:K94"/>
  <sheetViews>
    <sheetView topLeftCell="A52" zoomScaleNormal="100" workbookViewId="0">
      <selection activeCell="D64" sqref="D64"/>
    </sheetView>
  </sheetViews>
  <sheetFormatPr defaultRowHeight="15.75"/>
  <cols>
    <col min="1" max="1" width="2.44140625" style="22" customWidth="1"/>
    <col min="2" max="2" width="31.109375" style="22" customWidth="1"/>
    <col min="3" max="4" width="15.77734375" style="22" customWidth="1"/>
    <col min="5" max="5" width="16.21875" style="22" customWidth="1"/>
    <col min="6" max="6" width="8.109375" style="22" customWidth="1"/>
    <col min="7" max="7" width="10.21875" style="22" customWidth="1"/>
    <col min="8" max="8" width="8.88671875" style="22"/>
    <col min="9" max="9" width="5" style="22" customWidth="1"/>
    <col min="10" max="10" width="10" style="22" customWidth="1"/>
    <col min="11" max="16384" width="8.88671875" style="22"/>
  </cols>
  <sheetData>
    <row r="1" spans="2:5">
      <c r="B1" s="150" t="str">
        <f>(inputPrYr!D2)</f>
        <v>CITY OF HOXIE</v>
      </c>
      <c r="C1" s="150"/>
      <c r="D1" s="21"/>
      <c r="E1" s="183">
        <f>inputPrYr!$C$5</f>
        <v>2014</v>
      </c>
    </row>
    <row r="2" spans="2:5">
      <c r="B2" s="21"/>
      <c r="C2" s="21"/>
      <c r="D2" s="21"/>
      <c r="E2" s="146"/>
    </row>
    <row r="3" spans="2:5">
      <c r="B3" s="40" t="s">
        <v>91</v>
      </c>
      <c r="C3" s="40"/>
      <c r="D3" s="359"/>
      <c r="E3" s="358"/>
    </row>
    <row r="4" spans="2:5">
      <c r="B4" s="28" t="s">
        <v>24</v>
      </c>
      <c r="C4" s="658" t="s">
        <v>810</v>
      </c>
      <c r="D4" s="659" t="s">
        <v>813</v>
      </c>
      <c r="E4" s="124" t="s">
        <v>814</v>
      </c>
    </row>
    <row r="5" spans="2:5">
      <c r="B5" s="366" t="str">
        <f>inputPrYr!B18</f>
        <v>Debt Service</v>
      </c>
      <c r="C5" s="350" t="str">
        <f>CONCATENATE("Actual for ",E1-2,"")</f>
        <v>Actual for 2012</v>
      </c>
      <c r="D5" s="350" t="str">
        <f>CONCATENATE("Estimate for ",E1-1,"")</f>
        <v>Estimate for 2013</v>
      </c>
      <c r="E5" s="220" t="str">
        <f>CONCATENATE("Year for ",E1,"")</f>
        <v>Year for 2014</v>
      </c>
    </row>
    <row r="6" spans="2:5">
      <c r="B6" s="130" t="s">
        <v>146</v>
      </c>
      <c r="C6" s="593">
        <v>24166.74</v>
      </c>
      <c r="D6" s="349">
        <f>C34</f>
        <v>21589.920000000006</v>
      </c>
      <c r="E6" s="191">
        <f>D34</f>
        <v>20968.920000000013</v>
      </c>
    </row>
    <row r="7" spans="2:5">
      <c r="B7" s="130" t="s">
        <v>148</v>
      </c>
      <c r="C7" s="349"/>
      <c r="D7" s="349"/>
      <c r="E7" s="191"/>
    </row>
    <row r="8" spans="2:5">
      <c r="B8" s="130" t="s">
        <v>25</v>
      </c>
      <c r="C8" s="579">
        <v>18651</v>
      </c>
      <c r="D8" s="349">
        <f>IF(inputPrYr!H16&gt;0,inputPrYr!G18,inputPrYr!E18)</f>
        <v>24711</v>
      </c>
      <c r="E8" s="252" t="s">
        <v>13</v>
      </c>
    </row>
    <row r="9" spans="2:5">
      <c r="B9" s="130" t="s">
        <v>26</v>
      </c>
      <c r="C9" s="579">
        <v>100</v>
      </c>
      <c r="D9" s="222">
        <v>39</v>
      </c>
      <c r="E9" s="49">
        <v>50</v>
      </c>
    </row>
    <row r="10" spans="2:5">
      <c r="B10" s="130" t="s">
        <v>27</v>
      </c>
      <c r="C10" s="579">
        <v>3310</v>
      </c>
      <c r="D10" s="222">
        <v>4663</v>
      </c>
      <c r="E10" s="191">
        <f>mvalloc!D8</f>
        <v>6080</v>
      </c>
    </row>
    <row r="11" spans="2:5">
      <c r="B11" s="130" t="s">
        <v>28</v>
      </c>
      <c r="C11" s="579">
        <v>53</v>
      </c>
      <c r="D11" s="222">
        <v>63</v>
      </c>
      <c r="E11" s="191">
        <f>mvalloc!E8</f>
        <v>88</v>
      </c>
    </row>
    <row r="12" spans="2:5">
      <c r="B12" s="238" t="s">
        <v>123</v>
      </c>
      <c r="C12" s="579">
        <v>29</v>
      </c>
      <c r="D12" s="222">
        <v>101</v>
      </c>
      <c r="E12" s="191">
        <f>mvalloc!F8</f>
        <v>136</v>
      </c>
    </row>
    <row r="13" spans="2:5">
      <c r="B13" s="49" t="s">
        <v>1030</v>
      </c>
      <c r="C13" s="579">
        <v>8642</v>
      </c>
      <c r="D13" s="222">
        <v>8201</v>
      </c>
      <c r="E13" s="49">
        <v>7984</v>
      </c>
    </row>
    <row r="14" spans="2:5">
      <c r="B14" s="222" t="s">
        <v>1017</v>
      </c>
      <c r="C14" s="579">
        <v>17500</v>
      </c>
      <c r="D14" s="222">
        <v>15000</v>
      </c>
      <c r="E14" s="49">
        <v>17500</v>
      </c>
    </row>
    <row r="15" spans="2:5">
      <c r="B15" s="229"/>
      <c r="C15" s="579"/>
      <c r="D15" s="222"/>
      <c r="E15" s="49"/>
    </row>
    <row r="16" spans="2:5">
      <c r="B16" s="229"/>
      <c r="C16" s="579"/>
      <c r="D16" s="222"/>
      <c r="E16" s="49"/>
    </row>
    <row r="17" spans="2:10">
      <c r="B17" s="265" t="s">
        <v>31</v>
      </c>
      <c r="C17" s="579"/>
      <c r="D17" s="222"/>
      <c r="E17" s="49"/>
    </row>
    <row r="18" spans="2:10">
      <c r="B18" s="130" t="s">
        <v>270</v>
      </c>
      <c r="C18" s="579"/>
      <c r="D18" s="222"/>
      <c r="E18" s="49"/>
    </row>
    <row r="19" spans="2:10">
      <c r="B19" s="130" t="s">
        <v>793</v>
      </c>
      <c r="C19" s="351" t="str">
        <f>IF(C20*0.1&lt;C18,"Exceed 10% Rule","")</f>
        <v/>
      </c>
      <c r="D19" s="368" t="str">
        <f>IF(D20*0.1&lt;D18,"Exceed 10% Rule","")</f>
        <v/>
      </c>
      <c r="E19" s="253" t="str">
        <f>IF(E21*0.01+E40&lt;E18,"Exceed 10% Rule","")</f>
        <v/>
      </c>
    </row>
    <row r="20" spans="2:10">
      <c r="B20" s="231" t="s">
        <v>32</v>
      </c>
      <c r="C20" s="352">
        <f>SUM(C8:C18)</f>
        <v>48285</v>
      </c>
      <c r="D20" s="352">
        <f>SUM(D8:D18)</f>
        <v>52778</v>
      </c>
      <c r="E20" s="257">
        <f>SUM(E8:E18)</f>
        <v>31838</v>
      </c>
    </row>
    <row r="21" spans="2:10">
      <c r="B21" s="231" t="s">
        <v>33</v>
      </c>
      <c r="C21" s="352">
        <f>C6+C20</f>
        <v>72451.740000000005</v>
      </c>
      <c r="D21" s="352">
        <f>D6+D20</f>
        <v>74367.920000000013</v>
      </c>
      <c r="E21" s="257">
        <f>E6+E20</f>
        <v>52806.920000000013</v>
      </c>
    </row>
    <row r="22" spans="2:10">
      <c r="B22" s="130" t="s">
        <v>35</v>
      </c>
      <c r="C22" s="130"/>
      <c r="D22" s="349"/>
      <c r="E22" s="191"/>
    </row>
    <row r="23" spans="2:10">
      <c r="B23" s="787" t="s">
        <v>1031</v>
      </c>
      <c r="C23" s="363">
        <v>20000</v>
      </c>
      <c r="D23" s="222">
        <v>20000</v>
      </c>
      <c r="E23" s="49">
        <v>25000</v>
      </c>
    </row>
    <row r="24" spans="2:10">
      <c r="B24" s="787" t="s">
        <v>1032</v>
      </c>
      <c r="C24" s="363">
        <v>22421.82</v>
      </c>
      <c r="D24" s="222">
        <v>18181</v>
      </c>
      <c r="E24" s="49">
        <v>17188</v>
      </c>
      <c r="G24" s="847" t="str">
        <f>CONCATENATE("Desired Carryover Into ",E1+1,"")</f>
        <v>Desired Carryover Into 2015</v>
      </c>
      <c r="H24" s="842"/>
      <c r="I24" s="842"/>
      <c r="J24" s="843"/>
    </row>
    <row r="25" spans="2:10">
      <c r="B25" s="788" t="s">
        <v>1033</v>
      </c>
      <c r="C25" s="363">
        <v>227</v>
      </c>
      <c r="D25" s="222">
        <v>425</v>
      </c>
      <c r="E25" s="49">
        <v>404</v>
      </c>
      <c r="G25" s="580"/>
      <c r="H25" s="575"/>
      <c r="I25" s="577"/>
      <c r="J25" s="581"/>
    </row>
    <row r="26" spans="2:10">
      <c r="B26" s="237" t="s">
        <v>1034</v>
      </c>
      <c r="C26" s="363">
        <v>8213</v>
      </c>
      <c r="D26" s="222">
        <v>8536</v>
      </c>
      <c r="E26" s="49">
        <v>8871</v>
      </c>
      <c r="G26" s="578" t="s">
        <v>637</v>
      </c>
      <c r="H26" s="577"/>
      <c r="I26" s="577"/>
      <c r="J26" s="576">
        <v>0</v>
      </c>
    </row>
    <row r="27" spans="2:10">
      <c r="B27" s="789" t="s">
        <v>1035</v>
      </c>
      <c r="C27" s="363"/>
      <c r="D27" s="222">
        <v>6257</v>
      </c>
      <c r="E27" s="49">
        <v>5942</v>
      </c>
      <c r="G27" s="580" t="s">
        <v>638</v>
      </c>
      <c r="H27" s="575"/>
      <c r="I27" s="575"/>
      <c r="J27" s="594" t="str">
        <f>IF(J26=0,"",ROUND((J26+E40-G39)/inputOth!E7*1000,3)-G44)</f>
        <v/>
      </c>
    </row>
    <row r="28" spans="2:10">
      <c r="B28" s="229" t="s">
        <v>1067</v>
      </c>
      <c r="C28" s="363"/>
      <c r="D28" s="222"/>
      <c r="E28" s="49">
        <v>15000</v>
      </c>
      <c r="G28" s="585" t="str">
        <f>CONCATENATE("",E1," Tot Exp/Non-Appr Must Be:")</f>
        <v>2014 Tot Exp/Non-Appr Must Be:</v>
      </c>
      <c r="H28" s="583"/>
      <c r="I28" s="584"/>
      <c r="J28" s="582">
        <f>IF(J26&gt;0,IF(E37&lt;E21,IF(J26=G39,E37,((J26-G39)*(1-D39))+E21),E37+(J26-G39)),0)</f>
        <v>0</v>
      </c>
    </row>
    <row r="29" spans="2:10">
      <c r="B29" s="229"/>
      <c r="C29" s="363"/>
      <c r="D29" s="222"/>
      <c r="E29" s="49"/>
      <c r="G29" s="589" t="s">
        <v>815</v>
      </c>
      <c r="H29" s="590"/>
      <c r="I29" s="590"/>
      <c r="J29" s="586">
        <f>IF(J26&gt;0,J28-E37,0)</f>
        <v>0</v>
      </c>
    </row>
    <row r="30" spans="2:10">
      <c r="B30" s="361" t="s">
        <v>271</v>
      </c>
      <c r="C30" s="363"/>
      <c r="D30" s="222"/>
      <c r="E30" s="191">
        <f>nhood!E7</f>
        <v>383</v>
      </c>
    </row>
    <row r="31" spans="2:10">
      <c r="B31" s="361" t="s">
        <v>270</v>
      </c>
      <c r="C31" s="363"/>
      <c r="D31" s="222"/>
      <c r="E31" s="49"/>
      <c r="G31" s="853" t="str">
        <f>CONCATENATE("Projected Carryover Into ",E1+1,"")</f>
        <v>Projected Carryover Into 2015</v>
      </c>
      <c r="H31" s="854"/>
      <c r="I31" s="854"/>
      <c r="J31" s="843"/>
    </row>
    <row r="32" spans="2:10">
      <c r="B32" s="361" t="s">
        <v>633</v>
      </c>
      <c r="C32" s="362" t="str">
        <f>IF(C33*0.1&lt;C31,"Exceed 10% Rule","")</f>
        <v/>
      </c>
      <c r="D32" s="369" t="str">
        <f>IF(D33*0.1&lt;D31,"Exceed 10% Rule","")</f>
        <v/>
      </c>
      <c r="E32" s="360" t="str">
        <f>IF(E33*0.1&lt;E31,"Exceed 10% Rule","")</f>
        <v/>
      </c>
      <c r="G32" s="475"/>
      <c r="H32" s="474"/>
      <c r="I32" s="474"/>
      <c r="J32" s="573"/>
    </row>
    <row r="33" spans="2:11">
      <c r="B33" s="231" t="s">
        <v>39</v>
      </c>
      <c r="C33" s="364">
        <f>SUM(C23:C31)</f>
        <v>50861.82</v>
      </c>
      <c r="D33" s="364">
        <f>SUM(D23:D31)</f>
        <v>53399</v>
      </c>
      <c r="E33" s="232">
        <f>SUM(E23:E31)</f>
        <v>72788</v>
      </c>
      <c r="G33" s="479">
        <f>D34</f>
        <v>20968.920000000013</v>
      </c>
      <c r="H33" s="480" t="str">
        <f>CONCATENATE("",E1-1," Ending Cash Balance (est.)")</f>
        <v>2013 Ending Cash Balance (est.)</v>
      </c>
      <c r="I33" s="476"/>
      <c r="J33" s="573"/>
    </row>
    <row r="34" spans="2:11">
      <c r="B34" s="130" t="s">
        <v>147</v>
      </c>
      <c r="C34" s="365">
        <f>C21-C33</f>
        <v>21589.920000000006</v>
      </c>
      <c r="D34" s="365">
        <f>D21-D33</f>
        <v>20968.920000000013</v>
      </c>
      <c r="E34" s="252" t="s">
        <v>13</v>
      </c>
      <c r="G34" s="479">
        <f>E20</f>
        <v>31838</v>
      </c>
      <c r="H34" s="481" t="str">
        <f>CONCATENATE("",E1," Non-AV Receipts (est.)")</f>
        <v>2014 Non-AV Receipts (est.)</v>
      </c>
      <c r="I34" s="474"/>
      <c r="J34" s="573"/>
    </row>
    <row r="35" spans="2:11">
      <c r="B35" s="118" t="str">
        <f>CONCATENATE("",E1-2,"/",E1-1," Budget Authority Amount:")</f>
        <v>2012/2013 Budget Authority Amount:</v>
      </c>
      <c r="C35" s="181">
        <f>inputOth!B62</f>
        <v>69360</v>
      </c>
      <c r="D35" s="240">
        <f>inputPrYr!D18</f>
        <v>68633</v>
      </c>
      <c r="E35" s="252" t="s">
        <v>13</v>
      </c>
      <c r="F35" s="241"/>
      <c r="G35" s="482">
        <f>IF(E39&gt;0,E38,E40)</f>
        <v>19981.079999999987</v>
      </c>
      <c r="H35" s="481" t="str">
        <f>CONCATENATE("",E1," Ad Valorem Tax (est.)")</f>
        <v>2014 Ad Valorem Tax (est.)</v>
      </c>
      <c r="I35" s="474"/>
      <c r="J35" s="573"/>
      <c r="K35" s="592" t="str">
        <f>IF(G35=E40,"","Note: Does not include Delinquent Taxes")</f>
        <v>Note: Does not include Delinquent Taxes</v>
      </c>
    </row>
    <row r="36" spans="2:11">
      <c r="B36" s="118"/>
      <c r="C36" s="835" t="s">
        <v>629</v>
      </c>
      <c r="D36" s="836"/>
      <c r="E36" s="49"/>
      <c r="F36" s="385" t="str">
        <f>IF(E33/0.95-E33&lt;E36,"Exceeds 5%","")</f>
        <v/>
      </c>
      <c r="G36" s="479">
        <f>SUM(G33:G35)</f>
        <v>72788</v>
      </c>
      <c r="H36" s="481" t="str">
        <f>CONCATENATE("Total ",E1," Resources Available")</f>
        <v>Total 2014 Resources Available</v>
      </c>
      <c r="I36" s="476"/>
      <c r="J36" s="573"/>
    </row>
    <row r="37" spans="2:11">
      <c r="B37" s="370" t="str">
        <f>CONCATENATE(C90,"     ",D90)</f>
        <v xml:space="preserve">     </v>
      </c>
      <c r="C37" s="837" t="s">
        <v>630</v>
      </c>
      <c r="D37" s="838"/>
      <c r="E37" s="191">
        <f>E33+E36</f>
        <v>72788</v>
      </c>
      <c r="G37" s="483"/>
      <c r="H37" s="481"/>
      <c r="I37" s="474"/>
      <c r="J37" s="573"/>
    </row>
    <row r="38" spans="2:11">
      <c r="B38" s="370" t="str">
        <f>CONCATENATE(C91,"     ",D91)</f>
        <v xml:space="preserve">     </v>
      </c>
      <c r="C38" s="242"/>
      <c r="D38" s="146" t="s">
        <v>40</v>
      </c>
      <c r="E38" s="56">
        <f>IF(E37-E21&gt;0,E37-E21,0)</f>
        <v>19981.079999999987</v>
      </c>
      <c r="G38" s="482">
        <f>C33</f>
        <v>50861.82</v>
      </c>
      <c r="H38" s="481" t="str">
        <f>CONCATENATE("Less ",E1-2," Expenditures")</f>
        <v>Less 2012 Expenditures</v>
      </c>
      <c r="I38" s="474"/>
      <c r="J38" s="573"/>
    </row>
    <row r="39" spans="2:11">
      <c r="B39" s="146"/>
      <c r="C39" s="356" t="s">
        <v>631</v>
      </c>
      <c r="D39" s="591">
        <f>inputOth!E47</f>
        <v>0.01</v>
      </c>
      <c r="E39" s="191">
        <f>ROUND(IF(D39&gt;0,(E38*D39),0),0)</f>
        <v>200</v>
      </c>
      <c r="G39" s="413">
        <f>SUM(G36-G38)</f>
        <v>21926.18</v>
      </c>
      <c r="H39" s="414" t="str">
        <f>CONCATENATE("Projected ",E1+1," carryover (est.)")</f>
        <v>Projected 2015 carryover (est.)</v>
      </c>
      <c r="I39" s="477"/>
      <c r="J39" s="571"/>
    </row>
    <row r="40" spans="2:11" ht="16.5" thickBot="1">
      <c r="B40" s="21"/>
      <c r="C40" s="851" t="str">
        <f>CONCATENATE("Amount of  ",E1-1," Ad Valorem Tax")</f>
        <v>Amount of  2013 Ad Valorem Tax</v>
      </c>
      <c r="D40" s="852"/>
      <c r="E40" s="258">
        <f>E38+E39</f>
        <v>20181.079999999987</v>
      </c>
    </row>
    <row r="41" spans="2:11" ht="16.5" thickTop="1">
      <c r="B41" s="21"/>
      <c r="C41" s="851"/>
      <c r="D41" s="851"/>
      <c r="E41" s="357"/>
      <c r="G41" s="844" t="s">
        <v>871</v>
      </c>
      <c r="H41" s="845"/>
      <c r="I41" s="845"/>
      <c r="J41" s="846"/>
    </row>
    <row r="42" spans="2:11">
      <c r="B42" s="21"/>
      <c r="C42" s="357"/>
      <c r="D42" s="357"/>
      <c r="E42" s="357"/>
      <c r="G42" s="732"/>
      <c r="H42" s="691"/>
      <c r="I42" s="720"/>
      <c r="J42" s="721"/>
    </row>
    <row r="43" spans="2:11">
      <c r="B43" s="28"/>
      <c r="C43" s="28"/>
      <c r="D43" s="359"/>
      <c r="E43" s="359"/>
      <c r="G43" s="734">
        <f>summ!H17</f>
        <v>3.1160000000000001</v>
      </c>
      <c r="H43" s="691" t="str">
        <f>CONCATENATE("",E1," Fund Mill Rate")</f>
        <v>2014 Fund Mill Rate</v>
      </c>
      <c r="I43" s="720"/>
      <c r="J43" s="721"/>
    </row>
    <row r="44" spans="2:11">
      <c r="B44" s="28" t="s">
        <v>24</v>
      </c>
      <c r="C44" s="658" t="str">
        <f t="shared" ref="C44:E45" si="0">C4</f>
        <v xml:space="preserve">Prior Year </v>
      </c>
      <c r="D44" s="659" t="str">
        <f t="shared" si="0"/>
        <v xml:space="preserve">Current Year </v>
      </c>
      <c r="E44" s="124" t="str">
        <f t="shared" si="0"/>
        <v xml:space="preserve">Proposed Budget </v>
      </c>
      <c r="G44" s="733">
        <f>summ!E17</f>
        <v>3.9449999999999998</v>
      </c>
      <c r="H44" s="691" t="str">
        <f>CONCATENATE("",E1-1," Fund Mill Rate")</f>
        <v>2013 Fund Mill Rate</v>
      </c>
      <c r="I44" s="720"/>
      <c r="J44" s="721"/>
    </row>
    <row r="45" spans="2:11">
      <c r="B45" s="367" t="str">
        <f>inputPrYr!B19</f>
        <v>Library</v>
      </c>
      <c r="C45" s="350" t="str">
        <f t="shared" si="0"/>
        <v>Actual for 2012</v>
      </c>
      <c r="D45" s="350" t="str">
        <f t="shared" si="0"/>
        <v>Estimate for 2013</v>
      </c>
      <c r="E45" s="177" t="str">
        <f t="shared" si="0"/>
        <v>Year for 2014</v>
      </c>
      <c r="G45" s="735">
        <f>summ!H43</f>
        <v>46.652000000000001</v>
      </c>
      <c r="H45" s="691" t="str">
        <f>CONCATENATE("Total ",E1," Mill Rate")</f>
        <v>Total 2014 Mill Rate</v>
      </c>
      <c r="I45" s="720"/>
      <c r="J45" s="721"/>
    </row>
    <row r="46" spans="2:11">
      <c r="B46" s="130" t="s">
        <v>146</v>
      </c>
      <c r="C46" s="363">
        <v>366</v>
      </c>
      <c r="D46" s="349">
        <f>C74</f>
        <v>618</v>
      </c>
      <c r="E46" s="191">
        <f>D74</f>
        <v>186</v>
      </c>
      <c r="G46" s="733">
        <f>summ!E43</f>
        <v>48.61</v>
      </c>
      <c r="H46" s="716" t="str">
        <f>CONCATENATE("Total ",E1-1," Mill Rate")</f>
        <v>Total 2013 Mill Rate</v>
      </c>
      <c r="I46" s="717"/>
      <c r="J46" s="718"/>
    </row>
    <row r="47" spans="2:11">
      <c r="B47" s="141" t="s">
        <v>148</v>
      </c>
      <c r="C47" s="130"/>
      <c r="D47" s="349"/>
      <c r="E47" s="191"/>
    </row>
    <row r="48" spans="2:11">
      <c r="B48" s="130" t="s">
        <v>25</v>
      </c>
      <c r="C48" s="363">
        <v>27686</v>
      </c>
      <c r="D48" s="349">
        <f>IF(inputPrYr!H16&gt;0,inputPrYr!G19,inputPrYr!E19)</f>
        <v>28299</v>
      </c>
      <c r="E48" s="252" t="s">
        <v>13</v>
      </c>
      <c r="G48" s="779" t="s">
        <v>977</v>
      </c>
      <c r="H48" s="757"/>
      <c r="I48" s="756" t="str">
        <f>cert!F49</f>
        <v>No</v>
      </c>
    </row>
    <row r="49" spans="2:10">
      <c r="B49" s="130" t="s">
        <v>26</v>
      </c>
      <c r="C49" s="363">
        <v>389</v>
      </c>
      <c r="D49" s="222">
        <v>80</v>
      </c>
      <c r="E49" s="49">
        <v>390</v>
      </c>
    </row>
    <row r="50" spans="2:10">
      <c r="B50" s="130" t="s">
        <v>27</v>
      </c>
      <c r="C50" s="363">
        <v>7163</v>
      </c>
      <c r="D50" s="222">
        <v>6915</v>
      </c>
      <c r="E50" s="191">
        <f>mvalloc!D9</f>
        <v>6962</v>
      </c>
    </row>
    <row r="51" spans="2:10">
      <c r="B51" s="130" t="s">
        <v>28</v>
      </c>
      <c r="C51" s="363">
        <v>107</v>
      </c>
      <c r="D51" s="222">
        <v>94</v>
      </c>
      <c r="E51" s="191">
        <f>mvalloc!E9</f>
        <v>100</v>
      </c>
    </row>
    <row r="52" spans="2:10">
      <c r="B52" s="238" t="s">
        <v>123</v>
      </c>
      <c r="C52" s="363">
        <v>148</v>
      </c>
      <c r="D52" s="222">
        <v>180</v>
      </c>
      <c r="E52" s="191">
        <f>mvalloc!F9</f>
        <v>156</v>
      </c>
    </row>
    <row r="53" spans="2:10">
      <c r="B53" s="49"/>
      <c r="C53" s="363"/>
      <c r="D53" s="222"/>
      <c r="E53" s="49"/>
    </row>
    <row r="54" spans="2:10">
      <c r="B54" s="222"/>
      <c r="C54" s="363"/>
      <c r="D54" s="222"/>
      <c r="E54" s="49"/>
    </row>
    <row r="55" spans="2:10">
      <c r="B55" s="229"/>
      <c r="C55" s="363"/>
      <c r="D55" s="222"/>
      <c r="E55" s="49"/>
    </row>
    <row r="56" spans="2:10">
      <c r="B56" s="229"/>
      <c r="C56" s="363"/>
      <c r="D56" s="222"/>
      <c r="E56" s="49"/>
    </row>
    <row r="57" spans="2:10">
      <c r="B57" s="265" t="s">
        <v>31</v>
      </c>
      <c r="C57" s="363"/>
      <c r="D57" s="222"/>
      <c r="E57" s="49"/>
    </row>
    <row r="58" spans="2:10">
      <c r="B58" s="130" t="s">
        <v>270</v>
      </c>
      <c r="C58" s="363"/>
      <c r="D58" s="222"/>
      <c r="E58" s="49"/>
    </row>
    <row r="59" spans="2:10">
      <c r="B59" s="130" t="s">
        <v>793</v>
      </c>
      <c r="C59" s="351" t="str">
        <f>IF(C60*0.1&lt;C58,"Exceed 10% Rule","")</f>
        <v/>
      </c>
      <c r="D59" s="368" t="str">
        <f>IF(D60*0.1&lt;D58,"Exceed 10% Rule","")</f>
        <v/>
      </c>
      <c r="E59" s="253" t="str">
        <f>IF(E61*0.01+E80&lt;E58,"Exceed 10% Rule","")</f>
        <v/>
      </c>
    </row>
    <row r="60" spans="2:10">
      <c r="B60" s="231" t="s">
        <v>32</v>
      </c>
      <c r="C60" s="364">
        <f>SUM(C48:C58)</f>
        <v>35493</v>
      </c>
      <c r="D60" s="364">
        <f>SUM(D48:D58)</f>
        <v>35568</v>
      </c>
      <c r="E60" s="232">
        <f>SUM(E48:E58)</f>
        <v>7608</v>
      </c>
    </row>
    <row r="61" spans="2:10">
      <c r="B61" s="231" t="s">
        <v>33</v>
      </c>
      <c r="C61" s="364">
        <f>C46+C60</f>
        <v>35859</v>
      </c>
      <c r="D61" s="364">
        <f>D46+D60</f>
        <v>36186</v>
      </c>
      <c r="E61" s="232">
        <f>E46+E60</f>
        <v>7794</v>
      </c>
    </row>
    <row r="62" spans="2:10">
      <c r="B62" s="130" t="s">
        <v>35</v>
      </c>
      <c r="C62" s="130"/>
      <c r="D62" s="349"/>
      <c r="E62" s="191"/>
    </row>
    <row r="63" spans="2:10">
      <c r="B63" s="788" t="s">
        <v>1029</v>
      </c>
      <c r="C63" s="363">
        <v>35241</v>
      </c>
      <c r="D63" s="222">
        <v>36000</v>
      </c>
      <c r="E63" s="49">
        <v>37000</v>
      </c>
    </row>
    <row r="64" spans="2:10">
      <c r="B64" s="229"/>
      <c r="C64" s="363"/>
      <c r="D64" s="222"/>
      <c r="E64" s="49"/>
      <c r="G64" s="848" t="str">
        <f>CONCATENATE("Desired Carryover Into ",E1+1,"")</f>
        <v>Desired Carryover Into 2015</v>
      </c>
      <c r="H64" s="849"/>
      <c r="I64" s="849"/>
      <c r="J64" s="850"/>
    </row>
    <row r="65" spans="2:11">
      <c r="B65" s="229"/>
      <c r="C65" s="363"/>
      <c r="D65" s="222"/>
      <c r="E65" s="49"/>
      <c r="G65" s="599"/>
      <c r="H65" s="595"/>
      <c r="I65" s="597"/>
      <c r="J65" s="600"/>
    </row>
    <row r="66" spans="2:11">
      <c r="B66" s="229"/>
      <c r="C66" s="363"/>
      <c r="D66" s="222"/>
      <c r="E66" s="49"/>
      <c r="G66" s="598" t="s">
        <v>637</v>
      </c>
      <c r="H66" s="597"/>
      <c r="I66" s="597"/>
      <c r="J66" s="596">
        <v>0</v>
      </c>
    </row>
    <row r="67" spans="2:11">
      <c r="B67" s="229"/>
      <c r="C67" s="363"/>
      <c r="D67" s="222"/>
      <c r="E67" s="49"/>
      <c r="G67" s="599" t="s">
        <v>638</v>
      </c>
      <c r="H67" s="595"/>
      <c r="I67" s="595"/>
      <c r="J67" s="607" t="str">
        <f>IF(J66=0,"",ROUND((J66+E80-G79)/inputOth!E7*1000,3)-G84)</f>
        <v/>
      </c>
    </row>
    <row r="68" spans="2:11">
      <c r="B68" s="229"/>
      <c r="C68" s="363"/>
      <c r="D68" s="222"/>
      <c r="E68" s="49"/>
      <c r="G68" s="604" t="str">
        <f>CONCATENATE("",E1," Tot Exp/Non-Appr Must Be:")</f>
        <v>2014 Tot Exp/Non-Appr Must Be:</v>
      </c>
      <c r="H68" s="602"/>
      <c r="I68" s="603"/>
      <c r="J68" s="601">
        <f>IF(J66&gt;0,IF(E77&lt;E61,IF(J66=G79,E77,((J66-G79)*(1-D79))+E61),E77+(J66-G79)),0)</f>
        <v>0</v>
      </c>
    </row>
    <row r="69" spans="2:11">
      <c r="B69" s="229"/>
      <c r="C69" s="363"/>
      <c r="D69" s="222"/>
      <c r="E69" s="49"/>
      <c r="G69" s="606" t="s">
        <v>815</v>
      </c>
      <c r="H69" s="608"/>
      <c r="I69" s="608"/>
      <c r="J69" s="605">
        <f>IF(J66&gt;0,J68-E77,0)</f>
        <v>0</v>
      </c>
    </row>
    <row r="70" spans="2:11">
      <c r="B70" s="238" t="s">
        <v>271</v>
      </c>
      <c r="C70" s="363"/>
      <c r="D70" s="222"/>
      <c r="E70" s="191">
        <f>nhood!E8</f>
        <v>571</v>
      </c>
    </row>
    <row r="71" spans="2:11">
      <c r="B71" s="238" t="s">
        <v>270</v>
      </c>
      <c r="C71" s="363"/>
      <c r="D71" s="222"/>
      <c r="E71" s="49"/>
      <c r="G71" s="848" t="str">
        <f>CONCATENATE("Projected Carryover Into ",E1+1,"")</f>
        <v>Projected Carryover Into 2015</v>
      </c>
      <c r="H71" s="855"/>
      <c r="I71" s="855"/>
      <c r="J71" s="843"/>
    </row>
    <row r="72" spans="2:11">
      <c r="B72" s="238" t="s">
        <v>632</v>
      </c>
      <c r="C72" s="351" t="str">
        <f>IF(C73*0.1&lt;C71,"Exceed 10% Rule","")</f>
        <v/>
      </c>
      <c r="D72" s="368" t="str">
        <f>IF(D73*0.1&lt;D71,"Exceed 10% Rule","")</f>
        <v/>
      </c>
      <c r="E72" s="253" t="str">
        <f>IF(E73*0.1&lt;E71,"Exceed 10% Rule","")</f>
        <v/>
      </c>
      <c r="G72" s="610"/>
      <c r="H72" s="609"/>
      <c r="I72" s="609"/>
      <c r="J72" s="726"/>
    </row>
    <row r="73" spans="2:11">
      <c r="B73" s="231" t="s">
        <v>39</v>
      </c>
      <c r="C73" s="364">
        <f>SUM(C63:C71)</f>
        <v>35241</v>
      </c>
      <c r="D73" s="364">
        <f>SUM(D63:D71)</f>
        <v>36000</v>
      </c>
      <c r="E73" s="232">
        <f>SUM(E63:E71)</f>
        <v>37571</v>
      </c>
      <c r="G73" s="612">
        <f>D74</f>
        <v>186</v>
      </c>
      <c r="H73" s="613" t="str">
        <f>CONCATENATE("",E1-1," Ending Cash Balance (est.)")</f>
        <v>2013 Ending Cash Balance (est.)</v>
      </c>
      <c r="I73" s="614"/>
      <c r="J73" s="726"/>
    </row>
    <row r="74" spans="2:11">
      <c r="B74" s="130" t="s">
        <v>147</v>
      </c>
      <c r="C74" s="365">
        <f>C61-C73</f>
        <v>618</v>
      </c>
      <c r="D74" s="365">
        <f>D61-D73</f>
        <v>186</v>
      </c>
      <c r="E74" s="252" t="s">
        <v>13</v>
      </c>
      <c r="G74" s="612">
        <f>E60</f>
        <v>7608</v>
      </c>
      <c r="H74" s="615" t="str">
        <f>CONCATENATE("",E1," Non-AV Receipts (est.)")</f>
        <v>2014 Non-AV Receipts (est.)</v>
      </c>
      <c r="I74" s="614"/>
      <c r="J74" s="726"/>
    </row>
    <row r="75" spans="2:11">
      <c r="B75" s="118" t="str">
        <f>CONCATENATE("",E1-2,"/",E1-1," Budget Authority Amount:")</f>
        <v>2012/2013 Budget Authority Amount:</v>
      </c>
      <c r="C75" s="181">
        <f>inputOth!B63</f>
        <v>37053</v>
      </c>
      <c r="D75" s="181">
        <f>inputPrYr!D19</f>
        <v>36268</v>
      </c>
      <c r="E75" s="252" t="s">
        <v>13</v>
      </c>
      <c r="F75" s="241"/>
      <c r="G75" s="616">
        <f>IF(E79&gt;0,E78,E80)</f>
        <v>29777</v>
      </c>
      <c r="H75" s="615" t="str">
        <f>CONCATENATE("",E1," Ad Valorem Tax (est.)")</f>
        <v>2014 Ad Valorem Tax (est.)</v>
      </c>
      <c r="I75" s="614"/>
      <c r="J75" s="726"/>
      <c r="K75" s="592" t="str">
        <f>IF(G75=E80,"","Note: Does not include Delinquent Taxes")</f>
        <v>Note: Does not include Delinquent Taxes</v>
      </c>
    </row>
    <row r="76" spans="2:11">
      <c r="B76" s="118"/>
      <c r="C76" s="835" t="s">
        <v>629</v>
      </c>
      <c r="D76" s="836"/>
      <c r="E76" s="49"/>
      <c r="F76" s="750" t="str">
        <f>IF(E73/0.95-E73&lt;E76,"Exceeds 5%","")</f>
        <v/>
      </c>
      <c r="G76" s="618">
        <f>SUM(G73:G75)</f>
        <v>37571</v>
      </c>
      <c r="H76" s="615" t="str">
        <f>CONCATENATE("Total ",E1," Resources Available")</f>
        <v>Total 2014 Resources Available</v>
      </c>
      <c r="I76" s="611"/>
      <c r="J76" s="726"/>
    </row>
    <row r="77" spans="2:11">
      <c r="B77" s="370" t="str">
        <f>CONCATENATE(C93,"     ",D93)</f>
        <v xml:space="preserve">     </v>
      </c>
      <c r="C77" s="837" t="s">
        <v>630</v>
      </c>
      <c r="D77" s="838"/>
      <c r="E77" s="191">
        <f>E73+E76</f>
        <v>37571</v>
      </c>
      <c r="G77" s="621"/>
      <c r="H77" s="619"/>
      <c r="I77" s="609"/>
      <c r="J77" s="726"/>
    </row>
    <row r="78" spans="2:11">
      <c r="B78" s="370" t="str">
        <f>CONCATENATE(C94,"     ",D94)</f>
        <v xml:space="preserve">     </v>
      </c>
      <c r="C78" s="242"/>
      <c r="D78" s="146" t="s">
        <v>40</v>
      </c>
      <c r="E78" s="56">
        <f>IF(E77-E61&gt;0,E77-E61,0)</f>
        <v>29777</v>
      </c>
      <c r="G78" s="620">
        <f>ROUND(C73*0.05+C73,0)</f>
        <v>37003</v>
      </c>
      <c r="H78" s="619" t="str">
        <f>CONCATENATE("Less ",E1-2," Expenditures + 5%")</f>
        <v>Less 2012 Expenditures + 5%</v>
      </c>
      <c r="I78" s="611"/>
      <c r="J78" s="726"/>
    </row>
    <row r="79" spans="2:11">
      <c r="B79" s="146"/>
      <c r="C79" s="356" t="s">
        <v>631</v>
      </c>
      <c r="D79" s="591">
        <f>inputOth!E47</f>
        <v>0.01</v>
      </c>
      <c r="E79" s="191">
        <f>ROUND(IF(D79&gt;0,(E78*D79),0),0)</f>
        <v>298</v>
      </c>
      <c r="G79" s="622">
        <f>G76-G78</f>
        <v>568</v>
      </c>
      <c r="H79" s="623" t="str">
        <f>CONCATENATE("Projected ",E1+1," carryover (est.)")</f>
        <v>Projected 2015 carryover (est.)</v>
      </c>
      <c r="I79" s="617"/>
      <c r="J79" s="571"/>
    </row>
    <row r="80" spans="2:11" ht="16.5" thickBot="1">
      <c r="B80" s="21"/>
      <c r="C80" s="851" t="str">
        <f>CONCATENATE("Amount of  ",E1-1," Ad Valorem Tax")</f>
        <v>Amount of  2013 Ad Valorem Tax</v>
      </c>
      <c r="D80" s="852"/>
      <c r="E80" s="258">
        <f>E78+E79</f>
        <v>30075</v>
      </c>
      <c r="F80" s="574" t="str">
        <f>IF('Library Grant '!F33="","",IF('Library Grant '!F33="Qualify","Qualifies for State Library Grant","See 'Library Grant' tab"))</f>
        <v>Qualifies for State Library Grant</v>
      </c>
    </row>
    <row r="81" spans="2:10" ht="16.5" thickTop="1">
      <c r="B81" s="21"/>
      <c r="C81" s="851"/>
      <c r="D81" s="851"/>
      <c r="E81" s="21"/>
      <c r="G81" s="844" t="s">
        <v>871</v>
      </c>
      <c r="H81" s="845"/>
      <c r="I81" s="845"/>
      <c r="J81" s="846"/>
    </row>
    <row r="82" spans="2:10">
      <c r="B82" s="21"/>
      <c r="C82" s="357"/>
      <c r="D82" s="146"/>
      <c r="E82" s="146"/>
      <c r="G82" s="732"/>
      <c r="H82" s="691"/>
      <c r="I82" s="720"/>
      <c r="J82" s="721"/>
    </row>
    <row r="83" spans="2:10">
      <c r="B83" s="118" t="s">
        <v>42</v>
      </c>
      <c r="C83" s="251">
        <v>9</v>
      </c>
      <c r="D83" s="77"/>
      <c r="E83" s="21"/>
      <c r="G83" s="734">
        <f>summ!H18</f>
        <v>4.6440000000000001</v>
      </c>
      <c r="H83" s="691" t="str">
        <f>CONCATENATE("",E1," Fund Mill Rate")</f>
        <v>2014 Fund Mill Rate</v>
      </c>
      <c r="I83" s="720"/>
      <c r="J83" s="721"/>
    </row>
    <row r="84" spans="2:10">
      <c r="B84" s="355"/>
      <c r="G84" s="733">
        <f>summ!E18</f>
        <v>4.5179999999999998</v>
      </c>
      <c r="H84" s="691" t="str">
        <f>CONCATENATE("",E1-1," Fund Mill Rate")</f>
        <v>2013 Fund Mill Rate</v>
      </c>
      <c r="I84" s="720"/>
      <c r="J84" s="721"/>
    </row>
    <row r="85" spans="2:10">
      <c r="C85" s="82"/>
      <c r="G85" s="735">
        <f>summ!H43</f>
        <v>46.652000000000001</v>
      </c>
      <c r="H85" s="691" t="str">
        <f>CONCATENATE("Total ",E1," Mill Rate")</f>
        <v>Total 2014 Mill Rate</v>
      </c>
      <c r="I85" s="720"/>
      <c r="J85" s="721"/>
    </row>
    <row r="86" spans="2:10">
      <c r="B86" s="82"/>
      <c r="G86" s="733">
        <f>summ!E43</f>
        <v>48.61</v>
      </c>
      <c r="H86" s="716" t="str">
        <f>CONCATENATE("Total ",E1-1," Mill Rate")</f>
        <v>Total 2013 Mill Rate</v>
      </c>
      <c r="I86" s="717"/>
      <c r="J86" s="718"/>
    </row>
    <row r="88" spans="2:10">
      <c r="G88" s="779" t="s">
        <v>977</v>
      </c>
      <c r="H88" s="759"/>
      <c r="I88" s="758" t="str">
        <f>cert!F49</f>
        <v>No</v>
      </c>
    </row>
    <row r="90" spans="2:10" hidden="1">
      <c r="C90" s="22" t="str">
        <f>IF(C33&gt;C35,"See Tab A","")</f>
        <v/>
      </c>
      <c r="D90" s="22" t="str">
        <f>IF(D33&gt;D35,"See Tab C","")</f>
        <v/>
      </c>
    </row>
    <row r="91" spans="2:10" hidden="1">
      <c r="C91" s="22" t="str">
        <f>IF(C34&lt;0,"See Tab B","")</f>
        <v/>
      </c>
      <c r="D91" s="22" t="str">
        <f>IF(D34&lt;0,"See Tab D","")</f>
        <v/>
      </c>
    </row>
    <row r="92" spans="2:10" hidden="1"/>
    <row r="93" spans="2:10" hidden="1">
      <c r="C93" s="22" t="str">
        <f>IF(C73&gt;C75,"See Tab A","")</f>
        <v/>
      </c>
      <c r="D93" s="22" t="str">
        <f>IF(D73&gt;D75,"See Tab C","")</f>
        <v/>
      </c>
    </row>
    <row r="94" spans="2:10" hidden="1">
      <c r="C94" s="22" t="str">
        <f>IF(C74&lt;0,"See Tab B","")</f>
        <v/>
      </c>
      <c r="D94" s="22" t="str">
        <f>IF(D74&lt;0,"See Tab D","")</f>
        <v/>
      </c>
    </row>
  </sheetData>
  <sheetProtection sheet="1"/>
  <mergeCells count="14">
    <mergeCell ref="G24:J24"/>
    <mergeCell ref="G64:J64"/>
    <mergeCell ref="C81:D81"/>
    <mergeCell ref="C80:D80"/>
    <mergeCell ref="C76:D76"/>
    <mergeCell ref="C77:D77"/>
    <mergeCell ref="C36:D36"/>
    <mergeCell ref="G81:J81"/>
    <mergeCell ref="C37:D37"/>
    <mergeCell ref="C40:D40"/>
    <mergeCell ref="C41:D41"/>
    <mergeCell ref="G31:J31"/>
    <mergeCell ref="G41:J41"/>
    <mergeCell ref="G71:J71"/>
  </mergeCells>
  <phoneticPr fontId="11" type="noConversion"/>
  <conditionalFormatting sqref="E71">
    <cfRule type="cellIs" dxfId="236" priority="20" stopIfTrue="1" operator="greaterThan">
      <formula>$E$73*0.1</formula>
    </cfRule>
  </conditionalFormatting>
  <conditionalFormatting sqref="E76">
    <cfRule type="cellIs" dxfId="235" priority="19" stopIfTrue="1" operator="greaterThan">
      <formula>$E$73/0.95-$E$73</formula>
    </cfRule>
  </conditionalFormatting>
  <conditionalFormatting sqref="E31">
    <cfRule type="cellIs" dxfId="234" priority="18" stopIfTrue="1" operator="greaterThan">
      <formula>$E$33*0.1</formula>
    </cfRule>
  </conditionalFormatting>
  <conditionalFormatting sqref="E36">
    <cfRule type="cellIs" dxfId="233" priority="17" stopIfTrue="1" operator="greaterThan">
      <formula>$E$33/0.95-$E$33</formula>
    </cfRule>
  </conditionalFormatting>
  <conditionalFormatting sqref="C73">
    <cfRule type="cellIs" dxfId="232" priority="16" stopIfTrue="1" operator="greaterThan">
      <formula>$C$75</formula>
    </cfRule>
  </conditionalFormatting>
  <conditionalFormatting sqref="C74 C34">
    <cfRule type="cellIs" dxfId="231" priority="15" stopIfTrue="1" operator="lessThan">
      <formula>0</formula>
    </cfRule>
  </conditionalFormatting>
  <conditionalFormatting sqref="D73">
    <cfRule type="cellIs" dxfId="230" priority="14" stopIfTrue="1" operator="greaterThan">
      <formula>$D$75</formula>
    </cfRule>
  </conditionalFormatting>
  <conditionalFormatting sqref="C33">
    <cfRule type="cellIs" dxfId="229" priority="13" stopIfTrue="1" operator="greaterThan">
      <formula>$C$35</formula>
    </cfRule>
  </conditionalFormatting>
  <conditionalFormatting sqref="D33">
    <cfRule type="cellIs" dxfId="228" priority="12" stopIfTrue="1" operator="greaterThan">
      <formula>$D$35</formula>
    </cfRule>
  </conditionalFormatting>
  <conditionalFormatting sqref="C31">
    <cfRule type="cellIs" dxfId="227" priority="11" stopIfTrue="1" operator="greaterThan">
      <formula>$C$33*0.1</formula>
    </cfRule>
  </conditionalFormatting>
  <conditionalFormatting sqref="D31">
    <cfRule type="cellIs" dxfId="226" priority="10" stopIfTrue="1" operator="greaterThan">
      <formula>$D$33*0.1</formula>
    </cfRule>
  </conditionalFormatting>
  <conditionalFormatting sqref="C71">
    <cfRule type="cellIs" dxfId="225" priority="9" stopIfTrue="1" operator="greaterThan">
      <formula>$C$73*0.1</formula>
    </cfRule>
  </conditionalFormatting>
  <conditionalFormatting sqref="D71">
    <cfRule type="cellIs" dxfId="224" priority="8" stopIfTrue="1" operator="greaterThan">
      <formula>$D$73*0.1</formula>
    </cfRule>
  </conditionalFormatting>
  <conditionalFormatting sqref="D18">
    <cfRule type="cellIs" dxfId="223" priority="7" stopIfTrue="1" operator="greaterThan">
      <formula>$D$20*0.1</formula>
    </cfRule>
  </conditionalFormatting>
  <conditionalFormatting sqref="C18">
    <cfRule type="cellIs" dxfId="222" priority="6" stopIfTrue="1" operator="greaterThan">
      <formula>$C$20*0.1</formula>
    </cfRule>
  </conditionalFormatting>
  <conditionalFormatting sqref="E18">
    <cfRule type="cellIs" dxfId="221" priority="5" stopIfTrue="1" operator="greaterThan">
      <formula>$E$20*0.1+E40</formula>
    </cfRule>
  </conditionalFormatting>
  <conditionalFormatting sqref="C58">
    <cfRule type="cellIs" dxfId="220" priority="4" stopIfTrue="1" operator="greaterThan">
      <formula>$C$60*0.1</formula>
    </cfRule>
  </conditionalFormatting>
  <conditionalFormatting sqref="D58">
    <cfRule type="cellIs" dxfId="219" priority="3" stopIfTrue="1" operator="greaterThan">
      <formula>$D$60*0.1</formula>
    </cfRule>
  </conditionalFormatting>
  <conditionalFormatting sqref="E58">
    <cfRule type="cellIs" dxfId="218" priority="2" stopIfTrue="1" operator="greaterThan">
      <formula>$E$60*0.1+E80</formula>
    </cfRule>
  </conditionalFormatting>
  <conditionalFormatting sqref="D74 D34">
    <cfRule type="cellIs" dxfId="217" priority="1" stopIfTrue="1" operator="lessThan">
      <formula>0</formula>
    </cfRule>
  </conditionalFormatting>
  <pageMargins left="0.75" right="0.75" top="1" bottom="1" header="0.5" footer="0.5"/>
  <pageSetup scale="49"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8"/>
  <sheetViews>
    <sheetView topLeftCell="A52" zoomScaleNormal="100" workbookViewId="0">
      <selection activeCell="M103" sqref="M103"/>
    </sheetView>
  </sheetViews>
  <sheetFormatPr defaultRowHeight="15.75"/>
  <cols>
    <col min="1" max="1" width="2.44140625" style="22" customWidth="1"/>
    <col min="2" max="2" width="31.109375" style="22" customWidth="1"/>
    <col min="3" max="4" width="15.77734375" style="22" customWidth="1"/>
    <col min="5" max="5" width="16.33203125" style="22" customWidth="1"/>
    <col min="6" max="6" width="8.88671875" style="22"/>
    <col min="7" max="7" width="10.21875" style="22" customWidth="1"/>
    <col min="8" max="8" width="8.88671875" style="22"/>
    <col min="9" max="9" width="5" style="22" customWidth="1"/>
    <col min="10" max="10" width="10" style="22" customWidth="1"/>
    <col min="11" max="16384" width="8.88671875" style="22"/>
  </cols>
  <sheetData>
    <row r="1" spans="2:5">
      <c r="B1" s="150" t="str">
        <f>(inputPrYr!D2)</f>
        <v>CITY OF HOXIE</v>
      </c>
      <c r="C1" s="21"/>
      <c r="D1" s="21"/>
      <c r="E1" s="210">
        <f>inputPrYr!C5</f>
        <v>2014</v>
      </c>
    </row>
    <row r="2" spans="2:5">
      <c r="B2" s="21"/>
      <c r="C2" s="21"/>
      <c r="D2" s="21"/>
      <c r="E2" s="146"/>
    </row>
    <row r="3" spans="2:5">
      <c r="B3" s="40" t="s">
        <v>91</v>
      </c>
      <c r="C3" s="168"/>
      <c r="D3" s="168"/>
      <c r="E3" s="255"/>
    </row>
    <row r="4" spans="2:5">
      <c r="B4" s="28" t="s">
        <v>24</v>
      </c>
      <c r="C4" s="658" t="s">
        <v>810</v>
      </c>
      <c r="D4" s="659" t="s">
        <v>813</v>
      </c>
      <c r="E4" s="124" t="s">
        <v>814</v>
      </c>
    </row>
    <row r="5" spans="2:5">
      <c r="B5" s="367" t="str">
        <f>inputPrYr!B21</f>
        <v>Employee Benefits</v>
      </c>
      <c r="C5" s="350" t="str">
        <f>CONCATENATE("Actual for ",E1-2,"")</f>
        <v>Actual for 2012</v>
      </c>
      <c r="D5" s="350" t="str">
        <f>CONCATENATE("Estimate for ",E1-1,"")</f>
        <v>Estimate for 2013</v>
      </c>
      <c r="E5" s="220" t="str">
        <f>CONCATENATE("Year for ",E1,"")</f>
        <v>Year for 2014</v>
      </c>
    </row>
    <row r="6" spans="2:5">
      <c r="B6" s="221" t="s">
        <v>146</v>
      </c>
      <c r="C6" s="222">
        <v>45045</v>
      </c>
      <c r="D6" s="349">
        <f>C34</f>
        <v>27526</v>
      </c>
      <c r="E6" s="191">
        <f>D34</f>
        <v>31355</v>
      </c>
    </row>
    <row r="7" spans="2:5">
      <c r="B7" s="224" t="s">
        <v>148</v>
      </c>
      <c r="C7" s="138"/>
      <c r="D7" s="138"/>
      <c r="E7" s="67"/>
    </row>
    <row r="8" spans="2:5">
      <c r="B8" s="130" t="s">
        <v>25</v>
      </c>
      <c r="C8" s="222">
        <v>100356</v>
      </c>
      <c r="D8" s="349">
        <f>IF(inputPrYr!H16&gt;0,inputPrYr!G21,inputPrYr!E21)</f>
        <v>118195</v>
      </c>
      <c r="E8" s="252" t="s">
        <v>13</v>
      </c>
    </row>
    <row r="9" spans="2:5">
      <c r="B9" s="130" t="s">
        <v>26</v>
      </c>
      <c r="C9" s="222">
        <v>1029</v>
      </c>
      <c r="D9" s="222">
        <v>226</v>
      </c>
      <c r="E9" s="49">
        <v>250</v>
      </c>
    </row>
    <row r="10" spans="2:5">
      <c r="B10" s="130" t="s">
        <v>27</v>
      </c>
      <c r="C10" s="222">
        <v>18495</v>
      </c>
      <c r="D10" s="222">
        <v>25076</v>
      </c>
      <c r="E10" s="191">
        <f>mvalloc!D10</f>
        <v>29079</v>
      </c>
    </row>
    <row r="11" spans="2:5">
      <c r="B11" s="130" t="s">
        <v>28</v>
      </c>
      <c r="C11" s="222">
        <v>275</v>
      </c>
      <c r="D11" s="222">
        <v>290</v>
      </c>
      <c r="E11" s="191">
        <f>mvalloc!E10</f>
        <v>420</v>
      </c>
    </row>
    <row r="12" spans="2:5">
      <c r="B12" s="138" t="s">
        <v>123</v>
      </c>
      <c r="C12" s="222">
        <v>391</v>
      </c>
      <c r="D12" s="222">
        <v>542</v>
      </c>
      <c r="E12" s="191">
        <f>mvalloc!F10</f>
        <v>653</v>
      </c>
    </row>
    <row r="13" spans="2:5">
      <c r="B13" s="49"/>
      <c r="C13" s="222"/>
      <c r="D13" s="222"/>
      <c r="E13" s="49"/>
    </row>
    <row r="14" spans="2:5">
      <c r="B14" s="237" t="s">
        <v>1018</v>
      </c>
      <c r="C14" s="222"/>
      <c r="D14" s="222">
        <v>7500</v>
      </c>
      <c r="E14" s="49"/>
    </row>
    <row r="15" spans="2:5">
      <c r="B15" s="237"/>
      <c r="C15" s="222"/>
      <c r="D15" s="222"/>
      <c r="E15" s="49"/>
    </row>
    <row r="16" spans="2:5">
      <c r="B16" s="237"/>
      <c r="C16" s="222"/>
      <c r="D16" s="222"/>
      <c r="E16" s="49"/>
    </row>
    <row r="17" spans="2:10">
      <c r="B17" s="229" t="s">
        <v>31</v>
      </c>
      <c r="C17" s="222"/>
      <c r="D17" s="222"/>
      <c r="E17" s="49"/>
    </row>
    <row r="18" spans="2:10">
      <c r="B18" s="138" t="s">
        <v>270</v>
      </c>
      <c r="C18" s="222"/>
      <c r="D18" s="222"/>
      <c r="E18" s="49"/>
    </row>
    <row r="19" spans="2:10">
      <c r="B19" s="221" t="s">
        <v>793</v>
      </c>
      <c r="C19" s="347" t="str">
        <f>IF(C20*0.1&lt;C18,"Exceed 10% Rule","")</f>
        <v/>
      </c>
      <c r="D19" s="347" t="str">
        <f>IF(D20*0.1&lt;D18,"Exceed 10% Rule","")</f>
        <v/>
      </c>
      <c r="E19" s="354" t="str">
        <f>IF(E20*0.1+E40&lt;E18,"Exceed 10% Rule","")</f>
        <v/>
      </c>
    </row>
    <row r="20" spans="2:10">
      <c r="B20" s="231" t="s">
        <v>32</v>
      </c>
      <c r="C20" s="352">
        <f>SUM(C8:C18)</f>
        <v>120546</v>
      </c>
      <c r="D20" s="352">
        <f>SUM(D8:D18)</f>
        <v>151829</v>
      </c>
      <c r="E20" s="257">
        <f>SUM(E8:E18)</f>
        <v>30402</v>
      </c>
    </row>
    <row r="21" spans="2:10">
      <c r="B21" s="231" t="s">
        <v>33</v>
      </c>
      <c r="C21" s="349">
        <f>C6+C20</f>
        <v>165591</v>
      </c>
      <c r="D21" s="349">
        <f>D6+D20</f>
        <v>179355</v>
      </c>
      <c r="E21" s="191">
        <f>E6+E20</f>
        <v>61757</v>
      </c>
    </row>
    <row r="22" spans="2:10">
      <c r="B22" s="130" t="s">
        <v>35</v>
      </c>
      <c r="C22" s="238"/>
      <c r="D22" s="238"/>
      <c r="E22" s="47"/>
    </row>
    <row r="23" spans="2:10">
      <c r="B23" s="237" t="s">
        <v>1036</v>
      </c>
      <c r="C23" s="222">
        <v>138065</v>
      </c>
      <c r="D23" s="222">
        <v>148000</v>
      </c>
      <c r="E23" s="49">
        <v>165000</v>
      </c>
    </row>
    <row r="24" spans="2:10">
      <c r="B24" s="237"/>
      <c r="C24" s="222"/>
      <c r="D24" s="222"/>
      <c r="E24" s="49"/>
      <c r="G24" s="847" t="str">
        <f>CONCATENATE("Desired Carryover Into ",E1+1,"")</f>
        <v>Desired Carryover Into 2015</v>
      </c>
      <c r="H24" s="842"/>
      <c r="I24" s="842"/>
      <c r="J24" s="843"/>
    </row>
    <row r="25" spans="2:10">
      <c r="B25" s="237"/>
      <c r="C25" s="222"/>
      <c r="D25" s="222"/>
      <c r="E25" s="49"/>
      <c r="G25" s="699"/>
      <c r="H25" s="686"/>
      <c r="I25" s="693"/>
      <c r="J25" s="700"/>
    </row>
    <row r="26" spans="2:10">
      <c r="B26" s="237"/>
      <c r="C26" s="222"/>
      <c r="D26" s="222"/>
      <c r="E26" s="49"/>
      <c r="G26" s="698" t="s">
        <v>637</v>
      </c>
      <c r="H26" s="693"/>
      <c r="I26" s="693"/>
      <c r="J26" s="687">
        <v>0</v>
      </c>
    </row>
    <row r="27" spans="2:10">
      <c r="B27" s="237"/>
      <c r="C27" s="222"/>
      <c r="D27" s="222"/>
      <c r="E27" s="49"/>
      <c r="G27" s="699" t="s">
        <v>638</v>
      </c>
      <c r="H27" s="686"/>
      <c r="I27" s="686"/>
      <c r="J27" s="727" t="str">
        <f>IF(J26=0,"",ROUND((J26+E40-G39)/inputOth!E7*1000,3)-G44)</f>
        <v/>
      </c>
    </row>
    <row r="28" spans="2:10">
      <c r="B28" s="237"/>
      <c r="C28" s="222"/>
      <c r="D28" s="222"/>
      <c r="E28" s="49"/>
      <c r="G28" s="724" t="str">
        <f>CONCATENATE("",E1," Tot Exp/Non-Appr Must Be:")</f>
        <v>2014 Tot Exp/Non-Appr Must Be:</v>
      </c>
      <c r="H28" s="722"/>
      <c r="I28" s="723"/>
      <c r="J28" s="719">
        <f>IF(J26&gt;0,IF(E37&lt;E21,IF(J26=G39,E37,((J26-G39)*(1-D39))+E21),E37+(J26-G39)),0)</f>
        <v>0</v>
      </c>
    </row>
    <row r="29" spans="2:10">
      <c r="B29" s="237"/>
      <c r="C29" s="222"/>
      <c r="D29" s="222"/>
      <c r="E29" s="49"/>
      <c r="G29" s="589" t="s">
        <v>815</v>
      </c>
      <c r="H29" s="730"/>
      <c r="I29" s="730"/>
      <c r="J29" s="725">
        <f>IF(J26&gt;0,J28-E37,0)</f>
        <v>0</v>
      </c>
    </row>
    <row r="30" spans="2:10">
      <c r="B30" s="238" t="s">
        <v>271</v>
      </c>
      <c r="C30" s="222"/>
      <c r="D30" s="222"/>
      <c r="E30" s="56">
        <f>nhood!E9</f>
        <v>2017</v>
      </c>
      <c r="J30" s="676"/>
    </row>
    <row r="31" spans="2:10">
      <c r="B31" s="238" t="s">
        <v>270</v>
      </c>
      <c r="C31" s="222"/>
      <c r="D31" s="222"/>
      <c r="E31" s="49"/>
      <c r="G31" s="847" t="str">
        <f>CONCATENATE("Projected Carryover Into ",E1+1,"")</f>
        <v>Projected Carryover Into 2015</v>
      </c>
      <c r="H31" s="854"/>
      <c r="I31" s="854"/>
      <c r="J31" s="856"/>
    </row>
    <row r="32" spans="2:10">
      <c r="B32" s="238" t="s">
        <v>794</v>
      </c>
      <c r="C32" s="347" t="str">
        <f>IF(C33*0.1&lt;C31,"Exceed 10% Rule","")</f>
        <v/>
      </c>
      <c r="D32" s="347" t="str">
        <f>IF(D33*0.1&lt;D31,"Exceed 10% Rule","")</f>
        <v/>
      </c>
      <c r="E32" s="354" t="str">
        <f>IF(E33*0.1&lt;E31,"Exceed 10% Rule","")</f>
        <v/>
      </c>
      <c r="G32" s="699"/>
      <c r="H32" s="693"/>
      <c r="I32" s="693"/>
      <c r="J32" s="736"/>
    </row>
    <row r="33" spans="2:11">
      <c r="B33" s="231" t="s">
        <v>39</v>
      </c>
      <c r="C33" s="352">
        <f>SUM(C23:C31)</f>
        <v>138065</v>
      </c>
      <c r="D33" s="352">
        <f>SUM(D23:D31)</f>
        <v>148000</v>
      </c>
      <c r="E33" s="257">
        <f>SUM(E23:E31)</f>
        <v>167017</v>
      </c>
      <c r="G33" s="690">
        <f>D34</f>
        <v>31355</v>
      </c>
      <c r="H33" s="691" t="str">
        <f>CONCATENATE("",E1-1," Ending Cash Balance (est.)")</f>
        <v>2013 Ending Cash Balance (est.)</v>
      </c>
      <c r="I33" s="692"/>
      <c r="J33" s="736"/>
    </row>
    <row r="34" spans="2:11">
      <c r="B34" s="130" t="s">
        <v>147</v>
      </c>
      <c r="C34" s="349">
        <f>C21-C33</f>
        <v>27526</v>
      </c>
      <c r="D34" s="349">
        <f>D21-D33</f>
        <v>31355</v>
      </c>
      <c r="E34" s="252" t="s">
        <v>13</v>
      </c>
      <c r="G34" s="690">
        <f>E20</f>
        <v>30402</v>
      </c>
      <c r="H34" s="693" t="str">
        <f>CONCATENATE("",E1," Non-AV Receipts (est.)")</f>
        <v>2014 Non-AV Receipts (est.)</v>
      </c>
      <c r="I34" s="692"/>
      <c r="J34" s="736"/>
    </row>
    <row r="35" spans="2:11">
      <c r="B35" s="118" t="str">
        <f>CONCATENATE("",$E$1-2,"/",$E$1-1," Budget Authority Amount:")</f>
        <v>2012/2013 Budget Authority Amount:</v>
      </c>
      <c r="C35" s="181">
        <f>inputOth!B64</f>
        <v>165000</v>
      </c>
      <c r="D35" s="240">
        <f>inputPrYr!D21</f>
        <v>166120</v>
      </c>
      <c r="E35" s="252" t="s">
        <v>13</v>
      </c>
      <c r="F35" s="241"/>
      <c r="G35" s="694">
        <f>IF(E39&gt;0,E38,E40)</f>
        <v>105260</v>
      </c>
      <c r="H35" s="693" t="str">
        <f>CONCATENATE("",E1," Ad Valorem Tax (est.)")</f>
        <v>2014 Ad Valorem Tax (est.)</v>
      </c>
      <c r="I35" s="692"/>
      <c r="J35" s="738"/>
      <c r="K35" s="592" t="str">
        <f>IF(G35=E40,"","Note: Does not include Delinquent Taxes")</f>
        <v>Note: Does not include Delinquent Taxes</v>
      </c>
    </row>
    <row r="36" spans="2:11">
      <c r="B36" s="118"/>
      <c r="C36" s="835" t="s">
        <v>629</v>
      </c>
      <c r="D36" s="836"/>
      <c r="E36" s="49"/>
      <c r="F36" s="750" t="str">
        <f>IF(E33/0.95-E33&lt;E36,"Exceeds 5%","")</f>
        <v/>
      </c>
      <c r="G36" s="690">
        <f>SUM(G33:G35)</f>
        <v>167017</v>
      </c>
      <c r="H36" s="693" t="str">
        <f>CONCATENATE("Total ",E1," Resources Available")</f>
        <v>Total 2014 Resources Available</v>
      </c>
      <c r="I36" s="692"/>
      <c r="J36" s="736"/>
    </row>
    <row r="37" spans="2:11">
      <c r="B37" s="370" t="str">
        <f>CONCATENATE(C95,"     ",D95)</f>
        <v xml:space="preserve">     </v>
      </c>
      <c r="C37" s="837" t="s">
        <v>630</v>
      </c>
      <c r="D37" s="838"/>
      <c r="E37" s="191">
        <f>SUM(E33+E36)</f>
        <v>167017</v>
      </c>
      <c r="G37" s="695"/>
      <c r="H37" s="693"/>
      <c r="I37" s="693"/>
      <c r="J37" s="736"/>
    </row>
    <row r="38" spans="2:11">
      <c r="B38" s="370" t="str">
        <f>CONCATENATE(C96,"     ",D96)</f>
        <v xml:space="preserve">     </v>
      </c>
      <c r="C38" s="356"/>
      <c r="D38" s="146" t="s">
        <v>40</v>
      </c>
      <c r="E38" s="191">
        <f>IF(E37-E21&gt;0,E37-E21,0)</f>
        <v>105260</v>
      </c>
      <c r="G38" s="694">
        <f>ROUND(C33*0.05+C33,0)</f>
        <v>144968</v>
      </c>
      <c r="H38" s="693" t="str">
        <f>CONCATENATE("Less ",E1-2," Expenditures + 5%")</f>
        <v>Less 2012 Expenditures + 5%</v>
      </c>
      <c r="I38" s="692"/>
      <c r="J38" s="736"/>
    </row>
    <row r="39" spans="2:11">
      <c r="B39" s="370"/>
      <c r="C39" s="356" t="s">
        <v>631</v>
      </c>
      <c r="D39" s="591">
        <f>inputOth!$E$47</f>
        <v>0.01</v>
      </c>
      <c r="E39" s="191">
        <f>ROUND(IF(D39&gt;0,(E38*D39),0),0)</f>
        <v>1053</v>
      </c>
      <c r="G39" s="728">
        <f>G36-G38</f>
        <v>22049</v>
      </c>
      <c r="H39" s="729" t="str">
        <f>CONCATENATE("Projected ",E1+1," carryover (est.)")</f>
        <v>Projected 2015 carryover (est.)</v>
      </c>
      <c r="I39" s="696"/>
      <c r="J39" s="737"/>
    </row>
    <row r="40" spans="2:11" ht="16.5" thickBot="1">
      <c r="B40" s="21"/>
      <c r="C40" s="839" t="str">
        <f>CONCATENATE("Amount of  ",$E$1-1," Ad Valorem Tax")</f>
        <v>Amount of  2013 Ad Valorem Tax</v>
      </c>
      <c r="D40" s="840"/>
      <c r="E40" s="258">
        <f>SUM(E38:E39)</f>
        <v>106313</v>
      </c>
      <c r="G40" s="676"/>
      <c r="H40" s="676"/>
      <c r="I40" s="676"/>
      <c r="J40" s="676"/>
    </row>
    <row r="41" spans="2:11" ht="16.5" thickTop="1">
      <c r="B41" s="21"/>
      <c r="C41" s="851"/>
      <c r="D41" s="851"/>
      <c r="E41" s="21"/>
      <c r="G41" s="844" t="s">
        <v>871</v>
      </c>
      <c r="H41" s="845"/>
      <c r="I41" s="845"/>
      <c r="J41" s="846"/>
    </row>
    <row r="42" spans="2:11">
      <c r="B42" s="21"/>
      <c r="C42" s="21"/>
      <c r="D42" s="21"/>
      <c r="E42" s="21"/>
      <c r="G42" s="732"/>
      <c r="H42" s="691"/>
      <c r="I42" s="720"/>
      <c r="J42" s="721"/>
    </row>
    <row r="43" spans="2:11">
      <c r="B43" s="28"/>
      <c r="C43" s="256"/>
      <c r="D43" s="256"/>
      <c r="E43" s="256"/>
      <c r="G43" s="734">
        <f>summ!H19</f>
        <v>16.417000000000002</v>
      </c>
      <c r="H43" s="691" t="str">
        <f>CONCATENATE("",E1," Fund Mill Rate")</f>
        <v>2014 Fund Mill Rate</v>
      </c>
      <c r="I43" s="720"/>
      <c r="J43" s="721"/>
    </row>
    <row r="44" spans="2:11">
      <c r="B44" s="28" t="s">
        <v>24</v>
      </c>
      <c r="C44" s="658" t="str">
        <f t="shared" ref="C44:E45" si="0">C4</f>
        <v xml:space="preserve">Prior Year </v>
      </c>
      <c r="D44" s="659" t="str">
        <f t="shared" si="0"/>
        <v xml:space="preserve">Current Year </v>
      </c>
      <c r="E44" s="124" t="str">
        <f t="shared" si="0"/>
        <v xml:space="preserve">Proposed Budget </v>
      </c>
      <c r="G44" s="733">
        <f>summ!E19</f>
        <v>18.867999999999999</v>
      </c>
      <c r="H44" s="691" t="str">
        <f>CONCATENATE("",E1-1," Fund Mill Rate")</f>
        <v>2013 Fund Mill Rate</v>
      </c>
      <c r="I44" s="720"/>
      <c r="J44" s="721"/>
    </row>
    <row r="45" spans="2:11">
      <c r="B45" s="366" t="str">
        <f>(inputPrYr!B22)</f>
        <v>Street Resurfacing</v>
      </c>
      <c r="C45" s="350" t="str">
        <f t="shared" si="0"/>
        <v>Actual for 2012</v>
      </c>
      <c r="D45" s="350" t="str">
        <f t="shared" si="0"/>
        <v>Estimate for 2013</v>
      </c>
      <c r="E45" s="177" t="str">
        <f t="shared" si="0"/>
        <v>Year for 2014</v>
      </c>
      <c r="G45" s="735">
        <f>summ!H43</f>
        <v>46.652000000000001</v>
      </c>
      <c r="H45" s="691" t="str">
        <f>CONCATENATE("Total ",E1," Mill Rate")</f>
        <v>Total 2014 Mill Rate</v>
      </c>
      <c r="I45" s="720"/>
      <c r="J45" s="721"/>
    </row>
    <row r="46" spans="2:11">
      <c r="B46" s="221" t="s">
        <v>146</v>
      </c>
      <c r="C46" s="222">
        <v>14533</v>
      </c>
      <c r="D46" s="349">
        <f>C74</f>
        <v>74661</v>
      </c>
      <c r="E46" s="191">
        <f>D74</f>
        <v>142935</v>
      </c>
      <c r="G46" s="733">
        <f>summ!E43</f>
        <v>48.61</v>
      </c>
      <c r="H46" s="716" t="str">
        <f>CONCATENATE("Total ",E1-1," Mill Rate")</f>
        <v>Total 2013 Mill Rate</v>
      </c>
      <c r="I46" s="717"/>
      <c r="J46" s="718"/>
    </row>
    <row r="47" spans="2:11">
      <c r="B47" s="221" t="s">
        <v>148</v>
      </c>
      <c r="C47" s="138"/>
      <c r="D47" s="138"/>
      <c r="E47" s="67"/>
    </row>
    <row r="48" spans="2:11">
      <c r="B48" s="130" t="s">
        <v>25</v>
      </c>
      <c r="C48" s="222">
        <v>48809</v>
      </c>
      <c r="D48" s="349">
        <f>IF(inputPrYr!H16&gt;0,inputPrYr!G22,inputPrYr!E22)</f>
        <v>55531</v>
      </c>
      <c r="E48" s="252" t="s">
        <v>13</v>
      </c>
      <c r="G48" s="779" t="s">
        <v>977</v>
      </c>
      <c r="H48" s="761"/>
      <c r="I48" s="760" t="str">
        <f>cert!F49</f>
        <v>No</v>
      </c>
    </row>
    <row r="49" spans="2:10">
      <c r="B49" s="130" t="s">
        <v>26</v>
      </c>
      <c r="C49" s="222">
        <v>590</v>
      </c>
      <c r="D49" s="222">
        <v>122</v>
      </c>
      <c r="E49" s="49">
        <v>150</v>
      </c>
    </row>
    <row r="50" spans="2:10">
      <c r="B50" s="130" t="s">
        <v>27</v>
      </c>
      <c r="C50" s="222">
        <v>10348</v>
      </c>
      <c r="D50" s="222">
        <v>12193</v>
      </c>
      <c r="E50" s="191">
        <f>mvalloc!D11</f>
        <v>13662</v>
      </c>
    </row>
    <row r="51" spans="2:10">
      <c r="B51" s="130" t="s">
        <v>28</v>
      </c>
      <c r="C51" s="222">
        <v>153</v>
      </c>
      <c r="D51" s="222">
        <v>165</v>
      </c>
      <c r="E51" s="191">
        <f>mvalloc!E11</f>
        <v>197</v>
      </c>
    </row>
    <row r="52" spans="2:10">
      <c r="B52" s="138" t="s">
        <v>123</v>
      </c>
      <c r="C52" s="222">
        <v>228</v>
      </c>
      <c r="D52" s="222">
        <v>263</v>
      </c>
      <c r="E52" s="191">
        <f>mvalloc!F11</f>
        <v>307</v>
      </c>
    </row>
    <row r="53" spans="2:10">
      <c r="B53" s="49"/>
      <c r="C53" s="222"/>
      <c r="D53" s="222"/>
      <c r="E53" s="49"/>
    </row>
    <row r="54" spans="2:10">
      <c r="B54" s="237"/>
      <c r="C54" s="222"/>
      <c r="D54" s="222"/>
      <c r="E54" s="49"/>
    </row>
    <row r="55" spans="2:10">
      <c r="B55" s="237"/>
      <c r="C55" s="222"/>
      <c r="D55" s="222"/>
      <c r="E55" s="49"/>
    </row>
    <row r="56" spans="2:10">
      <c r="B56" s="237"/>
      <c r="C56" s="222"/>
      <c r="D56" s="222"/>
      <c r="E56" s="49"/>
    </row>
    <row r="57" spans="2:10">
      <c r="B57" s="229" t="s">
        <v>31</v>
      </c>
      <c r="C57" s="222"/>
      <c r="D57" s="222"/>
      <c r="E57" s="49"/>
    </row>
    <row r="58" spans="2:10">
      <c r="B58" s="138" t="s">
        <v>270</v>
      </c>
      <c r="C58" s="222"/>
      <c r="D58" s="222"/>
      <c r="E58" s="49"/>
    </row>
    <row r="59" spans="2:10">
      <c r="B59" s="221" t="s">
        <v>793</v>
      </c>
      <c r="C59" s="347" t="str">
        <f>IF(C60*0.1&lt;C58,"Exceed 10% Rule","")</f>
        <v/>
      </c>
      <c r="D59" s="347" t="str">
        <f>IF(D60*0.1&lt;D58,"Exceed 10% Rule","")</f>
        <v/>
      </c>
      <c r="E59" s="354" t="str">
        <f>IF(E60*0.1+E80&lt;E58,"Exceed 10% Rule","")</f>
        <v/>
      </c>
    </row>
    <row r="60" spans="2:10">
      <c r="B60" s="231" t="s">
        <v>32</v>
      </c>
      <c r="C60" s="352">
        <f>SUM(C48:C58)</f>
        <v>60128</v>
      </c>
      <c r="D60" s="352">
        <f>SUM(D48:D58)</f>
        <v>68274</v>
      </c>
      <c r="E60" s="257">
        <f>SUM(E48:E58)</f>
        <v>14316</v>
      </c>
    </row>
    <row r="61" spans="2:10">
      <c r="B61" s="231" t="s">
        <v>33</v>
      </c>
      <c r="C61" s="352">
        <f>C46+C60</f>
        <v>74661</v>
      </c>
      <c r="D61" s="352">
        <f>D46+D60</f>
        <v>142935</v>
      </c>
      <c r="E61" s="257">
        <f>E46+E60</f>
        <v>157251</v>
      </c>
    </row>
    <row r="62" spans="2:10">
      <c r="B62" s="130" t="s">
        <v>35</v>
      </c>
      <c r="C62" s="238"/>
      <c r="D62" s="238"/>
      <c r="E62" s="47"/>
    </row>
    <row r="63" spans="2:10">
      <c r="B63" s="237" t="s">
        <v>1037</v>
      </c>
      <c r="C63" s="222"/>
      <c r="D63" s="222"/>
      <c r="E63" s="49">
        <v>211697</v>
      </c>
    </row>
    <row r="64" spans="2:10">
      <c r="B64" s="237"/>
      <c r="C64" s="222"/>
      <c r="D64" s="222"/>
      <c r="E64" s="49"/>
      <c r="G64" s="847" t="str">
        <f>CONCATENATE("Desired Carryover Into ",E1+1,"")</f>
        <v>Desired Carryover Into 2015</v>
      </c>
      <c r="H64" s="842"/>
      <c r="I64" s="842"/>
      <c r="J64" s="843"/>
    </row>
    <row r="65" spans="2:11">
      <c r="B65" s="237"/>
      <c r="C65" s="222"/>
      <c r="D65" s="222"/>
      <c r="E65" s="49"/>
      <c r="G65" s="699"/>
      <c r="H65" s="686"/>
      <c r="I65" s="693"/>
      <c r="J65" s="700"/>
    </row>
    <row r="66" spans="2:11">
      <c r="B66" s="237"/>
      <c r="C66" s="222"/>
      <c r="D66" s="222"/>
      <c r="E66" s="49"/>
      <c r="G66" s="698" t="s">
        <v>637</v>
      </c>
      <c r="H66" s="693"/>
      <c r="I66" s="693"/>
      <c r="J66" s="687">
        <v>0</v>
      </c>
    </row>
    <row r="67" spans="2:11">
      <c r="B67" s="237"/>
      <c r="C67" s="222"/>
      <c r="D67" s="222"/>
      <c r="E67" s="49"/>
      <c r="G67" s="699" t="s">
        <v>638</v>
      </c>
      <c r="H67" s="686"/>
      <c r="I67" s="686"/>
      <c r="J67" s="727" t="str">
        <f>IF(J66=0,"",ROUND((J66+E80-G79)/inputOth!E7*1000,3)-G84)</f>
        <v/>
      </c>
    </row>
    <row r="68" spans="2:11">
      <c r="B68" s="237"/>
      <c r="C68" s="222"/>
      <c r="D68" s="222"/>
      <c r="E68" s="49"/>
      <c r="G68" s="724" t="str">
        <f>CONCATENATE("",E1," Tot Exp/Non-Appr Must Be:")</f>
        <v>2014 Tot Exp/Non-Appr Must Be:</v>
      </c>
      <c r="H68" s="722"/>
      <c r="I68" s="723"/>
      <c r="J68" s="719">
        <f>IF(J66&gt;0,IF(E77&lt;E61,IF(J66=G79,E77,((J66-G79)*(1-D79))+E61),E77+(J66-G79)),0)</f>
        <v>0</v>
      </c>
    </row>
    <row r="69" spans="2:11">
      <c r="B69" s="237"/>
      <c r="C69" s="222"/>
      <c r="D69" s="222"/>
      <c r="E69" s="49"/>
      <c r="G69" s="589" t="s">
        <v>815</v>
      </c>
      <c r="H69" s="730"/>
      <c r="I69" s="730"/>
      <c r="J69" s="725">
        <f>IF(J66&gt;0,J68-E77,0)</f>
        <v>0</v>
      </c>
    </row>
    <row r="70" spans="2:11">
      <c r="B70" s="238" t="s">
        <v>271</v>
      </c>
      <c r="C70" s="222"/>
      <c r="D70" s="222"/>
      <c r="E70" s="56">
        <f>nhood!E10</f>
        <v>1064</v>
      </c>
      <c r="J70" s="676"/>
    </row>
    <row r="71" spans="2:11">
      <c r="B71" s="238" t="s">
        <v>270</v>
      </c>
      <c r="C71" s="222"/>
      <c r="D71" s="222"/>
      <c r="E71" s="49"/>
      <c r="G71" s="847" t="str">
        <f>CONCATENATE("Projected Carryover Into ",E1+1,"")</f>
        <v>Projected Carryover Into 2015</v>
      </c>
      <c r="H71" s="857"/>
      <c r="I71" s="857"/>
      <c r="J71" s="856"/>
    </row>
    <row r="72" spans="2:11">
      <c r="B72" s="238" t="s">
        <v>794</v>
      </c>
      <c r="C72" s="347" t="str">
        <f>IF(C73*0.1&lt;C71,"Exceed 10% Rule","")</f>
        <v/>
      </c>
      <c r="D72" s="347" t="str">
        <f>IF(D73*0.1&lt;D71,"Exceed 10% Rule","")</f>
        <v/>
      </c>
      <c r="E72" s="354" t="str">
        <f>IF(E73*0.1&lt;E71,"Exceed 10% Rule","")</f>
        <v/>
      </c>
      <c r="G72" s="688"/>
      <c r="H72" s="686"/>
      <c r="I72" s="686"/>
      <c r="J72" s="679"/>
    </row>
    <row r="73" spans="2:11">
      <c r="B73" s="231" t="s">
        <v>39</v>
      </c>
      <c r="C73" s="352">
        <f>SUM(C63:C71)</f>
        <v>0</v>
      </c>
      <c r="D73" s="352">
        <f>SUM(D63:D71)</f>
        <v>0</v>
      </c>
      <c r="E73" s="257">
        <f>SUM(E63:E71)</f>
        <v>212761</v>
      </c>
      <c r="G73" s="690">
        <f>D74</f>
        <v>142935</v>
      </c>
      <c r="H73" s="691" t="str">
        <f>CONCATENATE("",E1-1," Ending Cash Balance (est.)")</f>
        <v>2013 Ending Cash Balance (est.)</v>
      </c>
      <c r="I73" s="692"/>
      <c r="J73" s="679"/>
    </row>
    <row r="74" spans="2:11">
      <c r="B74" s="130" t="s">
        <v>147</v>
      </c>
      <c r="C74" s="349">
        <f>C61-C73</f>
        <v>74661</v>
      </c>
      <c r="D74" s="349">
        <f>D61-D73</f>
        <v>142935</v>
      </c>
      <c r="E74" s="252" t="s">
        <v>13</v>
      </c>
      <c r="G74" s="690">
        <f>E60</f>
        <v>14316</v>
      </c>
      <c r="H74" s="693" t="str">
        <f>CONCATENATE("",E1," Non-AV Receipts (est.)")</f>
        <v>2014 Non-AV Receipts (est.)</v>
      </c>
      <c r="I74" s="692"/>
      <c r="J74" s="679"/>
    </row>
    <row r="75" spans="2:11">
      <c r="B75" s="118" t="str">
        <f>CONCATENATE("",$E$1-2,"/",$E$1-1," Budget Authority Amount:")</f>
        <v>2012/2013 Budget Authority Amount:</v>
      </c>
      <c r="C75" s="181">
        <f>inputOth!B65</f>
        <v>59558</v>
      </c>
      <c r="D75" s="240">
        <f>inputPrYr!D22</f>
        <v>142868</v>
      </c>
      <c r="E75" s="252" t="s">
        <v>13</v>
      </c>
      <c r="F75" s="241"/>
      <c r="G75" s="694">
        <f>IF(D79&gt;0,E78,E80)</f>
        <v>55510</v>
      </c>
      <c r="H75" s="693" t="str">
        <f>CONCATENATE("",E1," Ad Valorem Tax (est.)")</f>
        <v>2014 Ad Valorem Tax (est.)</v>
      </c>
      <c r="I75" s="692"/>
      <c r="J75" s="679"/>
      <c r="K75" s="592" t="str">
        <f>IF(G75=E80,"","Note: Does not include Delinquent Taxes")</f>
        <v>Note: Does not include Delinquent Taxes</v>
      </c>
    </row>
    <row r="76" spans="2:11">
      <c r="B76" s="118"/>
      <c r="C76" s="835" t="s">
        <v>629</v>
      </c>
      <c r="D76" s="836"/>
      <c r="E76" s="49"/>
      <c r="F76" s="750" t="str">
        <f>IF(E73/0.95-E73&lt;E76,"Exceeds 5%","")</f>
        <v/>
      </c>
      <c r="G76" s="701">
        <f>SUM(G73:G75)</f>
        <v>212761</v>
      </c>
      <c r="H76" s="693" t="str">
        <f>CONCATENATE("Total ",E1," Resources Available")</f>
        <v>Total 2014 Resources Available</v>
      </c>
      <c r="I76" s="689"/>
      <c r="J76" s="679"/>
    </row>
    <row r="77" spans="2:11">
      <c r="B77" s="370" t="str">
        <f>CONCATENATE(C97,"     ",D97)</f>
        <v xml:space="preserve">     </v>
      </c>
      <c r="C77" s="837" t="s">
        <v>630</v>
      </c>
      <c r="D77" s="838"/>
      <c r="E77" s="191">
        <f>E73+E76</f>
        <v>212761</v>
      </c>
      <c r="G77" s="704"/>
      <c r="H77" s="702"/>
      <c r="I77" s="686"/>
      <c r="J77" s="679"/>
    </row>
    <row r="78" spans="2:11">
      <c r="B78" s="370" t="str">
        <f>CONCATENATE(C98,"     ",D98)</f>
        <v xml:space="preserve">     </v>
      </c>
      <c r="C78" s="242"/>
      <c r="D78" s="146" t="s">
        <v>40</v>
      </c>
      <c r="E78" s="191">
        <f>IF(E77-E61&gt;0,E77-E61,0)</f>
        <v>55510</v>
      </c>
      <c r="G78" s="703">
        <f>ROUND(C73*0.05+C73,0)</f>
        <v>0</v>
      </c>
      <c r="H78" s="702" t="str">
        <f>CONCATENATE("Less ",E1-2," Expenditures + 5%")</f>
        <v>Less 2012 Expenditures + 5%</v>
      </c>
      <c r="I78" s="689"/>
      <c r="J78" s="679"/>
    </row>
    <row r="79" spans="2:11">
      <c r="B79" s="118"/>
      <c r="C79" s="356" t="s">
        <v>631</v>
      </c>
      <c r="D79" s="591">
        <f>inputOth!E47</f>
        <v>0.01</v>
      </c>
      <c r="E79" s="191">
        <f>ROUND(IF(D79&gt;0,(E78*D79),0),0)</f>
        <v>555</v>
      </c>
      <c r="G79" s="705">
        <f>G76-G78</f>
        <v>212761</v>
      </c>
      <c r="H79" s="706" t="str">
        <f>CONCATENATE("Projected ",E1+1," carryover (est.)")</f>
        <v>Projected 2015 carryover (est.)</v>
      </c>
      <c r="I79" s="697"/>
      <c r="J79" s="737"/>
    </row>
    <row r="80" spans="2:11" ht="16.5" thickBot="1">
      <c r="B80" s="146"/>
      <c r="C80" s="839" t="str">
        <f>CONCATENATE("Amount of  ",$E$1-1," Ad Valorem Tax")</f>
        <v>Amount of  2013 Ad Valorem Tax</v>
      </c>
      <c r="D80" s="840"/>
      <c r="E80" s="258">
        <f>E78+E79</f>
        <v>56065</v>
      </c>
      <c r="G80" s="676"/>
      <c r="H80" s="676"/>
      <c r="I80" s="676"/>
    </row>
    <row r="81" spans="2:10" ht="16.5" thickTop="1">
      <c r="B81" s="146"/>
      <c r="C81" s="851"/>
      <c r="D81" s="851"/>
      <c r="E81" s="146"/>
      <c r="G81" s="844" t="s">
        <v>871</v>
      </c>
      <c r="H81" s="845"/>
      <c r="I81" s="845"/>
      <c r="J81" s="846"/>
    </row>
    <row r="82" spans="2:10">
      <c r="B82" s="146"/>
      <c r="C82" s="513"/>
      <c r="D82" s="146"/>
      <c r="E82" s="146"/>
      <c r="G82" s="732"/>
      <c r="H82" s="691"/>
      <c r="I82" s="720"/>
      <c r="J82" s="721"/>
    </row>
    <row r="83" spans="2:10">
      <c r="B83" s="118" t="s">
        <v>42</v>
      </c>
      <c r="C83" s="248">
        <v>10</v>
      </c>
      <c r="D83" s="21"/>
      <c r="E83" s="21"/>
      <c r="G83" s="734">
        <f>summ!H20</f>
        <v>8.6579999999999995</v>
      </c>
      <c r="H83" s="691" t="str">
        <f>CONCATENATE("",E1," Fund Mill Rate")</f>
        <v>2014 Fund Mill Rate</v>
      </c>
      <c r="I83" s="720"/>
      <c r="J83" s="721"/>
    </row>
    <row r="84" spans="2:10">
      <c r="B84" s="355"/>
      <c r="G84" s="733">
        <f>summ!E20</f>
        <v>8.8650000000000002</v>
      </c>
      <c r="H84" s="691" t="str">
        <f>CONCATENATE("",E1-1," Fund Mill Rate")</f>
        <v>2013 Fund Mill Rate</v>
      </c>
      <c r="I84" s="720"/>
      <c r="J84" s="721"/>
    </row>
    <row r="85" spans="2:10">
      <c r="B85" s="8"/>
      <c r="G85" s="735">
        <f>summ!H43</f>
        <v>46.652000000000001</v>
      </c>
      <c r="H85" s="691" t="str">
        <f>CONCATENATE("Total ",E1," Mill Rate")</f>
        <v>Total 2014 Mill Rate</v>
      </c>
      <c r="I85" s="720"/>
      <c r="J85" s="721"/>
    </row>
    <row r="86" spans="2:10">
      <c r="G86" s="733">
        <f>summ!E43</f>
        <v>48.61</v>
      </c>
      <c r="H86" s="716" t="str">
        <f>CONCATENATE("Total ",E1-1," Mill Rate")</f>
        <v>Total 2013 Mill Rate</v>
      </c>
      <c r="I86" s="717"/>
      <c r="J86" s="718"/>
    </row>
    <row r="88" spans="2:10">
      <c r="G88" s="779" t="s">
        <v>977</v>
      </c>
      <c r="H88" s="763"/>
      <c r="I88" s="762" t="str">
        <f>cert!F49</f>
        <v>No</v>
      </c>
    </row>
    <row r="95" spans="2:10" hidden="1">
      <c r="C95" s="371" t="str">
        <f>IF(C33&gt;C35,"See Tab A","")</f>
        <v/>
      </c>
      <c r="D95" s="371" t="str">
        <f>IF(D33&gt;D35,"See Tab C","")</f>
        <v/>
      </c>
    </row>
    <row r="96" spans="2:10" hidden="1">
      <c r="C96" s="371" t="str">
        <f>IF(C34&lt;0,"See Tab B","")</f>
        <v/>
      </c>
      <c r="D96" s="371" t="str">
        <f>IF(D34&lt;0,"See Tab D","")</f>
        <v/>
      </c>
    </row>
    <row r="97" spans="3:4" hidden="1">
      <c r="C97" s="371" t="str">
        <f>IF(C73&gt;C75,"See Tab A","")</f>
        <v/>
      </c>
      <c r="D97" s="371" t="str">
        <f>IF(D73&gt;D75,"See Tab C","")</f>
        <v/>
      </c>
    </row>
    <row r="98" spans="3:4" hidden="1">
      <c r="C98" s="371" t="str">
        <f>IF(C74&lt;0,"See Tab B","")</f>
        <v/>
      </c>
      <c r="D98" s="371" t="str">
        <f>IF(D74&lt;0,"See Tab D","")</f>
        <v/>
      </c>
    </row>
  </sheetData>
  <sheetProtection sheet="1"/>
  <mergeCells count="14">
    <mergeCell ref="G24:J24"/>
    <mergeCell ref="G31:J31"/>
    <mergeCell ref="G41:J41"/>
    <mergeCell ref="G64:J64"/>
    <mergeCell ref="G71:J71"/>
    <mergeCell ref="C36:D36"/>
    <mergeCell ref="C37:D37"/>
    <mergeCell ref="C80:D80"/>
    <mergeCell ref="C40:D40"/>
    <mergeCell ref="G81:J81"/>
    <mergeCell ref="C81:D81"/>
    <mergeCell ref="C41:D41"/>
    <mergeCell ref="C76:D76"/>
    <mergeCell ref="C77:D77"/>
  </mergeCells>
  <phoneticPr fontId="0" type="noConversion"/>
  <conditionalFormatting sqref="E71">
    <cfRule type="cellIs" dxfId="216" priority="4" stopIfTrue="1" operator="greaterThan">
      <formula>$E$73*0.1</formula>
    </cfRule>
  </conditionalFormatting>
  <conditionalFormatting sqref="E76">
    <cfRule type="cellIs" dxfId="215" priority="5" stopIfTrue="1" operator="greaterThan">
      <formula>$E$73/0.95-$E$73</formula>
    </cfRule>
  </conditionalFormatting>
  <conditionalFormatting sqref="E31">
    <cfRule type="cellIs" dxfId="214" priority="6" stopIfTrue="1" operator="greaterThan">
      <formula>$E$33*0.1</formula>
    </cfRule>
  </conditionalFormatting>
  <conditionalFormatting sqref="D33">
    <cfRule type="cellIs" dxfId="213" priority="8" stopIfTrue="1" operator="greaterThan">
      <formula>$D$35</formula>
    </cfRule>
  </conditionalFormatting>
  <conditionalFormatting sqref="C33">
    <cfRule type="cellIs" dxfId="212" priority="9" stopIfTrue="1" operator="greaterThan">
      <formula>$C$35</formula>
    </cfRule>
  </conditionalFormatting>
  <conditionalFormatting sqref="C34 C74">
    <cfRule type="cellIs" dxfId="211" priority="10" stopIfTrue="1" operator="lessThan">
      <formula>0</formula>
    </cfRule>
  </conditionalFormatting>
  <conditionalFormatting sqref="D73">
    <cfRule type="cellIs" dxfId="210" priority="11" stopIfTrue="1" operator="greaterThan">
      <formula>$D$75</formula>
    </cfRule>
  </conditionalFormatting>
  <conditionalFormatting sqref="C73">
    <cfRule type="cellIs" dxfId="209" priority="12" stopIfTrue="1" operator="greaterThan">
      <formula>$C$75</formula>
    </cfRule>
  </conditionalFormatting>
  <conditionalFormatting sqref="C31">
    <cfRule type="cellIs" dxfId="208" priority="13" stopIfTrue="1" operator="greaterThan">
      <formula>$C$33*0.1</formula>
    </cfRule>
  </conditionalFormatting>
  <conditionalFormatting sqref="D31">
    <cfRule type="cellIs" dxfId="207" priority="14" stopIfTrue="1" operator="greaterThan">
      <formula>$D$33*0.1</formula>
    </cfRule>
  </conditionalFormatting>
  <conditionalFormatting sqref="C71">
    <cfRule type="cellIs" dxfId="206" priority="15" stopIfTrue="1" operator="greaterThan">
      <formula>$C$73*0.1</formula>
    </cfRule>
  </conditionalFormatting>
  <conditionalFormatting sqref="D71">
    <cfRule type="cellIs" dxfId="205" priority="16" stopIfTrue="1" operator="greaterThan">
      <formula>$D$73*0.1</formula>
    </cfRule>
  </conditionalFormatting>
  <conditionalFormatting sqref="D18">
    <cfRule type="cellIs" dxfId="204" priority="17" stopIfTrue="1" operator="greaterThan">
      <formula>$D$20*0.1</formula>
    </cfRule>
  </conditionalFormatting>
  <conditionalFormatting sqref="C18">
    <cfRule type="cellIs" dxfId="203" priority="18" stopIfTrue="1" operator="greaterThan">
      <formula>$C$20*0.1</formula>
    </cfRule>
  </conditionalFormatting>
  <conditionalFormatting sqref="D58">
    <cfRule type="cellIs" dxfId="202" priority="19" stopIfTrue="1" operator="greaterThan">
      <formula>$D$60*0.1</formula>
    </cfRule>
  </conditionalFormatting>
  <conditionalFormatting sqref="C58">
    <cfRule type="cellIs" dxfId="201" priority="20" stopIfTrue="1" operator="greaterThan">
      <formula>$C$60*0.1</formula>
    </cfRule>
  </conditionalFormatting>
  <conditionalFormatting sqref="E58">
    <cfRule type="cellIs" dxfId="200" priority="21" stopIfTrue="1" operator="greaterThan">
      <formula>$E$60*0.1+E80</formula>
    </cfRule>
  </conditionalFormatting>
  <conditionalFormatting sqref="E18">
    <cfRule type="cellIs" dxfId="199" priority="22" stopIfTrue="1" operator="greaterThan">
      <formula>$E$20*0.1+E40</formula>
    </cfRule>
  </conditionalFormatting>
  <conditionalFormatting sqref="D74 D34">
    <cfRule type="cellIs" dxfId="198" priority="3" stopIfTrue="1" operator="lessThan">
      <formula>0</formula>
    </cfRule>
  </conditionalFormatting>
  <conditionalFormatting sqref="E36">
    <cfRule type="cellIs" dxfId="197" priority="1" stopIfTrue="1" operator="greaterThan">
      <formula>$E$33/0.95-$E$33</formula>
    </cfRule>
  </conditionalFormatting>
  <pageMargins left="0.5" right="0.5" top="1" bottom="0.5" header="0.5" footer="0.5"/>
  <pageSetup scale="56" orientation="portrait" blackAndWhite="1" r:id="rId1"/>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6"/>
  <sheetViews>
    <sheetView topLeftCell="A52" zoomScaleNormal="100" workbookViewId="0">
      <selection activeCell="E25" sqref="E25"/>
    </sheetView>
  </sheetViews>
  <sheetFormatPr defaultRowHeight="15.75"/>
  <cols>
    <col min="1" max="1" width="2.44140625" style="22" customWidth="1"/>
    <col min="2" max="2" width="31.109375" style="22" customWidth="1"/>
    <col min="3" max="4" width="15.77734375" style="22" customWidth="1"/>
    <col min="5" max="5" width="16.109375" style="22" customWidth="1"/>
    <col min="6" max="6" width="8.88671875" style="22"/>
    <col min="7" max="7" width="10.21875" style="22" customWidth="1"/>
    <col min="8" max="8" width="8.88671875" style="22"/>
    <col min="9" max="9" width="5" style="22" customWidth="1"/>
    <col min="10" max="10" width="10" style="22" customWidth="1"/>
    <col min="11" max="16384" width="8.88671875" style="22"/>
  </cols>
  <sheetData>
    <row r="1" spans="2:5">
      <c r="B1" s="150" t="str">
        <f>(inputPrYr!D2)</f>
        <v>CITY OF HOXIE</v>
      </c>
      <c r="C1" s="21"/>
      <c r="D1" s="21"/>
      <c r="E1" s="210">
        <f>inputPrYr!C5</f>
        <v>2014</v>
      </c>
    </row>
    <row r="2" spans="2:5">
      <c r="B2" s="21"/>
      <c r="C2" s="21"/>
      <c r="D2" s="21"/>
      <c r="E2" s="146"/>
    </row>
    <row r="3" spans="2:5">
      <c r="B3" s="40" t="s">
        <v>91</v>
      </c>
      <c r="C3" s="168"/>
      <c r="D3" s="168"/>
      <c r="E3" s="255"/>
    </row>
    <row r="4" spans="2:5">
      <c r="B4" s="28" t="s">
        <v>24</v>
      </c>
      <c r="C4" s="658" t="s">
        <v>810</v>
      </c>
      <c r="D4" s="659" t="s">
        <v>813</v>
      </c>
      <c r="E4" s="124" t="s">
        <v>814</v>
      </c>
    </row>
    <row r="5" spans="2:5">
      <c r="B5" s="367" t="str">
        <f>inputPrYr!B23</f>
        <v>Airport</v>
      </c>
      <c r="C5" s="350" t="str">
        <f>CONCATENATE("Actual for ",E1-2,"")</f>
        <v>Actual for 2012</v>
      </c>
      <c r="D5" s="350" t="str">
        <f>CONCATENATE("Estimate for ",E1-1,"")</f>
        <v>Estimate for 2013</v>
      </c>
      <c r="E5" s="220" t="str">
        <f>CONCATENATE("Year for ",E1,"")</f>
        <v>Year for 2014</v>
      </c>
    </row>
    <row r="6" spans="2:5">
      <c r="B6" s="221" t="s">
        <v>146</v>
      </c>
      <c r="C6" s="222">
        <v>12224</v>
      </c>
      <c r="D6" s="349">
        <f>C34</f>
        <v>15436</v>
      </c>
      <c r="E6" s="191">
        <f>D34</f>
        <v>18894</v>
      </c>
    </row>
    <row r="7" spans="2:5">
      <c r="B7" s="224" t="s">
        <v>148</v>
      </c>
      <c r="C7" s="349"/>
      <c r="D7" s="349"/>
      <c r="E7" s="191"/>
    </row>
    <row r="8" spans="2:5">
      <c r="B8" s="130" t="s">
        <v>25</v>
      </c>
      <c r="C8" s="225">
        <v>2974</v>
      </c>
      <c r="D8" s="349">
        <f>IF(inputPrYr!H16&gt;0,inputPrYr!G23,inputPrYr!E23)</f>
        <v>3158</v>
      </c>
      <c r="E8" s="252" t="s">
        <v>13</v>
      </c>
    </row>
    <row r="9" spans="2:5">
      <c r="B9" s="130" t="s">
        <v>26</v>
      </c>
      <c r="C9" s="225">
        <v>43</v>
      </c>
      <c r="D9" s="225">
        <v>9</v>
      </c>
      <c r="E9" s="49">
        <v>10</v>
      </c>
    </row>
    <row r="10" spans="2:5">
      <c r="B10" s="130" t="s">
        <v>27</v>
      </c>
      <c r="C10" s="225">
        <v>752</v>
      </c>
      <c r="D10" s="225">
        <v>742</v>
      </c>
      <c r="E10" s="191">
        <f>mvalloc!D12</f>
        <v>777</v>
      </c>
    </row>
    <row r="11" spans="2:5">
      <c r="B11" s="130" t="s">
        <v>28</v>
      </c>
      <c r="C11" s="225">
        <v>11</v>
      </c>
      <c r="D11" s="225">
        <v>10</v>
      </c>
      <c r="E11" s="191">
        <f>mvalloc!E12</f>
        <v>11</v>
      </c>
    </row>
    <row r="12" spans="2:5">
      <c r="B12" s="138" t="s">
        <v>123</v>
      </c>
      <c r="C12" s="225">
        <v>17</v>
      </c>
      <c r="D12" s="225">
        <v>19</v>
      </c>
      <c r="E12" s="191">
        <f>mvalloc!F12</f>
        <v>17</v>
      </c>
    </row>
    <row r="13" spans="2:5">
      <c r="B13" s="49"/>
      <c r="C13" s="225"/>
      <c r="D13" s="225"/>
      <c r="E13" s="49"/>
    </row>
    <row r="14" spans="2:5">
      <c r="B14" s="237"/>
      <c r="C14" s="225"/>
      <c r="D14" s="225"/>
      <c r="E14" s="49"/>
    </row>
    <row r="15" spans="2:5">
      <c r="B15" s="237"/>
      <c r="C15" s="225"/>
      <c r="D15" s="225"/>
      <c r="E15" s="49"/>
    </row>
    <row r="16" spans="2:5">
      <c r="B16" s="237"/>
      <c r="C16" s="225"/>
      <c r="D16" s="225"/>
      <c r="E16" s="49"/>
    </row>
    <row r="17" spans="2:10">
      <c r="B17" s="229" t="s">
        <v>31</v>
      </c>
      <c r="C17" s="225"/>
      <c r="D17" s="225"/>
      <c r="E17" s="49"/>
    </row>
    <row r="18" spans="2:10">
      <c r="B18" s="138" t="s">
        <v>270</v>
      </c>
      <c r="C18" s="225"/>
      <c r="D18" s="225"/>
      <c r="E18" s="49"/>
    </row>
    <row r="19" spans="2:10">
      <c r="B19" s="221" t="s">
        <v>793</v>
      </c>
      <c r="C19" s="351" t="str">
        <f>IF(C20*0.1&lt;C18,"Exceed 10% Rule","")</f>
        <v/>
      </c>
      <c r="D19" s="351" t="str">
        <f>IF(D20*0.1&lt;D18,"Exceed 10% Rule","")</f>
        <v/>
      </c>
      <c r="E19" s="368" t="str">
        <f>IF(E20*0.1+E40&lt;E18,"Exceed 10% Rule","")</f>
        <v/>
      </c>
    </row>
    <row r="20" spans="2:10">
      <c r="B20" s="231" t="s">
        <v>32</v>
      </c>
      <c r="C20" s="352">
        <f>SUM(C8:C18)</f>
        <v>3797</v>
      </c>
      <c r="D20" s="352">
        <f>SUM(D8:D18)</f>
        <v>3938</v>
      </c>
      <c r="E20" s="257">
        <f>SUM(E8:E18)</f>
        <v>815</v>
      </c>
    </row>
    <row r="21" spans="2:10">
      <c r="B21" s="231" t="s">
        <v>33</v>
      </c>
      <c r="C21" s="352">
        <f>C6+C20</f>
        <v>16021</v>
      </c>
      <c r="D21" s="352">
        <f>D6+D20</f>
        <v>19374</v>
      </c>
      <c r="E21" s="257">
        <f>E6+E20</f>
        <v>19709</v>
      </c>
    </row>
    <row r="22" spans="2:10">
      <c r="B22" s="130" t="s">
        <v>35</v>
      </c>
      <c r="C22" s="238"/>
      <c r="D22" s="238"/>
      <c r="E22" s="47"/>
      <c r="F22" s="259"/>
    </row>
    <row r="23" spans="2:10">
      <c r="B23" s="260" t="s">
        <v>1037</v>
      </c>
      <c r="C23" s="225">
        <v>585</v>
      </c>
      <c r="D23" s="225">
        <v>460</v>
      </c>
      <c r="E23" s="48">
        <v>19000</v>
      </c>
    </row>
    <row r="24" spans="2:10">
      <c r="B24" s="237" t="s">
        <v>1043</v>
      </c>
      <c r="C24" s="225"/>
      <c r="D24" s="225">
        <v>20</v>
      </c>
      <c r="E24" s="49">
        <v>3915</v>
      </c>
      <c r="G24" s="847" t="str">
        <f>CONCATENATE("Desired Carryover Into ",E1+1,"")</f>
        <v>Desired Carryover Into 2015</v>
      </c>
      <c r="H24" s="842"/>
      <c r="I24" s="842"/>
      <c r="J24" s="843"/>
    </row>
    <row r="25" spans="2:10">
      <c r="B25" s="237"/>
      <c r="C25" s="225"/>
      <c r="D25" s="225"/>
      <c r="E25" s="49"/>
      <c r="G25" s="699"/>
      <c r="H25" s="686"/>
      <c r="I25" s="693"/>
      <c r="J25" s="700"/>
    </row>
    <row r="26" spans="2:10">
      <c r="B26" s="237"/>
      <c r="C26" s="225"/>
      <c r="D26" s="225"/>
      <c r="E26" s="49"/>
      <c r="G26" s="698" t="s">
        <v>637</v>
      </c>
      <c r="H26" s="693"/>
      <c r="I26" s="693"/>
      <c r="J26" s="687">
        <v>0</v>
      </c>
    </row>
    <row r="27" spans="2:10">
      <c r="B27" s="237"/>
      <c r="C27" s="225"/>
      <c r="D27" s="225"/>
      <c r="E27" s="49"/>
      <c r="G27" s="699" t="s">
        <v>638</v>
      </c>
      <c r="H27" s="686"/>
      <c r="I27" s="686"/>
      <c r="J27" s="727" t="str">
        <f>IF(J26=0,"",ROUND((J26+E40-G39)/inputOth!E7*1000,3)-G44)</f>
        <v/>
      </c>
    </row>
    <row r="28" spans="2:10">
      <c r="B28" s="237"/>
      <c r="C28" s="225"/>
      <c r="D28" s="225"/>
      <c r="E28" s="49"/>
      <c r="G28" s="724" t="str">
        <f>CONCATENATE("",E1," Tot Exp/Non-Appr Must Be:")</f>
        <v>2014 Tot Exp/Non-Appr Must Be:</v>
      </c>
      <c r="H28" s="722"/>
      <c r="I28" s="723"/>
      <c r="J28" s="719">
        <f>IF(J26&gt;0,IF(E37&lt;E21,IF(J26=G39,E37,((J26-G39)*(1-D39))+E21),E37+(J26-G39)),0)</f>
        <v>0</v>
      </c>
    </row>
    <row r="29" spans="2:10">
      <c r="B29" s="237"/>
      <c r="C29" s="225"/>
      <c r="D29" s="225"/>
      <c r="E29" s="49"/>
      <c r="G29" s="589" t="s">
        <v>815</v>
      </c>
      <c r="H29" s="730"/>
      <c r="I29" s="730"/>
      <c r="J29" s="725">
        <f>IF(J26&gt;0,J28-E37,0)</f>
        <v>0</v>
      </c>
    </row>
    <row r="30" spans="2:10">
      <c r="B30" s="238" t="s">
        <v>271</v>
      </c>
      <c r="C30" s="225"/>
      <c r="D30" s="225"/>
      <c r="E30" s="56">
        <f>nhood!E11</f>
        <v>63</v>
      </c>
      <c r="J30" s="676"/>
    </row>
    <row r="31" spans="2:10">
      <c r="B31" s="238" t="s">
        <v>270</v>
      </c>
      <c r="C31" s="225"/>
      <c r="D31" s="225"/>
      <c r="E31" s="49"/>
      <c r="G31" s="847" t="str">
        <f>CONCATENATE("Projected Carryover Into ",E1+1,"")</f>
        <v>Projected Carryover Into 2015</v>
      </c>
      <c r="H31" s="854"/>
      <c r="I31" s="854"/>
      <c r="J31" s="856"/>
    </row>
    <row r="32" spans="2:10">
      <c r="B32" s="238" t="s">
        <v>794</v>
      </c>
      <c r="C32" s="351" t="str">
        <f>IF(C33*0.1&lt;C31,"Exceed 10% Rule","")</f>
        <v/>
      </c>
      <c r="D32" s="351" t="str">
        <f>IF(D33*0.1&lt;D31,"Exceed 10% Rule","")</f>
        <v/>
      </c>
      <c r="E32" s="368" t="str">
        <f>IF(E33*0.1&lt;E31,"Exceed 10% Rule","")</f>
        <v/>
      </c>
      <c r="G32" s="699"/>
      <c r="H32" s="693"/>
      <c r="I32" s="693"/>
      <c r="J32" s="739"/>
    </row>
    <row r="33" spans="2:10">
      <c r="B33" s="231" t="s">
        <v>39</v>
      </c>
      <c r="C33" s="352">
        <f>SUM(C23:C31)</f>
        <v>585</v>
      </c>
      <c r="D33" s="352">
        <f>SUM(D23:D31)</f>
        <v>480</v>
      </c>
      <c r="E33" s="257">
        <f>SUM(E23:E31)</f>
        <v>22978</v>
      </c>
      <c r="G33" s="690">
        <f>D34</f>
        <v>18894</v>
      </c>
      <c r="H33" s="691" t="str">
        <f>CONCATENATE("",E1-1," Ending Cash Balance (est.)")</f>
        <v>2013 Ending Cash Balance (est.)</v>
      </c>
      <c r="I33" s="692"/>
      <c r="J33" s="739"/>
    </row>
    <row r="34" spans="2:10">
      <c r="B34" s="130" t="s">
        <v>147</v>
      </c>
      <c r="C34" s="349">
        <f>C21-C33</f>
        <v>15436</v>
      </c>
      <c r="D34" s="349">
        <f>D21-D33</f>
        <v>18894</v>
      </c>
      <c r="E34" s="252" t="s">
        <v>13</v>
      </c>
      <c r="G34" s="690">
        <f>E20</f>
        <v>815</v>
      </c>
      <c r="H34" s="693" t="str">
        <f>CONCATENATE("",E1," Non-AV Receipts (est.)")</f>
        <v>2014 Non-AV Receipts (est.)</v>
      </c>
      <c r="I34" s="692"/>
      <c r="J34" s="739"/>
    </row>
    <row r="35" spans="2:10">
      <c r="B35" s="118" t="str">
        <f>CONCATENATE("",$E$1-2,"/",$E$1-1," Budget Authority Amount:")</f>
        <v>2012/2013 Budget Authority Amount:</v>
      </c>
      <c r="C35" s="181">
        <f>inputOth!B66</f>
        <v>16818</v>
      </c>
      <c r="D35" s="240">
        <f>inputPrYr!D23</f>
        <v>18755</v>
      </c>
      <c r="E35" s="252" t="s">
        <v>13</v>
      </c>
      <c r="F35" s="241"/>
      <c r="G35" s="694">
        <f>IF(E39&gt;0,E38,E40)</f>
        <v>3269</v>
      </c>
      <c r="H35" s="693" t="str">
        <f>CONCATENATE("",E1," Ad Valorem Tax (est.)")</f>
        <v>2014 Ad Valorem Tax (est.)</v>
      </c>
      <c r="I35" s="692"/>
      <c r="J35" s="739"/>
    </row>
    <row r="36" spans="2:10">
      <c r="B36" s="118"/>
      <c r="C36" s="835" t="s">
        <v>629</v>
      </c>
      <c r="D36" s="836"/>
      <c r="E36" s="49"/>
      <c r="F36" s="750" t="str">
        <f>IF(E33/0.95-E33&lt;E36,"Exceeds 5%","")</f>
        <v/>
      </c>
      <c r="G36" s="690">
        <f>SUM(G33:G35)</f>
        <v>22978</v>
      </c>
      <c r="H36" s="693" t="str">
        <f>CONCATENATE("Total ",E1," Resources Available")</f>
        <v>Total 2014 Resources Available</v>
      </c>
      <c r="I36" s="692"/>
      <c r="J36" s="739"/>
    </row>
    <row r="37" spans="2:10">
      <c r="B37" s="370" t="str">
        <f>CONCATENATE(C93,"     ",D93)</f>
        <v xml:space="preserve">     </v>
      </c>
      <c r="C37" s="837" t="s">
        <v>630</v>
      </c>
      <c r="D37" s="838"/>
      <c r="E37" s="191">
        <f>E33+E36</f>
        <v>22978</v>
      </c>
      <c r="G37" s="695"/>
      <c r="H37" s="693"/>
      <c r="I37" s="693"/>
      <c r="J37" s="739"/>
    </row>
    <row r="38" spans="2:10">
      <c r="B38" s="370" t="str">
        <f>CONCATENATE(C94,"     ",D94)</f>
        <v xml:space="preserve">     </v>
      </c>
      <c r="C38" s="242"/>
      <c r="D38" s="146" t="s">
        <v>40</v>
      </c>
      <c r="E38" s="191">
        <f>IF(E37-E21&gt;0,E37-E21,0)</f>
        <v>3269</v>
      </c>
      <c r="G38" s="694">
        <f>ROUND(C33*0.05+C33,0)</f>
        <v>614</v>
      </c>
      <c r="H38" s="693" t="str">
        <f>CONCATENATE("Less ",E1-2," Expenditures + 5%")</f>
        <v>Less 2012 Expenditures + 5%</v>
      </c>
      <c r="I38" s="692"/>
      <c r="J38" s="739"/>
    </row>
    <row r="39" spans="2:10">
      <c r="B39" s="146"/>
      <c r="C39" s="356" t="s">
        <v>631</v>
      </c>
      <c r="D39" s="591">
        <f>inputOth!$E$47</f>
        <v>0.01</v>
      </c>
      <c r="E39" s="191">
        <f>ROUND(IF(D39&gt;0,(E38*D39),0),0)</f>
        <v>33</v>
      </c>
      <c r="G39" s="728">
        <f>G36-G38</f>
        <v>22364</v>
      </c>
      <c r="H39" s="729" t="str">
        <f>CONCATENATE("Projected ",E1+1," carryover (est.)")</f>
        <v>Projected 2015 carryover (est.)</v>
      </c>
      <c r="I39" s="696"/>
      <c r="J39" s="737"/>
    </row>
    <row r="40" spans="2:10" ht="16.5" thickBot="1">
      <c r="B40" s="21"/>
      <c r="C40" s="839" t="str">
        <f>CONCATENATE("Amount of  ",$E$1-1," Ad Valorem Tax")</f>
        <v>Amount of  2013 Ad Valorem Tax</v>
      </c>
      <c r="D40" s="840"/>
      <c r="E40" s="258">
        <f>E38+E39</f>
        <v>3302</v>
      </c>
      <c r="G40" s="676"/>
      <c r="H40" s="676"/>
      <c r="I40" s="676"/>
      <c r="J40" s="676"/>
    </row>
    <row r="41" spans="2:10" ht="16.5" thickTop="1">
      <c r="B41" s="21"/>
      <c r="C41" s="851"/>
      <c r="D41" s="851"/>
      <c r="E41" s="21"/>
      <c r="G41" s="844" t="s">
        <v>871</v>
      </c>
      <c r="H41" s="845"/>
      <c r="I41" s="845"/>
      <c r="J41" s="846"/>
    </row>
    <row r="42" spans="2:10">
      <c r="B42" s="21"/>
      <c r="C42" s="21"/>
      <c r="D42" s="21"/>
      <c r="E42" s="21"/>
      <c r="G42" s="732"/>
      <c r="H42" s="691"/>
      <c r="I42" s="720"/>
      <c r="J42" s="721"/>
    </row>
    <row r="43" spans="2:10">
      <c r="B43" s="28"/>
      <c r="C43" s="256"/>
      <c r="D43" s="256"/>
      <c r="E43" s="256"/>
      <c r="G43" s="734">
        <f>summ!H21</f>
        <v>0.51</v>
      </c>
      <c r="H43" s="691" t="str">
        <f>CONCATENATE("",E1," Fund Mill Rate")</f>
        <v>2014 Fund Mill Rate</v>
      </c>
      <c r="I43" s="720"/>
      <c r="J43" s="721"/>
    </row>
    <row r="44" spans="2:10">
      <c r="B44" s="28" t="s">
        <v>24</v>
      </c>
      <c r="C44" s="658" t="str">
        <f t="shared" ref="C44:E45" si="0">C4</f>
        <v xml:space="preserve">Prior Year </v>
      </c>
      <c r="D44" s="659" t="str">
        <f t="shared" si="0"/>
        <v xml:space="preserve">Current Year </v>
      </c>
      <c r="E44" s="124" t="str">
        <f t="shared" si="0"/>
        <v xml:space="preserve">Proposed Budget </v>
      </c>
      <c r="G44" s="733">
        <f>summ!E21</f>
        <v>0.504</v>
      </c>
      <c r="H44" s="691" t="str">
        <f>CONCATENATE("",E1-1," Fund Mill Rate")</f>
        <v>2013 Fund Mill Rate</v>
      </c>
      <c r="I44" s="720"/>
      <c r="J44" s="721"/>
    </row>
    <row r="45" spans="2:10">
      <c r="B45" s="366">
        <f>inputPrYr!B24</f>
        <v>0</v>
      </c>
      <c r="C45" s="350" t="str">
        <f t="shared" si="0"/>
        <v>Actual for 2012</v>
      </c>
      <c r="D45" s="350" t="str">
        <f t="shared" si="0"/>
        <v>Estimate for 2013</v>
      </c>
      <c r="E45" s="177" t="str">
        <f t="shared" si="0"/>
        <v>Year for 2014</v>
      </c>
      <c r="G45" s="735">
        <f>summ!H43</f>
        <v>46.652000000000001</v>
      </c>
      <c r="H45" s="691" t="str">
        <f>CONCATENATE("Total ",E1," Mill Rate")</f>
        <v>Total 2014 Mill Rate</v>
      </c>
      <c r="I45" s="720"/>
      <c r="J45" s="721"/>
    </row>
    <row r="46" spans="2:10">
      <c r="B46" s="221" t="s">
        <v>146</v>
      </c>
      <c r="C46" s="222"/>
      <c r="D46" s="349">
        <f>C74</f>
        <v>0</v>
      </c>
      <c r="E46" s="191">
        <f>D74</f>
        <v>0</v>
      </c>
      <c r="G46" s="733">
        <f>summ!E43</f>
        <v>48.61</v>
      </c>
      <c r="H46" s="716" t="str">
        <f>CONCATENATE("Total ",E1-1," Mill Rate")</f>
        <v>Total 2013 Mill Rate</v>
      </c>
      <c r="I46" s="717"/>
      <c r="J46" s="718"/>
    </row>
    <row r="47" spans="2:10">
      <c r="B47" s="221" t="s">
        <v>148</v>
      </c>
      <c r="C47" s="138"/>
      <c r="D47" s="138"/>
      <c r="E47" s="67"/>
    </row>
    <row r="48" spans="2:10">
      <c r="B48" s="130" t="s">
        <v>25</v>
      </c>
      <c r="C48" s="222"/>
      <c r="D48" s="349">
        <f>IF(inputPrYr!H16&gt;0,inputPrYr!G24,inputPrYr!E24)</f>
        <v>0</v>
      </c>
      <c r="E48" s="252" t="s">
        <v>13</v>
      </c>
      <c r="G48" s="779" t="s">
        <v>977</v>
      </c>
      <c r="H48" s="765"/>
      <c r="I48" s="764" t="str">
        <f>cert!F49</f>
        <v>No</v>
      </c>
    </row>
    <row r="49" spans="2:10">
      <c r="B49" s="130" t="s">
        <v>26</v>
      </c>
      <c r="C49" s="222"/>
      <c r="D49" s="222"/>
      <c r="E49" s="49"/>
    </row>
    <row r="50" spans="2:10">
      <c r="B50" s="130" t="s">
        <v>27</v>
      </c>
      <c r="C50" s="222"/>
      <c r="D50" s="222"/>
      <c r="E50" s="191" t="str">
        <f>mvalloc!D13</f>
        <v xml:space="preserve">  </v>
      </c>
    </row>
    <row r="51" spans="2:10">
      <c r="B51" s="130" t="s">
        <v>28</v>
      </c>
      <c r="C51" s="222"/>
      <c r="D51" s="222"/>
      <c r="E51" s="191" t="str">
        <f>mvalloc!E13</f>
        <v xml:space="preserve"> </v>
      </c>
    </row>
    <row r="52" spans="2:10">
      <c r="B52" s="138" t="s">
        <v>123</v>
      </c>
      <c r="C52" s="222"/>
      <c r="D52" s="222"/>
      <c r="E52" s="191" t="str">
        <f>mvalloc!F13</f>
        <v xml:space="preserve"> </v>
      </c>
    </row>
    <row r="53" spans="2:10">
      <c r="B53" s="49"/>
      <c r="C53" s="222"/>
      <c r="D53" s="222"/>
      <c r="E53" s="49"/>
    </row>
    <row r="54" spans="2:10">
      <c r="B54" s="237"/>
      <c r="C54" s="222"/>
      <c r="D54" s="222"/>
      <c r="E54" s="49"/>
    </row>
    <row r="55" spans="2:10">
      <c r="B55" s="237"/>
      <c r="C55" s="222"/>
      <c r="D55" s="222"/>
      <c r="E55" s="49"/>
    </row>
    <row r="56" spans="2:10">
      <c r="B56" s="237"/>
      <c r="C56" s="222"/>
      <c r="D56" s="222"/>
      <c r="E56" s="49"/>
    </row>
    <row r="57" spans="2:10">
      <c r="B57" s="229" t="s">
        <v>31</v>
      </c>
      <c r="C57" s="222"/>
      <c r="D57" s="222"/>
      <c r="E57" s="49"/>
    </row>
    <row r="58" spans="2:10">
      <c r="B58" s="138" t="s">
        <v>270</v>
      </c>
      <c r="C58" s="222"/>
      <c r="D58" s="222"/>
      <c r="E58" s="49"/>
    </row>
    <row r="59" spans="2:10">
      <c r="B59" s="221" t="s">
        <v>793</v>
      </c>
      <c r="C59" s="351" t="str">
        <f>IF(C60*0.1&lt;C58,"Exceed 10% Rule","")</f>
        <v/>
      </c>
      <c r="D59" s="351" t="str">
        <f>IF(D60*0.1&lt;D58,"Exceed 10% Rule","")</f>
        <v/>
      </c>
      <c r="E59" s="368" t="str">
        <f>IF(E60*0.1+E80&lt;E58,"Exceed 10% Rule","")</f>
        <v/>
      </c>
    </row>
    <row r="60" spans="2:10">
      <c r="B60" s="231" t="s">
        <v>32</v>
      </c>
      <c r="C60" s="352">
        <f>SUM(C48:C58)</f>
        <v>0</v>
      </c>
      <c r="D60" s="352">
        <f>SUM(D48:D58)</f>
        <v>0</v>
      </c>
      <c r="E60" s="257">
        <f>SUM(E49:E58)</f>
        <v>0</v>
      </c>
    </row>
    <row r="61" spans="2:10">
      <c r="B61" s="231" t="s">
        <v>33</v>
      </c>
      <c r="C61" s="352">
        <f>C46+C60</f>
        <v>0</v>
      </c>
      <c r="D61" s="352">
        <f>D46+D60</f>
        <v>0</v>
      </c>
      <c r="E61" s="257">
        <f>E46+E60</f>
        <v>0</v>
      </c>
    </row>
    <row r="62" spans="2:10">
      <c r="B62" s="130" t="s">
        <v>35</v>
      </c>
      <c r="C62" s="238"/>
      <c r="D62" s="238"/>
      <c r="E62" s="47"/>
    </row>
    <row r="63" spans="2:10">
      <c r="B63" s="237"/>
      <c r="C63" s="222"/>
      <c r="D63" s="222"/>
      <c r="E63" s="49"/>
    </row>
    <row r="64" spans="2:10">
      <c r="B64" s="237"/>
      <c r="C64" s="222"/>
      <c r="D64" s="222"/>
      <c r="E64" s="49"/>
      <c r="G64" s="847" t="str">
        <f>CONCATENATE("Desired Carryover Into ",E1+1,"")</f>
        <v>Desired Carryover Into 2015</v>
      </c>
      <c r="H64" s="842"/>
      <c r="I64" s="842"/>
      <c r="J64" s="843"/>
    </row>
    <row r="65" spans="2:11">
      <c r="B65" s="237"/>
      <c r="C65" s="222"/>
      <c r="D65" s="222"/>
      <c r="E65" s="49"/>
      <c r="G65" s="699"/>
      <c r="H65" s="686"/>
      <c r="I65" s="693"/>
      <c r="J65" s="700"/>
    </row>
    <row r="66" spans="2:11">
      <c r="B66" s="237"/>
      <c r="C66" s="222"/>
      <c r="D66" s="222"/>
      <c r="E66" s="49"/>
      <c r="G66" s="698" t="s">
        <v>637</v>
      </c>
      <c r="H66" s="693"/>
      <c r="I66" s="693"/>
      <c r="J66" s="687">
        <v>0</v>
      </c>
    </row>
    <row r="67" spans="2:11">
      <c r="B67" s="237"/>
      <c r="C67" s="222"/>
      <c r="D67" s="222"/>
      <c r="E67" s="49"/>
      <c r="G67" s="699" t="s">
        <v>638</v>
      </c>
      <c r="H67" s="686"/>
      <c r="I67" s="686"/>
      <c r="J67" s="727" t="str">
        <f>IF(J66=0,"",ROUND((J66+E80-G79)/inputOth!E7*1000,3)-G84)</f>
        <v/>
      </c>
    </row>
    <row r="68" spans="2:11">
      <c r="B68" s="237"/>
      <c r="C68" s="222"/>
      <c r="D68" s="222"/>
      <c r="E68" s="49"/>
      <c r="G68" s="724" t="str">
        <f>CONCATENATE("",E1," Tot Exp/Non-Appr Must Be:")</f>
        <v>2014 Tot Exp/Non-Appr Must Be:</v>
      </c>
      <c r="H68" s="722"/>
      <c r="I68" s="723"/>
      <c r="J68" s="719">
        <f>IF(J66&gt;0,IF(E77&lt;E61,IF(J66=G79,E77,((J66-G79)*(1-D79))+E61),E77+(J66-G79)),0)</f>
        <v>0</v>
      </c>
    </row>
    <row r="69" spans="2:11">
      <c r="B69" s="237"/>
      <c r="C69" s="222"/>
      <c r="D69" s="222"/>
      <c r="E69" s="49"/>
      <c r="G69" s="589" t="s">
        <v>815</v>
      </c>
      <c r="H69" s="730"/>
      <c r="I69" s="730"/>
      <c r="J69" s="725">
        <f>IF(J66&gt;0,J68-E77,0)</f>
        <v>0</v>
      </c>
    </row>
    <row r="70" spans="2:11">
      <c r="B70" s="238" t="s">
        <v>271</v>
      </c>
      <c r="C70" s="222"/>
      <c r="D70" s="222"/>
      <c r="E70" s="56" t="str">
        <f>nhood!E12</f>
        <v/>
      </c>
      <c r="J70" s="676"/>
    </row>
    <row r="71" spans="2:11">
      <c r="B71" s="238" t="s">
        <v>270</v>
      </c>
      <c r="C71" s="222"/>
      <c r="D71" s="222"/>
      <c r="E71" s="49"/>
      <c r="G71" s="847" t="str">
        <f>CONCATENATE("Projected Carryover Into ",E1+1,"")</f>
        <v>Projected Carryover Into 2015</v>
      </c>
      <c r="H71" s="857"/>
      <c r="I71" s="857"/>
      <c r="J71" s="856"/>
    </row>
    <row r="72" spans="2:11">
      <c r="B72" s="238" t="s">
        <v>794</v>
      </c>
      <c r="C72" s="351" t="str">
        <f>IF(C73*0.1&lt;C71,"Exceed 10% Rule","")</f>
        <v/>
      </c>
      <c r="D72" s="351" t="str">
        <f>IF(D73*0.1&lt;D71,"Exceed 10% Rule","")</f>
        <v/>
      </c>
      <c r="E72" s="368" t="str">
        <f>IF(E73*0.1&lt;E71,"Exceed 10% Rule","")</f>
        <v/>
      </c>
      <c r="G72" s="688"/>
      <c r="H72" s="686"/>
      <c r="I72" s="686"/>
      <c r="J72" s="739"/>
    </row>
    <row r="73" spans="2:11">
      <c r="B73" s="231" t="s">
        <v>39</v>
      </c>
      <c r="C73" s="352">
        <f>SUM(C63:C71)</f>
        <v>0</v>
      </c>
      <c r="D73" s="352">
        <f>SUM(D63:D71)</f>
        <v>0</v>
      </c>
      <c r="E73" s="257">
        <f>SUM(E63:E71)</f>
        <v>0</v>
      </c>
      <c r="G73" s="690">
        <f>D74</f>
        <v>0</v>
      </c>
      <c r="H73" s="691" t="str">
        <f>CONCATENATE("",E1-1," Ending Cash Balance (est.)")</f>
        <v>2013 Ending Cash Balance (est.)</v>
      </c>
      <c r="I73" s="692"/>
      <c r="J73" s="739"/>
    </row>
    <row r="74" spans="2:11">
      <c r="B74" s="130" t="s">
        <v>147</v>
      </c>
      <c r="C74" s="349">
        <f>C61-C73</f>
        <v>0</v>
      </c>
      <c r="D74" s="349">
        <f>D61-D73</f>
        <v>0</v>
      </c>
      <c r="E74" s="252" t="s">
        <v>13</v>
      </c>
      <c r="G74" s="690">
        <f>E60</f>
        <v>0</v>
      </c>
      <c r="H74" s="693" t="str">
        <f>CONCATENATE("",E1," Non-AV Receipts (est.)")</f>
        <v>2014 Non-AV Receipts (est.)</v>
      </c>
      <c r="I74" s="692"/>
      <c r="J74" s="739"/>
    </row>
    <row r="75" spans="2:11">
      <c r="B75" s="118" t="str">
        <f>CONCATENATE("",$E$1-2,"/",$E$1-1," Budget Authority Amount:")</f>
        <v>2012/2013 Budget Authority Amount:</v>
      </c>
      <c r="C75" s="181">
        <f>inputOth!B67</f>
        <v>0</v>
      </c>
      <c r="D75" s="240">
        <f>inputPrYr!D24</f>
        <v>0</v>
      </c>
      <c r="E75" s="252" t="s">
        <v>13</v>
      </c>
      <c r="F75" s="241"/>
      <c r="G75" s="694">
        <f>IF(D79&gt;0,E78,E80)</f>
        <v>0</v>
      </c>
      <c r="H75" s="693" t="str">
        <f>CONCATENATE("",E1," Ad Valorem Tax (est.)")</f>
        <v>2014 Ad Valorem Tax (est.)</v>
      </c>
      <c r="I75" s="692"/>
      <c r="J75" s="739"/>
      <c r="K75" s="592" t="str">
        <f>IF(G75=E80,"","Note: Does not include Delinquent Taxes")</f>
        <v/>
      </c>
    </row>
    <row r="76" spans="2:11">
      <c r="B76" s="118"/>
      <c r="C76" s="835" t="s">
        <v>629</v>
      </c>
      <c r="D76" s="836"/>
      <c r="E76" s="49"/>
      <c r="F76" s="750" t="str">
        <f>IF(E73/0.95-E73&lt;E76,"Exceeds 5%","")</f>
        <v/>
      </c>
      <c r="G76" s="701">
        <f>SUM(G73:G75)</f>
        <v>0</v>
      </c>
      <c r="H76" s="693" t="str">
        <f>CONCATENATE("Total ",E1," Resources Available")</f>
        <v>Total 2014 Resources Available</v>
      </c>
      <c r="I76" s="689"/>
      <c r="J76" s="739"/>
    </row>
    <row r="77" spans="2:11">
      <c r="B77" s="370" t="str">
        <f>CONCATENATE(C95,"     ",D95)</f>
        <v xml:space="preserve">     </v>
      </c>
      <c r="C77" s="837" t="s">
        <v>630</v>
      </c>
      <c r="D77" s="838"/>
      <c r="E77" s="191">
        <f>E73+E76</f>
        <v>0</v>
      </c>
      <c r="G77" s="704"/>
      <c r="H77" s="702"/>
      <c r="I77" s="686"/>
      <c r="J77" s="739"/>
    </row>
    <row r="78" spans="2:11">
      <c r="B78" s="370" t="str">
        <f>CONCATENATE(C96,"     ",D96)</f>
        <v xml:space="preserve">     </v>
      </c>
      <c r="C78" s="242"/>
      <c r="D78" s="146" t="s">
        <v>40</v>
      </c>
      <c r="E78" s="191">
        <f>IF(E77-E61&gt;0,E77-E61,0)</f>
        <v>0</v>
      </c>
      <c r="G78" s="703">
        <f>ROUND(C73*0.05+C73,0)</f>
        <v>0</v>
      </c>
      <c r="H78" s="702" t="str">
        <f>CONCATENATE("Less ",E1-2," Expenditures + 5%")</f>
        <v>Less 2012 Expenditures + 5%</v>
      </c>
      <c r="I78" s="689"/>
      <c r="J78" s="739"/>
    </row>
    <row r="79" spans="2:11">
      <c r="B79" s="146"/>
      <c r="C79" s="356" t="s">
        <v>631</v>
      </c>
      <c r="D79" s="591">
        <f>inputOth!$E$47</f>
        <v>0.01</v>
      </c>
      <c r="E79" s="191">
        <f>ROUND(IF(D79&gt;0,(E78*D79),0),0)</f>
        <v>0</v>
      </c>
      <c r="G79" s="705">
        <f>G76-G78</f>
        <v>0</v>
      </c>
      <c r="H79" s="706" t="str">
        <f>CONCATENATE("Projected ",E1+1," carryover (est.)")</f>
        <v>Projected 2015 carryover (est.)</v>
      </c>
      <c r="I79" s="697"/>
      <c r="J79" s="737"/>
    </row>
    <row r="80" spans="2:11" ht="16.5" thickBot="1">
      <c r="B80" s="21"/>
      <c r="C80" s="839" t="str">
        <f>CONCATENATE("Amount of  ",$E$1-1," Ad Valorem Tax")</f>
        <v>Amount of  2013 Ad Valorem Tax</v>
      </c>
      <c r="D80" s="840"/>
      <c r="E80" s="258">
        <f>E78+E79</f>
        <v>0</v>
      </c>
      <c r="G80" s="676"/>
      <c r="H80" s="676"/>
      <c r="I80" s="676"/>
    </row>
    <row r="81" spans="2:10" ht="16.5" thickTop="1">
      <c r="B81" s="21"/>
      <c r="C81" s="851"/>
      <c r="D81" s="851"/>
      <c r="E81" s="21"/>
      <c r="G81" s="844" t="s">
        <v>871</v>
      </c>
      <c r="H81" s="845"/>
      <c r="I81" s="845"/>
      <c r="J81" s="846"/>
    </row>
    <row r="82" spans="2:10">
      <c r="B82" s="21"/>
      <c r="C82" s="21"/>
      <c r="D82" s="21"/>
      <c r="E82" s="21"/>
      <c r="G82" s="732"/>
      <c r="H82" s="691"/>
      <c r="I82" s="720"/>
      <c r="J82" s="721"/>
    </row>
    <row r="83" spans="2:10">
      <c r="B83" s="118" t="s">
        <v>42</v>
      </c>
      <c r="C83" s="248">
        <v>11</v>
      </c>
      <c r="D83" s="21"/>
      <c r="E83" s="21"/>
      <c r="G83" s="734" t="str">
        <f>summ!H22</f>
        <v xml:space="preserve">  </v>
      </c>
      <c r="H83" s="691" t="str">
        <f>CONCATENATE("",E1," Fund Mill Rate")</f>
        <v>2014 Fund Mill Rate</v>
      </c>
      <c r="I83" s="720"/>
      <c r="J83" s="721"/>
    </row>
    <row r="84" spans="2:10">
      <c r="G84" s="733" t="str">
        <f>summ!E22</f>
        <v xml:space="preserve">  </v>
      </c>
      <c r="H84" s="691" t="str">
        <f>CONCATENATE("",E1-1," Fund Mill Rate")</f>
        <v>2013 Fund Mill Rate</v>
      </c>
      <c r="I84" s="720"/>
      <c r="J84" s="721"/>
    </row>
    <row r="85" spans="2:10">
      <c r="G85" s="735">
        <f>summ!H43</f>
        <v>46.652000000000001</v>
      </c>
      <c r="H85" s="691" t="str">
        <f>CONCATENATE("Total ",E1," Mill Rate")</f>
        <v>Total 2014 Mill Rate</v>
      </c>
      <c r="I85" s="720"/>
      <c r="J85" s="721"/>
    </row>
    <row r="86" spans="2:10">
      <c r="G86" s="733">
        <f>summ!E43</f>
        <v>48.61</v>
      </c>
      <c r="H86" s="716" t="str">
        <f>CONCATENATE("Total ",E1-1," Mill Rate")</f>
        <v>Total 2013 Mill Rate</v>
      </c>
      <c r="I86" s="717"/>
      <c r="J86" s="718"/>
    </row>
    <row r="88" spans="2:10">
      <c r="G88" s="779" t="s">
        <v>977</v>
      </c>
      <c r="H88" s="767"/>
      <c r="I88" s="766" t="str">
        <f>cert!F49</f>
        <v>No</v>
      </c>
    </row>
    <row r="93" spans="2:10" hidden="1">
      <c r="C93" s="371" t="str">
        <f>IF(C33&gt;C35,"See Tab A","")</f>
        <v/>
      </c>
      <c r="D93" s="371" t="str">
        <f>IF(D33&gt;D35,"See Tab C","")</f>
        <v/>
      </c>
    </row>
    <row r="94" spans="2:10" hidden="1">
      <c r="C94" s="371" t="str">
        <f>IF(C34&lt;0,"See Tab B","")</f>
        <v/>
      </c>
      <c r="D94" s="371" t="str">
        <f>IF(D34&lt;0,"See Tab D","")</f>
        <v/>
      </c>
    </row>
    <row r="95" spans="2:10" hidden="1">
      <c r="C95" s="371" t="str">
        <f>IF(C73&gt;C75,"See Tab A","")</f>
        <v/>
      </c>
      <c r="D95" s="371" t="str">
        <f>IF(D73&gt;D75,"See Tab C","")</f>
        <v/>
      </c>
    </row>
    <row r="96" spans="2:10" hidden="1">
      <c r="C96" s="371" t="str">
        <f>IF(C74&lt;0,"See Tab B","")</f>
        <v/>
      </c>
      <c r="D96" s="371" t="str">
        <f>IF(D74&lt;0,"See Tab D","")</f>
        <v/>
      </c>
    </row>
  </sheetData>
  <sheetProtection sheet="1"/>
  <mergeCells count="14">
    <mergeCell ref="G24:J24"/>
    <mergeCell ref="G31:J31"/>
    <mergeCell ref="G41:J41"/>
    <mergeCell ref="G64:J64"/>
    <mergeCell ref="G71:J71"/>
    <mergeCell ref="C36:D36"/>
    <mergeCell ref="C37:D37"/>
    <mergeCell ref="C80:D80"/>
    <mergeCell ref="C40:D40"/>
    <mergeCell ref="G81:J81"/>
    <mergeCell ref="C81:D81"/>
    <mergeCell ref="C41:D41"/>
    <mergeCell ref="C76:D76"/>
    <mergeCell ref="C77:D77"/>
  </mergeCells>
  <phoneticPr fontId="0" type="noConversion"/>
  <conditionalFormatting sqref="E31">
    <cfRule type="cellIs" dxfId="196" priority="3" stopIfTrue="1" operator="greaterThan">
      <formula>$E$33*0.1</formula>
    </cfRule>
  </conditionalFormatting>
  <conditionalFormatting sqref="E36">
    <cfRule type="cellIs" dxfId="195" priority="4" stopIfTrue="1" operator="greaterThan">
      <formula>$E$33/0.95-$E$33</formula>
    </cfRule>
  </conditionalFormatting>
  <conditionalFormatting sqref="E71">
    <cfRule type="cellIs" dxfId="194" priority="5" stopIfTrue="1" operator="greaterThan">
      <formula>$E$73*0.1</formula>
    </cfRule>
  </conditionalFormatting>
  <conditionalFormatting sqref="E76">
    <cfRule type="cellIs" dxfId="193" priority="6" stopIfTrue="1" operator="greaterThan">
      <formula>$E$73/0.95-$E$73</formula>
    </cfRule>
  </conditionalFormatting>
  <conditionalFormatting sqref="D33">
    <cfRule type="cellIs" dxfId="192" priority="7" stopIfTrue="1" operator="greaterThan">
      <formula>$D$35</formula>
    </cfRule>
  </conditionalFormatting>
  <conditionalFormatting sqref="C33">
    <cfRule type="cellIs" dxfId="191" priority="8" stopIfTrue="1" operator="greaterThan">
      <formula>$C$35</formula>
    </cfRule>
  </conditionalFormatting>
  <conditionalFormatting sqref="C34 C74">
    <cfRule type="cellIs" dxfId="190" priority="9" stopIfTrue="1" operator="lessThan">
      <formula>0</formula>
    </cfRule>
  </conditionalFormatting>
  <conditionalFormatting sqref="D73">
    <cfRule type="cellIs" dxfId="189" priority="10" stopIfTrue="1" operator="greaterThan">
      <formula>$D$75</formula>
    </cfRule>
  </conditionalFormatting>
  <conditionalFormatting sqref="C73">
    <cfRule type="cellIs" dxfId="188" priority="11" stopIfTrue="1" operator="greaterThan">
      <formula>$C$75</formula>
    </cfRule>
  </conditionalFormatting>
  <conditionalFormatting sqref="C31">
    <cfRule type="cellIs" dxfId="187" priority="12" stopIfTrue="1" operator="greaterThan">
      <formula>$C$33*0.1</formula>
    </cfRule>
  </conditionalFormatting>
  <conditionalFormatting sqref="D31">
    <cfRule type="cellIs" dxfId="186" priority="13" stopIfTrue="1" operator="greaterThan">
      <formula>$D$33*0.1</formula>
    </cfRule>
  </conditionalFormatting>
  <conditionalFormatting sqref="C71">
    <cfRule type="cellIs" dxfId="185" priority="14" stopIfTrue="1" operator="greaterThan">
      <formula>$C$73*0.1</formula>
    </cfRule>
  </conditionalFormatting>
  <conditionalFormatting sqref="D71">
    <cfRule type="cellIs" dxfId="184" priority="15" stopIfTrue="1" operator="greaterThan">
      <formula>$D$73*0.1</formula>
    </cfRule>
  </conditionalFormatting>
  <conditionalFormatting sqref="D58">
    <cfRule type="cellIs" dxfId="183" priority="16" stopIfTrue="1" operator="greaterThan">
      <formula>$D$60*0.1</formula>
    </cfRule>
  </conditionalFormatting>
  <conditionalFormatting sqref="C58">
    <cfRule type="cellIs" dxfId="182" priority="17" stopIfTrue="1" operator="greaterThan">
      <formula>$C$60*0.1</formula>
    </cfRule>
  </conditionalFormatting>
  <conditionalFormatting sqref="D18">
    <cfRule type="cellIs" dxfId="181" priority="18" stopIfTrue="1" operator="greaterThan">
      <formula>$D$20*0.1</formula>
    </cfRule>
  </conditionalFormatting>
  <conditionalFormatting sqref="C18">
    <cfRule type="cellIs" dxfId="180" priority="19" stopIfTrue="1" operator="greaterThan">
      <formula>$C$20*0.1</formula>
    </cfRule>
  </conditionalFormatting>
  <conditionalFormatting sqref="E58">
    <cfRule type="cellIs" dxfId="179" priority="20" stopIfTrue="1" operator="greaterThan">
      <formula>$E$60*0.1+E80</formula>
    </cfRule>
  </conditionalFormatting>
  <conditionalFormatting sqref="E18">
    <cfRule type="cellIs" dxfId="178" priority="21" stopIfTrue="1" operator="greaterThan">
      <formula>$E$20*0.1+E40</formula>
    </cfRule>
  </conditionalFormatting>
  <conditionalFormatting sqref="D74 D34">
    <cfRule type="cellIs" dxfId="177" priority="2" stopIfTrue="1" operator="lessThan">
      <formula>0</formula>
    </cfRule>
  </conditionalFormatting>
  <pageMargins left="0.5" right="0.5" top="1" bottom="0.5" header="0.5" footer="0.5"/>
  <pageSetup scale="56" orientation="portrait" blackAndWhite="1"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6"/>
  <sheetViews>
    <sheetView topLeftCell="A19" zoomScaleNormal="100" workbookViewId="0">
      <selection activeCell="J58" sqref="J58"/>
    </sheetView>
  </sheetViews>
  <sheetFormatPr defaultRowHeight="15.75"/>
  <cols>
    <col min="1" max="1" width="2.44140625" style="22" customWidth="1"/>
    <col min="2" max="2" width="31.109375" style="22" customWidth="1"/>
    <col min="3" max="4" width="15.77734375" style="22" customWidth="1"/>
    <col min="5" max="5" width="16.109375" style="22" customWidth="1"/>
    <col min="6" max="6" width="8.88671875" style="22"/>
    <col min="7" max="7" width="10.21875" style="22" customWidth="1"/>
    <col min="8" max="8" width="8.88671875" style="22"/>
    <col min="9" max="9" width="5" style="22" customWidth="1"/>
    <col min="10" max="10" width="10" style="22" customWidth="1"/>
    <col min="11" max="16384" width="8.88671875" style="22"/>
  </cols>
  <sheetData>
    <row r="1" spans="2:5">
      <c r="B1" s="150" t="str">
        <f>(inputPrYr!D2)</f>
        <v>CITY OF HOXIE</v>
      </c>
      <c r="C1" s="21"/>
      <c r="D1" s="21"/>
      <c r="E1" s="210">
        <f>inputPrYr!C5</f>
        <v>2014</v>
      </c>
    </row>
    <row r="2" spans="2:5">
      <c r="B2" s="21"/>
      <c r="C2" s="21"/>
      <c r="D2" s="21"/>
      <c r="E2" s="146"/>
    </row>
    <row r="3" spans="2:5">
      <c r="B3" s="40" t="s">
        <v>91</v>
      </c>
      <c r="C3" s="168"/>
      <c r="D3" s="168"/>
      <c r="E3" s="255"/>
    </row>
    <row r="4" spans="2:5">
      <c r="B4" s="28" t="s">
        <v>24</v>
      </c>
      <c r="C4" s="658" t="s">
        <v>810</v>
      </c>
      <c r="D4" s="659" t="s">
        <v>813</v>
      </c>
      <c r="E4" s="124" t="s">
        <v>814</v>
      </c>
    </row>
    <row r="5" spans="2:5">
      <c r="B5" s="366">
        <f>inputPrYr!B25</f>
        <v>0</v>
      </c>
      <c r="C5" s="350" t="str">
        <f>CONCATENATE("Actual for ",E1-2,"")</f>
        <v>Actual for 2012</v>
      </c>
      <c r="D5" s="350" t="str">
        <f>CONCATENATE("Estimate for ",E1-1,"")</f>
        <v>Estimate for 2013</v>
      </c>
      <c r="E5" s="220" t="str">
        <f>CONCATENATE("Year for ",E1,"")</f>
        <v>Year for 2014</v>
      </c>
    </row>
    <row r="6" spans="2:5">
      <c r="B6" s="221" t="s">
        <v>146</v>
      </c>
      <c r="C6" s="222"/>
      <c r="D6" s="349">
        <f>C34</f>
        <v>0</v>
      </c>
      <c r="E6" s="191">
        <f>D34</f>
        <v>0</v>
      </c>
    </row>
    <row r="7" spans="2:5">
      <c r="B7" s="221" t="s">
        <v>148</v>
      </c>
      <c r="C7" s="138"/>
      <c r="D7" s="138"/>
      <c r="E7" s="67"/>
    </row>
    <row r="8" spans="2:5">
      <c r="B8" s="130" t="s">
        <v>25</v>
      </c>
      <c r="C8" s="222"/>
      <c r="D8" s="349">
        <f>IF(inputPrYr!H16&gt;0,inputPrYr!G25,inputPrYr!E25)</f>
        <v>0</v>
      </c>
      <c r="E8" s="252" t="s">
        <v>13</v>
      </c>
    </row>
    <row r="9" spans="2:5">
      <c r="B9" s="130" t="s">
        <v>26</v>
      </c>
      <c r="C9" s="222"/>
      <c r="D9" s="222"/>
      <c r="E9" s="49"/>
    </row>
    <row r="10" spans="2:5">
      <c r="B10" s="130" t="s">
        <v>27</v>
      </c>
      <c r="C10" s="222"/>
      <c r="D10" s="222"/>
      <c r="E10" s="191" t="str">
        <f>mvalloc!D14</f>
        <v xml:space="preserve">  </v>
      </c>
    </row>
    <row r="11" spans="2:5">
      <c r="B11" s="130" t="s">
        <v>28</v>
      </c>
      <c r="C11" s="222"/>
      <c r="D11" s="222"/>
      <c r="E11" s="191" t="str">
        <f>mvalloc!E14</f>
        <v xml:space="preserve"> </v>
      </c>
    </row>
    <row r="12" spans="2:5">
      <c r="B12" s="138" t="s">
        <v>123</v>
      </c>
      <c r="C12" s="222"/>
      <c r="D12" s="222"/>
      <c r="E12" s="191" t="str">
        <f>mvalloc!F14</f>
        <v xml:space="preserve"> </v>
      </c>
    </row>
    <row r="13" spans="2:5">
      <c r="B13" s="49"/>
      <c r="C13" s="222"/>
      <c r="D13" s="222"/>
      <c r="E13" s="49"/>
    </row>
    <row r="14" spans="2:5">
      <c r="B14" s="237"/>
      <c r="C14" s="222"/>
      <c r="D14" s="222"/>
      <c r="E14" s="49"/>
    </row>
    <row r="15" spans="2:5">
      <c r="B15" s="237"/>
      <c r="C15" s="222"/>
      <c r="D15" s="222"/>
      <c r="E15" s="49"/>
    </row>
    <row r="16" spans="2:5">
      <c r="B16" s="237"/>
      <c r="C16" s="222"/>
      <c r="D16" s="222"/>
      <c r="E16" s="49"/>
    </row>
    <row r="17" spans="2:10">
      <c r="B17" s="229" t="s">
        <v>31</v>
      </c>
      <c r="C17" s="222"/>
      <c r="D17" s="222"/>
      <c r="E17" s="49"/>
    </row>
    <row r="18" spans="2:10">
      <c r="B18" s="138" t="s">
        <v>270</v>
      </c>
      <c r="C18" s="222"/>
      <c r="D18" s="222"/>
      <c r="E18" s="49"/>
    </row>
    <row r="19" spans="2:10">
      <c r="B19" s="221" t="s">
        <v>793</v>
      </c>
      <c r="C19" s="351" t="str">
        <f>IF(C20*0.1&lt;C18,"Exceed 10% Rule","")</f>
        <v/>
      </c>
      <c r="D19" s="351" t="str">
        <f>IF(D20*0.1&lt;D18,"Exceed 10% Rule","")</f>
        <v/>
      </c>
      <c r="E19" s="368" t="str">
        <f>IF(E20*0.1+E40&lt;E18,"Exceed 10% Rule","")</f>
        <v/>
      </c>
    </row>
    <row r="20" spans="2:10">
      <c r="B20" s="231" t="s">
        <v>32</v>
      </c>
      <c r="C20" s="352">
        <f>SUM(C8:C18)</f>
        <v>0</v>
      </c>
      <c r="D20" s="352">
        <f>SUM(D8:D18)</f>
        <v>0</v>
      </c>
      <c r="E20" s="257">
        <f>SUM(E8:E18)</f>
        <v>0</v>
      </c>
    </row>
    <row r="21" spans="2:10">
      <c r="B21" s="231" t="s">
        <v>33</v>
      </c>
      <c r="C21" s="352">
        <f>C6+C20</f>
        <v>0</v>
      </c>
      <c r="D21" s="352">
        <f>D6+D20</f>
        <v>0</v>
      </c>
      <c r="E21" s="257">
        <f>E6+E20</f>
        <v>0</v>
      </c>
    </row>
    <row r="22" spans="2:10">
      <c r="B22" s="130" t="s">
        <v>35</v>
      </c>
      <c r="C22" s="238"/>
      <c r="D22" s="238"/>
      <c r="E22" s="47"/>
    </row>
    <row r="23" spans="2:10">
      <c r="B23" s="237"/>
      <c r="C23" s="222"/>
      <c r="D23" s="222"/>
      <c r="E23" s="49"/>
    </row>
    <row r="24" spans="2:10">
      <c r="B24" s="237"/>
      <c r="C24" s="222"/>
      <c r="D24" s="222"/>
      <c r="E24" s="49"/>
      <c r="G24" s="847" t="str">
        <f>CONCATENATE("Desired Carryover Into ",E1+1,"")</f>
        <v>Desired Carryover Into 2015</v>
      </c>
      <c r="H24" s="842"/>
      <c r="I24" s="842"/>
      <c r="J24" s="843"/>
    </row>
    <row r="25" spans="2:10">
      <c r="B25" s="237"/>
      <c r="C25" s="222"/>
      <c r="D25" s="222"/>
      <c r="E25" s="49"/>
      <c r="G25" s="699"/>
      <c r="H25" s="686"/>
      <c r="I25" s="693"/>
      <c r="J25" s="700"/>
    </row>
    <row r="26" spans="2:10">
      <c r="B26" s="237"/>
      <c r="C26" s="222"/>
      <c r="D26" s="222"/>
      <c r="E26" s="49"/>
      <c r="G26" s="698" t="s">
        <v>637</v>
      </c>
      <c r="H26" s="693"/>
      <c r="I26" s="693"/>
      <c r="J26" s="687">
        <v>0</v>
      </c>
    </row>
    <row r="27" spans="2:10">
      <c r="B27" s="237"/>
      <c r="C27" s="222"/>
      <c r="D27" s="222"/>
      <c r="E27" s="49"/>
      <c r="G27" s="699" t="s">
        <v>638</v>
      </c>
      <c r="H27" s="686"/>
      <c r="I27" s="686"/>
      <c r="J27" s="727" t="str">
        <f>IF(J26=0,"",ROUND((J26+E40-G39)/inputOth!E7*1000,3)-G44)</f>
        <v/>
      </c>
    </row>
    <row r="28" spans="2:10">
      <c r="B28" s="237"/>
      <c r="C28" s="222"/>
      <c r="D28" s="222"/>
      <c r="E28" s="49"/>
      <c r="G28" s="724" t="str">
        <f>CONCATENATE("",E1," Tot Exp/Non-Appr Must Be:")</f>
        <v>2014 Tot Exp/Non-Appr Must Be:</v>
      </c>
      <c r="H28" s="722"/>
      <c r="I28" s="723"/>
      <c r="J28" s="719">
        <f>IF(J26&gt;0,IF(E37&lt;E21,IF(J26=G39,E37,((J26-G39)*(1-D39))+E21),E37+(J26-G39)),0)</f>
        <v>0</v>
      </c>
    </row>
    <row r="29" spans="2:10">
      <c r="B29" s="237"/>
      <c r="C29" s="222"/>
      <c r="D29" s="222"/>
      <c r="E29" s="49"/>
      <c r="G29" s="589" t="s">
        <v>815</v>
      </c>
      <c r="H29" s="730"/>
      <c r="I29" s="730"/>
      <c r="J29" s="725">
        <f>IF(J26&gt;0,J28-E37,0)</f>
        <v>0</v>
      </c>
    </row>
    <row r="30" spans="2:10">
      <c r="B30" s="238" t="s">
        <v>271</v>
      </c>
      <c r="C30" s="222"/>
      <c r="D30" s="222"/>
      <c r="E30" s="56" t="str">
        <f>nhood!E13</f>
        <v/>
      </c>
      <c r="J30" s="676"/>
    </row>
    <row r="31" spans="2:10">
      <c r="B31" s="238" t="s">
        <v>270</v>
      </c>
      <c r="C31" s="222"/>
      <c r="D31" s="222"/>
      <c r="E31" s="49"/>
      <c r="G31" s="847" t="str">
        <f>CONCATENATE("Projected Carryover Into ",E1+1,"")</f>
        <v>Projected Carryover Into 2015</v>
      </c>
      <c r="H31" s="854"/>
      <c r="I31" s="854"/>
      <c r="J31" s="856"/>
    </row>
    <row r="32" spans="2:10">
      <c r="B32" s="238" t="s">
        <v>794</v>
      </c>
      <c r="C32" s="351" t="str">
        <f>IF(C33*0.1&lt;C31,"Exceed 10% Rule","")</f>
        <v/>
      </c>
      <c r="D32" s="351" t="str">
        <f>IF(D33*0.1&lt;D31,"Exceed 10% Rule","")</f>
        <v/>
      </c>
      <c r="E32" s="368" t="str">
        <f>IF(E33*0.1&lt;E31,"Exceed 10% Rule","")</f>
        <v/>
      </c>
      <c r="G32" s="699"/>
      <c r="H32" s="693"/>
      <c r="I32" s="693"/>
      <c r="J32" s="739"/>
    </row>
    <row r="33" spans="2:11">
      <c r="B33" s="231" t="s">
        <v>39</v>
      </c>
      <c r="C33" s="352">
        <f>SUM(C23:C31)</f>
        <v>0</v>
      </c>
      <c r="D33" s="352">
        <f>SUM(D23:D31)</f>
        <v>0</v>
      </c>
      <c r="E33" s="257">
        <f>SUM(E23:E31)</f>
        <v>0</v>
      </c>
      <c r="G33" s="690">
        <f>D34</f>
        <v>0</v>
      </c>
      <c r="H33" s="691" t="str">
        <f>CONCATENATE("",E1-1," Ending Cash Balance (est.)")</f>
        <v>2013 Ending Cash Balance (est.)</v>
      </c>
      <c r="I33" s="692"/>
      <c r="J33" s="739"/>
    </row>
    <row r="34" spans="2:11">
      <c r="B34" s="130" t="s">
        <v>147</v>
      </c>
      <c r="C34" s="349">
        <f>C21-C33</f>
        <v>0</v>
      </c>
      <c r="D34" s="349">
        <f>D21-D33</f>
        <v>0</v>
      </c>
      <c r="E34" s="252" t="s">
        <v>13</v>
      </c>
      <c r="G34" s="690">
        <f>E20</f>
        <v>0</v>
      </c>
      <c r="H34" s="693" t="str">
        <f>CONCATENATE("",E1," Non-AV Receipts (est.)")</f>
        <v>2014 Non-AV Receipts (est.)</v>
      </c>
      <c r="I34" s="692"/>
      <c r="J34" s="739"/>
    </row>
    <row r="35" spans="2:11">
      <c r="B35" s="118" t="str">
        <f>CONCATENATE("",$E$1-2,"/",$E$1-1," Budget Authority Amount:")</f>
        <v>2012/2013 Budget Authority Amount:</v>
      </c>
      <c r="C35" s="181">
        <f>inputOth!B68</f>
        <v>0</v>
      </c>
      <c r="D35" s="240">
        <f>inputPrYr!D25</f>
        <v>0</v>
      </c>
      <c r="E35" s="252" t="s">
        <v>13</v>
      </c>
      <c r="F35" s="241"/>
      <c r="G35" s="694">
        <f>IF(D39&gt;0,E38,E40)</f>
        <v>0</v>
      </c>
      <c r="H35" s="693" t="str">
        <f>CONCATENATE("",E1," Ad Valorem Tax (est.)")</f>
        <v>2014 Ad Valorem Tax (est.)</v>
      </c>
      <c r="I35" s="692"/>
      <c r="J35" s="739"/>
      <c r="K35" s="592" t="str">
        <f>IF(G35=E40,"","Note: Does not include Delinquent Taxes")</f>
        <v/>
      </c>
    </row>
    <row r="36" spans="2:11">
      <c r="B36" s="118"/>
      <c r="C36" s="835" t="s">
        <v>629</v>
      </c>
      <c r="D36" s="836"/>
      <c r="E36" s="49"/>
      <c r="F36" s="750" t="str">
        <f>IF(E33/0.95-E33&lt;E36,"Exceeds 5%","")</f>
        <v/>
      </c>
      <c r="G36" s="690">
        <f>SUM(G33:G35)</f>
        <v>0</v>
      </c>
      <c r="H36" s="693" t="str">
        <f>CONCATENATE("Total ",E1," Resources Available")</f>
        <v>Total 2014 Resources Available</v>
      </c>
      <c r="I36" s="692"/>
      <c r="J36" s="739"/>
    </row>
    <row r="37" spans="2:11">
      <c r="B37" s="370" t="str">
        <f>CONCATENATE(C93,"     ",D93)</f>
        <v xml:space="preserve">     </v>
      </c>
      <c r="C37" s="837" t="s">
        <v>630</v>
      </c>
      <c r="D37" s="838"/>
      <c r="E37" s="191">
        <f>E33+E36</f>
        <v>0</v>
      </c>
      <c r="G37" s="695"/>
      <c r="H37" s="693"/>
      <c r="I37" s="693"/>
      <c r="J37" s="739"/>
    </row>
    <row r="38" spans="2:11">
      <c r="B38" s="370" t="str">
        <f>CONCATENATE(C94,"     ",D94)</f>
        <v xml:space="preserve">     </v>
      </c>
      <c r="C38" s="242"/>
      <c r="D38" s="146" t="s">
        <v>40</v>
      </c>
      <c r="E38" s="191">
        <f>IF(E37-E21&gt;0,E37-E21,0)</f>
        <v>0</v>
      </c>
      <c r="G38" s="694">
        <f>ROUND(C33*0.05+C33,0)</f>
        <v>0</v>
      </c>
      <c r="H38" s="693" t="str">
        <f>CONCATENATE("Less ",E1-2," Expenditures + 5%")</f>
        <v>Less 2012 Expenditures + 5%</v>
      </c>
      <c r="I38" s="692"/>
      <c r="J38" s="739"/>
    </row>
    <row r="39" spans="2:11">
      <c r="B39" s="146"/>
      <c r="C39" s="356" t="s">
        <v>631</v>
      </c>
      <c r="D39" s="591">
        <f>inputOth!$E$47</f>
        <v>0.01</v>
      </c>
      <c r="E39" s="191">
        <f>ROUND(IF(D39&gt;0,(E38*D39),0),0)</f>
        <v>0</v>
      </c>
      <c r="G39" s="728">
        <f>G36-G38</f>
        <v>0</v>
      </c>
      <c r="H39" s="729" t="str">
        <f>CONCATENATE("Projected ",E1+1," carryover (est.)")</f>
        <v>Projected 2015 carryover (est.)</v>
      </c>
      <c r="I39" s="696"/>
      <c r="J39" s="737"/>
    </row>
    <row r="40" spans="2:11" ht="16.5" thickBot="1">
      <c r="B40" s="21"/>
      <c r="C40" s="839" t="str">
        <f>CONCATENATE("Amount of  ",$E$1-1," Ad Valorem Tax")</f>
        <v>Amount of  2013 Ad Valorem Tax</v>
      </c>
      <c r="D40" s="840"/>
      <c r="E40" s="258">
        <f>E38+E39</f>
        <v>0</v>
      </c>
      <c r="G40" s="676"/>
      <c r="H40" s="676"/>
      <c r="I40" s="676"/>
      <c r="J40" s="676"/>
    </row>
    <row r="41" spans="2:11" ht="16.5" thickTop="1">
      <c r="B41" s="21"/>
      <c r="C41" s="851"/>
      <c r="D41" s="851"/>
      <c r="E41" s="21"/>
      <c r="G41" s="844" t="s">
        <v>871</v>
      </c>
      <c r="H41" s="845"/>
      <c r="I41" s="845"/>
      <c r="J41" s="846"/>
    </row>
    <row r="42" spans="2:11">
      <c r="B42" s="21"/>
      <c r="C42" s="21"/>
      <c r="D42" s="21"/>
      <c r="E42" s="21"/>
      <c r="G42" s="732"/>
      <c r="H42" s="691"/>
      <c r="I42" s="720"/>
      <c r="J42" s="721"/>
    </row>
    <row r="43" spans="2:11">
      <c r="B43" s="28"/>
      <c r="C43" s="256"/>
      <c r="D43" s="256"/>
      <c r="E43" s="256"/>
      <c r="G43" s="734" t="str">
        <f>summ!H23</f>
        <v xml:space="preserve">  </v>
      </c>
      <c r="H43" s="691" t="str">
        <f>CONCATENATE("",E1," Fund Mill Rate")</f>
        <v>2014 Fund Mill Rate</v>
      </c>
      <c r="I43" s="720"/>
      <c r="J43" s="721"/>
    </row>
    <row r="44" spans="2:11">
      <c r="B44" s="28" t="s">
        <v>24</v>
      </c>
      <c r="C44" s="658" t="str">
        <f t="shared" ref="C44:E45" si="0">C4</f>
        <v xml:space="preserve">Prior Year </v>
      </c>
      <c r="D44" s="659" t="str">
        <f t="shared" si="0"/>
        <v xml:space="preserve">Current Year </v>
      </c>
      <c r="E44" s="124" t="str">
        <f t="shared" si="0"/>
        <v xml:space="preserve">Proposed Budget </v>
      </c>
      <c r="G44" s="733" t="str">
        <f>summ!E23</f>
        <v xml:space="preserve">  </v>
      </c>
      <c r="H44" s="691" t="str">
        <f>CONCATENATE("",E1-1," Fund Mill Rate")</f>
        <v>2013 Fund Mill Rate</v>
      </c>
      <c r="I44" s="720"/>
      <c r="J44" s="721"/>
    </row>
    <row r="45" spans="2:11">
      <c r="B45" s="367">
        <f>inputPrYr!B26</f>
        <v>0</v>
      </c>
      <c r="C45" s="350" t="str">
        <f t="shared" si="0"/>
        <v>Actual for 2012</v>
      </c>
      <c r="D45" s="350" t="str">
        <f t="shared" si="0"/>
        <v>Estimate for 2013</v>
      </c>
      <c r="E45" s="177" t="str">
        <f t="shared" si="0"/>
        <v>Year for 2014</v>
      </c>
      <c r="G45" s="735">
        <f>summ!H43</f>
        <v>46.652000000000001</v>
      </c>
      <c r="H45" s="691" t="str">
        <f>CONCATENATE("Total ",E1," Mill Rate")</f>
        <v>Total 2014 Mill Rate</v>
      </c>
      <c r="I45" s="720"/>
      <c r="J45" s="721"/>
    </row>
    <row r="46" spans="2:11">
      <c r="B46" s="221" t="s">
        <v>146</v>
      </c>
      <c r="C46" s="222"/>
      <c r="D46" s="349">
        <f>C74</f>
        <v>0</v>
      </c>
      <c r="E46" s="191">
        <f>D74</f>
        <v>0</v>
      </c>
      <c r="G46" s="733">
        <f>summ!E43</f>
        <v>48.61</v>
      </c>
      <c r="H46" s="716" t="str">
        <f>CONCATENATE("Total ",E1-1," Mill Rate")</f>
        <v>Total 2013 Mill Rate</v>
      </c>
      <c r="I46" s="717"/>
      <c r="J46" s="718"/>
    </row>
    <row r="47" spans="2:11">
      <c r="B47" s="224" t="s">
        <v>148</v>
      </c>
      <c r="C47" s="138"/>
      <c r="D47" s="138"/>
      <c r="E47" s="67"/>
    </row>
    <row r="48" spans="2:11">
      <c r="B48" s="130" t="s">
        <v>25</v>
      </c>
      <c r="C48" s="222"/>
      <c r="D48" s="349">
        <f>IF(inputPrYr!H16&gt;0,inputPrYr!G26,inputPrYr!E26)</f>
        <v>0</v>
      </c>
      <c r="E48" s="252" t="s">
        <v>13</v>
      </c>
      <c r="G48" s="779" t="s">
        <v>977</v>
      </c>
      <c r="H48" s="769"/>
      <c r="I48" s="768" t="str">
        <f>cert!F49</f>
        <v>No</v>
      </c>
    </row>
    <row r="49" spans="2:10">
      <c r="B49" s="130" t="s">
        <v>26</v>
      </c>
      <c r="C49" s="222"/>
      <c r="D49" s="222"/>
      <c r="E49" s="49"/>
    </row>
    <row r="50" spans="2:10">
      <c r="B50" s="130" t="s">
        <v>27</v>
      </c>
      <c r="C50" s="222"/>
      <c r="D50" s="222"/>
      <c r="E50" s="191" t="str">
        <f>mvalloc!D15</f>
        <v xml:space="preserve">  </v>
      </c>
    </row>
    <row r="51" spans="2:10">
      <c r="B51" s="130" t="s">
        <v>28</v>
      </c>
      <c r="C51" s="222"/>
      <c r="D51" s="222"/>
      <c r="E51" s="191" t="str">
        <f>mvalloc!E15</f>
        <v xml:space="preserve"> </v>
      </c>
    </row>
    <row r="52" spans="2:10">
      <c r="B52" s="138" t="s">
        <v>123</v>
      </c>
      <c r="C52" s="222"/>
      <c r="D52" s="222"/>
      <c r="E52" s="191" t="str">
        <f>mvalloc!F15</f>
        <v xml:space="preserve"> </v>
      </c>
    </row>
    <row r="53" spans="2:10">
      <c r="B53" s="49"/>
      <c r="C53" s="222"/>
      <c r="D53" s="222"/>
      <c r="E53" s="49"/>
    </row>
    <row r="54" spans="2:10">
      <c r="B54" s="237"/>
      <c r="C54" s="222"/>
      <c r="D54" s="222"/>
      <c r="E54" s="49"/>
    </row>
    <row r="55" spans="2:10">
      <c r="B55" s="237"/>
      <c r="C55" s="222"/>
      <c r="D55" s="222"/>
      <c r="E55" s="49"/>
    </row>
    <row r="56" spans="2:10">
      <c r="B56" s="237"/>
      <c r="C56" s="222"/>
      <c r="D56" s="222"/>
      <c r="E56" s="49"/>
    </row>
    <row r="57" spans="2:10">
      <c r="B57" s="229" t="s">
        <v>31</v>
      </c>
      <c r="C57" s="222"/>
      <c r="D57" s="222"/>
      <c r="E57" s="49"/>
    </row>
    <row r="58" spans="2:10">
      <c r="B58" s="138" t="s">
        <v>270</v>
      </c>
      <c r="C58" s="222"/>
      <c r="D58" s="222"/>
      <c r="E58" s="49"/>
    </row>
    <row r="59" spans="2:10">
      <c r="B59" s="221" t="s">
        <v>793</v>
      </c>
      <c r="C59" s="351" t="str">
        <f>IF(C60*0.1&lt;C58,"Exceed 10% Rule","")</f>
        <v/>
      </c>
      <c r="D59" s="351" t="str">
        <f>IF(D60*0.1&lt;D58,"Exceed 10% Rule","")</f>
        <v/>
      </c>
      <c r="E59" s="368" t="str">
        <f>IF(E60*0.1+E80&lt;E58,"Exceed 10% Rule","")</f>
        <v/>
      </c>
    </row>
    <row r="60" spans="2:10">
      <c r="B60" s="231" t="s">
        <v>32</v>
      </c>
      <c r="C60" s="352">
        <f>SUM(C48:C58)</f>
        <v>0</v>
      </c>
      <c r="D60" s="352">
        <f>SUM(D48:D58)</f>
        <v>0</v>
      </c>
      <c r="E60" s="257">
        <f>SUM(E48:E58)</f>
        <v>0</v>
      </c>
    </row>
    <row r="61" spans="2:10">
      <c r="B61" s="231" t="s">
        <v>33</v>
      </c>
      <c r="C61" s="352">
        <f>C46+C60</f>
        <v>0</v>
      </c>
      <c r="D61" s="352">
        <f>D46+D60</f>
        <v>0</v>
      </c>
      <c r="E61" s="257">
        <f>E46+E60</f>
        <v>0</v>
      </c>
    </row>
    <row r="62" spans="2:10">
      <c r="B62" s="130" t="s">
        <v>35</v>
      </c>
      <c r="C62" s="238"/>
      <c r="D62" s="238"/>
      <c r="E62" s="47"/>
    </row>
    <row r="63" spans="2:10">
      <c r="B63" s="237"/>
      <c r="C63" s="222"/>
      <c r="D63" s="222"/>
      <c r="E63" s="49"/>
    </row>
    <row r="64" spans="2:10">
      <c r="B64" s="237"/>
      <c r="C64" s="222"/>
      <c r="D64" s="222"/>
      <c r="E64" s="49"/>
      <c r="G64" s="847" t="str">
        <f>CONCATENATE("Desired Carryover Into ",E1+1,"")</f>
        <v>Desired Carryover Into 2015</v>
      </c>
      <c r="H64" s="842"/>
      <c r="I64" s="842"/>
      <c r="J64" s="843"/>
    </row>
    <row r="65" spans="2:11">
      <c r="B65" s="237"/>
      <c r="C65" s="222"/>
      <c r="D65" s="222"/>
      <c r="E65" s="49"/>
      <c r="G65" s="699"/>
      <c r="H65" s="686"/>
      <c r="I65" s="693"/>
      <c r="J65" s="700"/>
    </row>
    <row r="66" spans="2:11">
      <c r="B66" s="237"/>
      <c r="C66" s="222"/>
      <c r="D66" s="222"/>
      <c r="E66" s="49"/>
      <c r="G66" s="698" t="s">
        <v>637</v>
      </c>
      <c r="H66" s="693"/>
      <c r="I66" s="693"/>
      <c r="J66" s="687">
        <v>0</v>
      </c>
    </row>
    <row r="67" spans="2:11">
      <c r="B67" s="237"/>
      <c r="C67" s="222"/>
      <c r="D67" s="222"/>
      <c r="E67" s="49"/>
      <c r="G67" s="699" t="s">
        <v>638</v>
      </c>
      <c r="H67" s="686"/>
      <c r="I67" s="686"/>
      <c r="J67" s="727" t="str">
        <f>IF(J66=0,"",ROUND((J66+E80-G79)/inputOth!E7*1000,3)-G84)</f>
        <v/>
      </c>
    </row>
    <row r="68" spans="2:11">
      <c r="B68" s="237"/>
      <c r="C68" s="222"/>
      <c r="D68" s="222"/>
      <c r="E68" s="49"/>
      <c r="G68" s="724" t="str">
        <f>CONCATENATE("",E1," Tot Exp/Non-Appr Must Be:")</f>
        <v>2014 Tot Exp/Non-Appr Must Be:</v>
      </c>
      <c r="H68" s="722"/>
      <c r="I68" s="723"/>
      <c r="J68" s="719">
        <f>IF(J66&gt;0,IF(E77&lt;E61,IF(J66=G79,E77,((J66-G79)*(1-D79))+E61),E77+(J66-G79)),0)</f>
        <v>0</v>
      </c>
    </row>
    <row r="69" spans="2:11">
      <c r="B69" s="237"/>
      <c r="C69" s="222"/>
      <c r="D69" s="222"/>
      <c r="E69" s="49"/>
      <c r="G69" s="589" t="s">
        <v>815</v>
      </c>
      <c r="H69" s="730"/>
      <c r="I69" s="730"/>
      <c r="J69" s="725">
        <f>IF(J66&gt;0,J68-E77,0)</f>
        <v>0</v>
      </c>
    </row>
    <row r="70" spans="2:11">
      <c r="B70" s="238" t="s">
        <v>271</v>
      </c>
      <c r="C70" s="222"/>
      <c r="D70" s="222"/>
      <c r="E70" s="56" t="str">
        <f>nhood!E14</f>
        <v/>
      </c>
      <c r="J70" s="676"/>
    </row>
    <row r="71" spans="2:11">
      <c r="B71" s="238" t="s">
        <v>270</v>
      </c>
      <c r="C71" s="222"/>
      <c r="D71" s="222"/>
      <c r="E71" s="49"/>
      <c r="G71" s="847" t="str">
        <f>CONCATENATE("Projected Carryover Into ",E1+1,"")</f>
        <v>Projected Carryover Into 2015</v>
      </c>
      <c r="H71" s="857"/>
      <c r="I71" s="857"/>
      <c r="J71" s="856"/>
    </row>
    <row r="72" spans="2:11">
      <c r="B72" s="238" t="s">
        <v>794</v>
      </c>
      <c r="C72" s="351" t="str">
        <f>IF(C73*0.1&lt;C71,"Exceed 10% Rule","")</f>
        <v/>
      </c>
      <c r="D72" s="351" t="str">
        <f>IF(D73*0.1&lt;D71,"Exceed 10% Rule","")</f>
        <v/>
      </c>
      <c r="E72" s="368" t="str">
        <f>IF(E73*0.1&lt;E71,"Exceed 10% Rule","")</f>
        <v/>
      </c>
      <c r="G72" s="688"/>
      <c r="H72" s="686"/>
      <c r="I72" s="686"/>
      <c r="J72" s="739"/>
    </row>
    <row r="73" spans="2:11">
      <c r="B73" s="231" t="s">
        <v>39</v>
      </c>
      <c r="C73" s="352">
        <f>SUM(C63:C71)</f>
        <v>0</v>
      </c>
      <c r="D73" s="352">
        <f>SUM(D63:D71)</f>
        <v>0</v>
      </c>
      <c r="E73" s="257">
        <f>SUM(E63:E71)</f>
        <v>0</v>
      </c>
      <c r="G73" s="690">
        <f>D74</f>
        <v>0</v>
      </c>
      <c r="H73" s="691" t="str">
        <f>CONCATENATE("",E1-1," Ending Cash Balance (est.)")</f>
        <v>2013 Ending Cash Balance (est.)</v>
      </c>
      <c r="I73" s="692"/>
      <c r="J73" s="739"/>
    </row>
    <row r="74" spans="2:11">
      <c r="B74" s="130" t="s">
        <v>147</v>
      </c>
      <c r="C74" s="349">
        <f>C61-C73</f>
        <v>0</v>
      </c>
      <c r="D74" s="349">
        <f>D61-D73</f>
        <v>0</v>
      </c>
      <c r="E74" s="252" t="s">
        <v>13</v>
      </c>
      <c r="G74" s="690">
        <f>E60</f>
        <v>0</v>
      </c>
      <c r="H74" s="693" t="str">
        <f>CONCATENATE("",E1," Non-AV Receipts (est.)")</f>
        <v>2014 Non-AV Receipts (est.)</v>
      </c>
      <c r="I74" s="692"/>
      <c r="J74" s="739"/>
    </row>
    <row r="75" spans="2:11">
      <c r="B75" s="118" t="str">
        <f>CONCATENATE("",$E$1-2,"/",$E$1-1," Budget Authority Amount:")</f>
        <v>2012/2013 Budget Authority Amount:</v>
      </c>
      <c r="C75" s="181">
        <f>inputOth!B69</f>
        <v>0</v>
      </c>
      <c r="D75" s="240">
        <f>inputPrYr!D26</f>
        <v>0</v>
      </c>
      <c r="E75" s="252" t="s">
        <v>13</v>
      </c>
      <c r="F75" s="241"/>
      <c r="G75" s="694">
        <f>IF(D79&gt;0,E78,E80)</f>
        <v>0</v>
      </c>
      <c r="H75" s="693" t="str">
        <f>CONCATENATE("",E1," Ad Valorem Tax (est.)")</f>
        <v>2014 Ad Valorem Tax (est.)</v>
      </c>
      <c r="I75" s="692"/>
      <c r="J75" s="739"/>
      <c r="K75" s="592" t="str">
        <f>IF(G75=E80,"","Note: Does not include Delinquent Taxes")</f>
        <v/>
      </c>
    </row>
    <row r="76" spans="2:11">
      <c r="B76" s="118"/>
      <c r="C76" s="835" t="s">
        <v>629</v>
      </c>
      <c r="D76" s="836"/>
      <c r="E76" s="49"/>
      <c r="F76" s="750" t="str">
        <f>IF(E73/0.95-E73&lt;E76,"Exceeds 5%","")</f>
        <v/>
      </c>
      <c r="G76" s="701">
        <f>SUM(G73:G75)</f>
        <v>0</v>
      </c>
      <c r="H76" s="693" t="str">
        <f>CONCATENATE("Total ",E1," Resources Available")</f>
        <v>Total 2014 Resources Available</v>
      </c>
      <c r="I76" s="689"/>
      <c r="J76" s="739"/>
    </row>
    <row r="77" spans="2:11">
      <c r="B77" s="370" t="str">
        <f>CONCATENATE(C95,"     ",D95)</f>
        <v xml:space="preserve">     </v>
      </c>
      <c r="C77" s="837" t="s">
        <v>630</v>
      </c>
      <c r="D77" s="838"/>
      <c r="E77" s="191">
        <f>E73+E76</f>
        <v>0</v>
      </c>
      <c r="G77" s="704"/>
      <c r="H77" s="702"/>
      <c r="I77" s="686"/>
      <c r="J77" s="739"/>
    </row>
    <row r="78" spans="2:11">
      <c r="B78" s="370" t="str">
        <f>CONCATENATE(C96,"     ",D96)</f>
        <v xml:space="preserve">     </v>
      </c>
      <c r="C78" s="242"/>
      <c r="D78" s="146" t="s">
        <v>40</v>
      </c>
      <c r="E78" s="191">
        <f>IF(E77-E61&gt;0,E77-E61,0)</f>
        <v>0</v>
      </c>
      <c r="G78" s="703">
        <f>ROUND(C73*0.05+C73,0)</f>
        <v>0</v>
      </c>
      <c r="H78" s="702" t="str">
        <f>CONCATENATE("Less ",E1-2," Expenditures + 5%")</f>
        <v>Less 2012 Expenditures + 5%</v>
      </c>
      <c r="I78" s="689"/>
      <c r="J78" s="739"/>
    </row>
    <row r="79" spans="2:11">
      <c r="B79" s="146"/>
      <c r="C79" s="356" t="s">
        <v>631</v>
      </c>
      <c r="D79" s="591">
        <f>inputOth!$E$47</f>
        <v>0.01</v>
      </c>
      <c r="E79" s="191">
        <f>ROUND(IF(D79&gt;0,(E78*D79),0),0)</f>
        <v>0</v>
      </c>
      <c r="G79" s="705">
        <f>G76-G78</f>
        <v>0</v>
      </c>
      <c r="H79" s="706" t="str">
        <f>CONCATENATE("Projected ",E1+1," carryover (est.)")</f>
        <v>Projected 2015 carryover (est.)</v>
      </c>
      <c r="I79" s="697"/>
      <c r="J79" s="737"/>
    </row>
    <row r="80" spans="2:11" ht="16.5" thickBot="1">
      <c r="B80" s="21"/>
      <c r="C80" s="839" t="str">
        <f>CONCATENATE("Amount of  ",$E$1-1," Ad Valorem Tax")</f>
        <v>Amount of  2013 Ad Valorem Tax</v>
      </c>
      <c r="D80" s="840"/>
      <c r="E80" s="258">
        <f>E78+E79</f>
        <v>0</v>
      </c>
      <c r="G80" s="676"/>
      <c r="H80" s="676"/>
      <c r="I80" s="676"/>
    </row>
    <row r="81" spans="2:10" ht="16.5" thickTop="1">
      <c r="B81" s="21"/>
      <c r="C81" s="851"/>
      <c r="D81" s="851"/>
      <c r="E81" s="21"/>
      <c r="G81" s="844" t="s">
        <v>871</v>
      </c>
      <c r="H81" s="845"/>
      <c r="I81" s="845"/>
      <c r="J81" s="846"/>
    </row>
    <row r="82" spans="2:10">
      <c r="B82" s="21"/>
      <c r="C82" s="21"/>
      <c r="D82" s="21"/>
      <c r="E82" s="21"/>
      <c r="G82" s="732"/>
      <c r="H82" s="691"/>
      <c r="I82" s="720"/>
      <c r="J82" s="721"/>
    </row>
    <row r="83" spans="2:10">
      <c r="B83" s="118" t="s">
        <v>42</v>
      </c>
      <c r="C83" s="248"/>
      <c r="D83" s="21"/>
      <c r="E83" s="21"/>
      <c r="G83" s="734" t="str">
        <f>summ!H24</f>
        <v xml:space="preserve">  </v>
      </c>
      <c r="H83" s="691" t="str">
        <f>CONCATENATE("",E1," Fund Mill Rate")</f>
        <v>2014 Fund Mill Rate</v>
      </c>
      <c r="I83" s="720"/>
      <c r="J83" s="721"/>
    </row>
    <row r="84" spans="2:10">
      <c r="G84" s="733" t="str">
        <f>summ!E24</f>
        <v xml:space="preserve">  </v>
      </c>
      <c r="H84" s="691" t="str">
        <f>CONCATENATE("",E1-1," Fund Mill Rate")</f>
        <v>2013 Fund Mill Rate</v>
      </c>
      <c r="I84" s="720"/>
      <c r="J84" s="721"/>
    </row>
    <row r="85" spans="2:10">
      <c r="G85" s="735">
        <f>summ!H43</f>
        <v>46.652000000000001</v>
      </c>
      <c r="H85" s="691" t="str">
        <f>CONCATENATE("Total ",E1," Mill Rate")</f>
        <v>Total 2014 Mill Rate</v>
      </c>
      <c r="I85" s="720"/>
      <c r="J85" s="721"/>
    </row>
    <row r="86" spans="2:10">
      <c r="G86" s="733">
        <f>summ!E43</f>
        <v>48.61</v>
      </c>
      <c r="H86" s="716" t="str">
        <f>CONCATENATE("Total ",E1-1," Mill Rate")</f>
        <v>Total 2013 Mill Rate</v>
      </c>
      <c r="I86" s="717"/>
      <c r="J86" s="718"/>
    </row>
    <row r="88" spans="2:10">
      <c r="G88" s="779" t="s">
        <v>977</v>
      </c>
      <c r="H88" s="771"/>
      <c r="I88" s="770" t="str">
        <f>cert!F49</f>
        <v>No</v>
      </c>
    </row>
    <row r="93" spans="2:10" hidden="1">
      <c r="C93" s="371" t="str">
        <f>IF(C33&gt;C35,"See Tab A","")</f>
        <v/>
      </c>
      <c r="D93" s="371" t="str">
        <f>IF(D33&gt;D35,"See Tab C","")</f>
        <v/>
      </c>
    </row>
    <row r="94" spans="2:10" hidden="1">
      <c r="C94" s="371" t="str">
        <f>IF(C34&lt;0,"See Tab B","")</f>
        <v/>
      </c>
      <c r="D94" s="371" t="str">
        <f>IF(D34&lt;0,"See Tab D","")</f>
        <v/>
      </c>
    </row>
    <row r="95" spans="2:10" hidden="1">
      <c r="C95" s="371" t="str">
        <f>IF(C73&gt;C75,"See Tab A","")</f>
        <v/>
      </c>
      <c r="D95" s="371" t="str">
        <f>IF(D73&gt;D75,"See Tab C","")</f>
        <v/>
      </c>
    </row>
    <row r="96" spans="2:10" hidden="1">
      <c r="C96" s="371" t="str">
        <f>IF(C74&lt;0,"See Tab B","")</f>
        <v/>
      </c>
      <c r="D96" s="371" t="str">
        <f>IF(D74&lt;0,"See Tab D","")</f>
        <v/>
      </c>
    </row>
  </sheetData>
  <sheetProtection sheet="1"/>
  <mergeCells count="14">
    <mergeCell ref="G24:J24"/>
    <mergeCell ref="G31:J31"/>
    <mergeCell ref="G41:J41"/>
    <mergeCell ref="G64:J64"/>
    <mergeCell ref="G71:J71"/>
    <mergeCell ref="C36:D36"/>
    <mergeCell ref="C37:D37"/>
    <mergeCell ref="C40:D40"/>
    <mergeCell ref="C80:D80"/>
    <mergeCell ref="G81:J81"/>
    <mergeCell ref="C81:D81"/>
    <mergeCell ref="C41:D41"/>
    <mergeCell ref="C76:D76"/>
    <mergeCell ref="C77:D77"/>
  </mergeCells>
  <phoneticPr fontId="0" type="noConversion"/>
  <conditionalFormatting sqref="E31">
    <cfRule type="cellIs" dxfId="176" priority="3" stopIfTrue="1" operator="greaterThan">
      <formula>$E$33*0.1</formula>
    </cfRule>
  </conditionalFormatting>
  <conditionalFormatting sqref="E36">
    <cfRule type="cellIs" dxfId="175" priority="4" stopIfTrue="1" operator="greaterThan">
      <formula>$E$33/0.95-$E$33</formula>
    </cfRule>
  </conditionalFormatting>
  <conditionalFormatting sqref="E71">
    <cfRule type="cellIs" dxfId="174" priority="5" stopIfTrue="1" operator="greaterThan">
      <formula>$E$73*0.1</formula>
    </cfRule>
  </conditionalFormatting>
  <conditionalFormatting sqref="E76">
    <cfRule type="cellIs" dxfId="173" priority="6" stopIfTrue="1" operator="greaterThan">
      <formula>$E$73/0.95-$E$73</formula>
    </cfRule>
  </conditionalFormatting>
  <conditionalFormatting sqref="D33">
    <cfRule type="cellIs" dxfId="172" priority="7" stopIfTrue="1" operator="greaterThan">
      <formula>$D$35</formula>
    </cfRule>
  </conditionalFormatting>
  <conditionalFormatting sqref="C33">
    <cfRule type="cellIs" dxfId="171" priority="8" stopIfTrue="1" operator="greaterThan">
      <formula>$C$35</formula>
    </cfRule>
  </conditionalFormatting>
  <conditionalFormatting sqref="C34 C74">
    <cfRule type="cellIs" dxfId="170" priority="9" stopIfTrue="1" operator="lessThan">
      <formula>0</formula>
    </cfRule>
  </conditionalFormatting>
  <conditionalFormatting sqref="D73">
    <cfRule type="cellIs" dxfId="169" priority="10" stopIfTrue="1" operator="greaterThan">
      <formula>$D$75</formula>
    </cfRule>
  </conditionalFormatting>
  <conditionalFormatting sqref="C73">
    <cfRule type="cellIs" dxfId="168" priority="11" stopIfTrue="1" operator="greaterThan">
      <formula>$C$75</formula>
    </cfRule>
  </conditionalFormatting>
  <conditionalFormatting sqref="C31">
    <cfRule type="cellIs" dxfId="167" priority="12" stopIfTrue="1" operator="greaterThan">
      <formula>$C$33*0.1</formula>
    </cfRule>
  </conditionalFormatting>
  <conditionalFormatting sqref="D31">
    <cfRule type="cellIs" dxfId="166" priority="13" stopIfTrue="1" operator="greaterThan">
      <formula>$D$33*0.1</formula>
    </cfRule>
  </conditionalFormatting>
  <conditionalFormatting sqref="C71">
    <cfRule type="cellIs" dxfId="165" priority="14" stopIfTrue="1" operator="greaterThan">
      <formula>$C$73*0.1</formula>
    </cfRule>
  </conditionalFormatting>
  <conditionalFormatting sqref="D71">
    <cfRule type="cellIs" dxfId="164" priority="15" stopIfTrue="1" operator="greaterThan">
      <formula>$D$73*0.1</formula>
    </cfRule>
  </conditionalFormatting>
  <conditionalFormatting sqref="D58">
    <cfRule type="cellIs" dxfId="163" priority="16" stopIfTrue="1" operator="greaterThan">
      <formula>$D$60*0.1</formula>
    </cfRule>
  </conditionalFormatting>
  <conditionalFormatting sqref="C58">
    <cfRule type="cellIs" dxfId="162" priority="17" stopIfTrue="1" operator="greaterThan">
      <formula>$C$60*0.1</formula>
    </cfRule>
  </conditionalFormatting>
  <conditionalFormatting sqref="D18">
    <cfRule type="cellIs" dxfId="161" priority="18" stopIfTrue="1" operator="greaterThan">
      <formula>$D$20*0.1</formula>
    </cfRule>
  </conditionalFormatting>
  <conditionalFormatting sqref="C18">
    <cfRule type="cellIs" dxfId="160" priority="19" stopIfTrue="1" operator="greaterThan">
      <formula>$C$20*0.1</formula>
    </cfRule>
  </conditionalFormatting>
  <conditionalFormatting sqref="E58">
    <cfRule type="cellIs" dxfId="159" priority="20" stopIfTrue="1" operator="greaterThan">
      <formula>$E$60*0.1+E80</formula>
    </cfRule>
  </conditionalFormatting>
  <conditionalFormatting sqref="E18">
    <cfRule type="cellIs" dxfId="158" priority="21" stopIfTrue="1" operator="greaterThan">
      <formula>$E$20*0.1+E40</formula>
    </cfRule>
  </conditionalFormatting>
  <conditionalFormatting sqref="D74 D34">
    <cfRule type="cellIs" dxfId="157" priority="2" stopIfTrue="1" operator="lessThan">
      <formula>0</formula>
    </cfRule>
  </conditionalFormatting>
  <pageMargins left="0.5" right="0.5" top="1" bottom="0.5" header="0.5" footer="0.5"/>
  <pageSetup scale="56" orientation="portrait" blackAndWhite="1" horizontalDpi="120" verticalDpi="144"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6"/>
  <sheetViews>
    <sheetView topLeftCell="A64" zoomScaleNormal="100" workbookViewId="0">
      <selection activeCell="J91" sqref="J91"/>
    </sheetView>
  </sheetViews>
  <sheetFormatPr defaultRowHeight="15.75"/>
  <cols>
    <col min="1" max="1" width="2.44140625" style="22" customWidth="1"/>
    <col min="2" max="2" width="31.109375" style="22" customWidth="1"/>
    <col min="3" max="4" width="15.77734375" style="22" customWidth="1"/>
    <col min="5" max="5" width="16.5546875" style="22" customWidth="1"/>
    <col min="6" max="6" width="8.88671875" style="22"/>
    <col min="7" max="7" width="10.21875" style="22" customWidth="1"/>
    <col min="8" max="8" width="8.88671875" style="22"/>
    <col min="9" max="9" width="5" style="22" customWidth="1"/>
    <col min="10" max="10" width="10" style="22" customWidth="1"/>
    <col min="11" max="16384" width="8.88671875" style="22"/>
  </cols>
  <sheetData>
    <row r="1" spans="2:5">
      <c r="B1" s="150" t="str">
        <f>(inputPrYr!D2)</f>
        <v>CITY OF HOXIE</v>
      </c>
      <c r="C1" s="21"/>
      <c r="D1" s="21"/>
      <c r="E1" s="210">
        <f>inputPrYr!C5</f>
        <v>2014</v>
      </c>
    </row>
    <row r="2" spans="2:5">
      <c r="B2" s="21"/>
      <c r="C2" s="21"/>
      <c r="D2" s="21"/>
      <c r="E2" s="146"/>
    </row>
    <row r="3" spans="2:5">
      <c r="B3" s="40" t="s">
        <v>91</v>
      </c>
      <c r="C3" s="168"/>
      <c r="D3" s="168"/>
      <c r="E3" s="255"/>
    </row>
    <row r="4" spans="2:5">
      <c r="B4" s="28" t="s">
        <v>24</v>
      </c>
      <c r="C4" s="658" t="s">
        <v>810</v>
      </c>
      <c r="D4" s="659" t="s">
        <v>813</v>
      </c>
      <c r="E4" s="124" t="s">
        <v>814</v>
      </c>
    </row>
    <row r="5" spans="2:5">
      <c r="B5" s="366">
        <f>inputPrYr!B27</f>
        <v>0</v>
      </c>
      <c r="C5" s="350" t="str">
        <f>CONCATENATE("Actual for ",E1-2,"")</f>
        <v>Actual for 2012</v>
      </c>
      <c r="D5" s="350" t="str">
        <f>CONCATENATE("Estimate for ",E1-1,"")</f>
        <v>Estimate for 2013</v>
      </c>
      <c r="E5" s="220" t="str">
        <f>CONCATENATE("Year for ",E1,"")</f>
        <v>Year for 2014</v>
      </c>
    </row>
    <row r="6" spans="2:5">
      <c r="B6" s="221" t="s">
        <v>146</v>
      </c>
      <c r="C6" s="222"/>
      <c r="D6" s="349">
        <f>C34</f>
        <v>0</v>
      </c>
      <c r="E6" s="191">
        <f>D34</f>
        <v>0</v>
      </c>
    </row>
    <row r="7" spans="2:5">
      <c r="B7" s="221" t="s">
        <v>148</v>
      </c>
      <c r="C7" s="138"/>
      <c r="D7" s="138"/>
      <c r="E7" s="67"/>
    </row>
    <row r="8" spans="2:5">
      <c r="B8" s="130" t="s">
        <v>25</v>
      </c>
      <c r="C8" s="222"/>
      <c r="D8" s="349">
        <f>IF(inputPrYr!H16&gt;0,inputPrYr!G27,inputPrYr!E27)</f>
        <v>0</v>
      </c>
      <c r="E8" s="252" t="s">
        <v>13</v>
      </c>
    </row>
    <row r="9" spans="2:5">
      <c r="B9" s="130" t="s">
        <v>26</v>
      </c>
      <c r="C9" s="222"/>
      <c r="D9" s="222"/>
      <c r="E9" s="49"/>
    </row>
    <row r="10" spans="2:5">
      <c r="B10" s="130" t="s">
        <v>27</v>
      </c>
      <c r="C10" s="222"/>
      <c r="D10" s="222"/>
      <c r="E10" s="191" t="str">
        <f>mvalloc!D16</f>
        <v xml:space="preserve">  </v>
      </c>
    </row>
    <row r="11" spans="2:5">
      <c r="B11" s="130" t="s">
        <v>28</v>
      </c>
      <c r="C11" s="222"/>
      <c r="D11" s="222"/>
      <c r="E11" s="191" t="str">
        <f>mvalloc!E16</f>
        <v xml:space="preserve"> </v>
      </c>
    </row>
    <row r="12" spans="2:5">
      <c r="B12" s="138" t="s">
        <v>123</v>
      </c>
      <c r="C12" s="222"/>
      <c r="D12" s="222"/>
      <c r="E12" s="191" t="str">
        <f>mvalloc!F16</f>
        <v xml:space="preserve"> </v>
      </c>
    </row>
    <row r="13" spans="2:5">
      <c r="B13" s="49"/>
      <c r="C13" s="222"/>
      <c r="D13" s="222"/>
      <c r="E13" s="49"/>
    </row>
    <row r="14" spans="2:5">
      <c r="B14" s="237"/>
      <c r="C14" s="222"/>
      <c r="D14" s="222"/>
      <c r="E14" s="49"/>
    </row>
    <row r="15" spans="2:5">
      <c r="B15" s="237"/>
      <c r="C15" s="222"/>
      <c r="D15" s="222"/>
      <c r="E15" s="49"/>
    </row>
    <row r="16" spans="2:5">
      <c r="B16" s="237"/>
      <c r="C16" s="222"/>
      <c r="D16" s="222"/>
      <c r="E16" s="49"/>
    </row>
    <row r="17" spans="2:10">
      <c r="B17" s="229" t="s">
        <v>31</v>
      </c>
      <c r="C17" s="222"/>
      <c r="D17" s="222"/>
      <c r="E17" s="49"/>
    </row>
    <row r="18" spans="2:10">
      <c r="B18" s="138" t="s">
        <v>270</v>
      </c>
      <c r="C18" s="222"/>
      <c r="D18" s="222"/>
      <c r="E18" s="49"/>
    </row>
    <row r="19" spans="2:10">
      <c r="B19" s="221" t="s">
        <v>793</v>
      </c>
      <c r="C19" s="351" t="str">
        <f>IF(C20*0.1&lt;C18,"Exceed 10% Rule","")</f>
        <v/>
      </c>
      <c r="D19" s="351" t="str">
        <f>IF(D20*0.1&lt;D18,"Exceed 10% Rule","")</f>
        <v/>
      </c>
      <c r="E19" s="368" t="str">
        <f>IF(E20*0.1+E40&lt;E18,"Exceed 10% Rule","")</f>
        <v/>
      </c>
    </row>
    <row r="20" spans="2:10">
      <c r="B20" s="231" t="s">
        <v>32</v>
      </c>
      <c r="C20" s="352">
        <f>SUM(C8:C18)</f>
        <v>0</v>
      </c>
      <c r="D20" s="352">
        <f>SUM(D8:D18)</f>
        <v>0</v>
      </c>
      <c r="E20" s="257">
        <f>SUM(E8:E18)</f>
        <v>0</v>
      </c>
    </row>
    <row r="21" spans="2:10">
      <c r="B21" s="231" t="s">
        <v>33</v>
      </c>
      <c r="C21" s="352">
        <f>C6+C20</f>
        <v>0</v>
      </c>
      <c r="D21" s="352">
        <f>D6+D20</f>
        <v>0</v>
      </c>
      <c r="E21" s="257">
        <f>E6+E20</f>
        <v>0</v>
      </c>
    </row>
    <row r="22" spans="2:10">
      <c r="B22" s="130" t="s">
        <v>35</v>
      </c>
      <c r="C22" s="238"/>
      <c r="D22" s="238"/>
      <c r="E22" s="47"/>
    </row>
    <row r="23" spans="2:10">
      <c r="B23" s="237"/>
      <c r="C23" s="222"/>
      <c r="D23" s="222"/>
      <c r="E23" s="49"/>
    </row>
    <row r="24" spans="2:10">
      <c r="B24" s="237"/>
      <c r="C24" s="222"/>
      <c r="D24" s="222"/>
      <c r="E24" s="49"/>
      <c r="G24" s="847" t="str">
        <f>CONCATENATE("Desired Carryover Into ",E1+1,"")</f>
        <v>Desired Carryover Into 2015</v>
      </c>
      <c r="H24" s="842"/>
      <c r="I24" s="842"/>
      <c r="J24" s="843"/>
    </row>
    <row r="25" spans="2:10">
      <c r="B25" s="237"/>
      <c r="C25" s="222"/>
      <c r="D25" s="222"/>
      <c r="E25" s="49"/>
      <c r="G25" s="699"/>
      <c r="H25" s="686"/>
      <c r="I25" s="693"/>
      <c r="J25" s="700"/>
    </row>
    <row r="26" spans="2:10">
      <c r="B26" s="237"/>
      <c r="C26" s="222"/>
      <c r="D26" s="222"/>
      <c r="E26" s="49"/>
      <c r="G26" s="698" t="s">
        <v>637</v>
      </c>
      <c r="H26" s="693"/>
      <c r="I26" s="693"/>
      <c r="J26" s="687">
        <v>0</v>
      </c>
    </row>
    <row r="27" spans="2:10">
      <c r="B27" s="237"/>
      <c r="C27" s="222"/>
      <c r="D27" s="222"/>
      <c r="E27" s="49"/>
      <c r="G27" s="699" t="s">
        <v>638</v>
      </c>
      <c r="H27" s="686"/>
      <c r="I27" s="686"/>
      <c r="J27" s="727" t="str">
        <f>IF(J26=0,"",ROUND((J26+E40-G39)/inputOth!E7*1000,3)-G44)</f>
        <v/>
      </c>
    </row>
    <row r="28" spans="2:10">
      <c r="B28" s="237"/>
      <c r="C28" s="222"/>
      <c r="D28" s="222"/>
      <c r="E28" s="49"/>
      <c r="G28" s="724" t="str">
        <f>CONCATENATE("",E1," Tot Exp/Non-Appr Must Be:")</f>
        <v>2014 Tot Exp/Non-Appr Must Be:</v>
      </c>
      <c r="H28" s="722"/>
      <c r="I28" s="723"/>
      <c r="J28" s="719">
        <f>IF(J26&gt;0,IF(E37&lt;E21,IF(J26=G39,E37,((J26-G39)*(1-D39))+E21),E37+(J26-G39)),0)</f>
        <v>0</v>
      </c>
    </row>
    <row r="29" spans="2:10">
      <c r="B29" s="237"/>
      <c r="C29" s="222"/>
      <c r="D29" s="222"/>
      <c r="E29" s="49"/>
      <c r="G29" s="589" t="s">
        <v>815</v>
      </c>
      <c r="H29" s="730"/>
      <c r="I29" s="730"/>
      <c r="J29" s="725">
        <f>IF(J26&gt;0,J28-E37,0)</f>
        <v>0</v>
      </c>
    </row>
    <row r="30" spans="2:10">
      <c r="B30" s="238" t="s">
        <v>271</v>
      </c>
      <c r="C30" s="222"/>
      <c r="D30" s="222"/>
      <c r="E30" s="56" t="str">
        <f>nhood!E15</f>
        <v/>
      </c>
      <c r="J30" s="676"/>
    </row>
    <row r="31" spans="2:10">
      <c r="B31" s="238" t="s">
        <v>270</v>
      </c>
      <c r="C31" s="222"/>
      <c r="D31" s="222"/>
      <c r="E31" s="49"/>
      <c r="G31" s="847" t="str">
        <f>CONCATENATE("Projected Carryover Into ",E1+1,"")</f>
        <v>Projected Carryover Into 2015</v>
      </c>
      <c r="H31" s="854"/>
      <c r="I31" s="854"/>
      <c r="J31" s="856"/>
    </row>
    <row r="32" spans="2:10">
      <c r="B32" s="238" t="s">
        <v>794</v>
      </c>
      <c r="C32" s="351" t="str">
        <f>IF(C33*0.1&lt;C31,"Exceed 10% Rule","")</f>
        <v/>
      </c>
      <c r="D32" s="351" t="str">
        <f>IF(D33*0.1&lt;D31,"Exceed 10% Rule","")</f>
        <v/>
      </c>
      <c r="E32" s="368" t="str">
        <f>IF(E33*0.1&lt;E31,"Exceed 10% Rule","")</f>
        <v/>
      </c>
      <c r="G32" s="699"/>
      <c r="H32" s="693"/>
      <c r="I32" s="693"/>
      <c r="J32" s="739"/>
    </row>
    <row r="33" spans="2:11">
      <c r="B33" s="231" t="s">
        <v>39</v>
      </c>
      <c r="C33" s="352">
        <f>SUM(C23:C31)</f>
        <v>0</v>
      </c>
      <c r="D33" s="352">
        <f>SUM(D23:D31)</f>
        <v>0</v>
      </c>
      <c r="E33" s="257">
        <f>SUM(E23:E31)</f>
        <v>0</v>
      </c>
      <c r="G33" s="690">
        <f>D34</f>
        <v>0</v>
      </c>
      <c r="H33" s="691" t="str">
        <f>CONCATENATE("",E1-1," Ending Cash Balance (est.)")</f>
        <v>2013 Ending Cash Balance (est.)</v>
      </c>
      <c r="I33" s="692"/>
      <c r="J33" s="739"/>
    </row>
    <row r="34" spans="2:11">
      <c r="B34" s="130" t="s">
        <v>147</v>
      </c>
      <c r="C34" s="349">
        <f>C21-C33</f>
        <v>0</v>
      </c>
      <c r="D34" s="349">
        <f>D21-D33</f>
        <v>0</v>
      </c>
      <c r="E34" s="252" t="s">
        <v>13</v>
      </c>
      <c r="G34" s="690">
        <f>E20</f>
        <v>0</v>
      </c>
      <c r="H34" s="693" t="str">
        <f>CONCATENATE("",E1," Non-AV Receipts (est.)")</f>
        <v>2014 Non-AV Receipts (est.)</v>
      </c>
      <c r="I34" s="692"/>
      <c r="J34" s="739"/>
    </row>
    <row r="35" spans="2:11">
      <c r="B35" s="118" t="str">
        <f>CONCATENATE("",$E$1-2,"/",$E$1-1," Budget Authority Amount:")</f>
        <v>2012/2013 Budget Authority Amount:</v>
      </c>
      <c r="C35" s="181">
        <f>inputOth!B70</f>
        <v>0</v>
      </c>
      <c r="D35" s="240">
        <f>inputPrYr!D27</f>
        <v>0</v>
      </c>
      <c r="E35" s="252" t="s">
        <v>13</v>
      </c>
      <c r="F35" s="241"/>
      <c r="G35" s="694">
        <f>IF(D39&gt;0,E38,E40)</f>
        <v>0</v>
      </c>
      <c r="H35" s="693" t="str">
        <f>CONCATENATE("",E1," Ad Valorem Tax (est.)")</f>
        <v>2014 Ad Valorem Tax (est.)</v>
      </c>
      <c r="I35" s="692"/>
      <c r="J35" s="739"/>
      <c r="K35" s="592" t="str">
        <f>IF(G35=E40,"","Note: Does not include Delinquent Taxes")</f>
        <v/>
      </c>
    </row>
    <row r="36" spans="2:11">
      <c r="B36" s="118"/>
      <c r="C36" s="835" t="s">
        <v>629</v>
      </c>
      <c r="D36" s="836"/>
      <c r="E36" s="49"/>
      <c r="F36" s="750" t="str">
        <f>IF(E33/0.95-E33&lt;E36,"Exceeds 5%","")</f>
        <v/>
      </c>
      <c r="G36" s="690">
        <f>SUM(G33:G35)</f>
        <v>0</v>
      </c>
      <c r="H36" s="693" t="str">
        <f>CONCATENATE("Total ",E1," Resources Available")</f>
        <v>Total 2014 Resources Available</v>
      </c>
      <c r="I36" s="692"/>
      <c r="J36" s="739"/>
    </row>
    <row r="37" spans="2:11">
      <c r="B37" s="370" t="str">
        <f>CONCATENATE(C93,"     ",D93)</f>
        <v xml:space="preserve">     </v>
      </c>
      <c r="C37" s="837" t="s">
        <v>630</v>
      </c>
      <c r="D37" s="838"/>
      <c r="E37" s="191">
        <f>E33+E36</f>
        <v>0</v>
      </c>
      <c r="G37" s="695"/>
      <c r="H37" s="693"/>
      <c r="I37" s="693"/>
      <c r="J37" s="739"/>
    </row>
    <row r="38" spans="2:11">
      <c r="B38" s="370" t="str">
        <f>CONCATENATE(C94,"     ",D94)</f>
        <v xml:space="preserve">     </v>
      </c>
      <c r="C38" s="242"/>
      <c r="D38" s="146" t="s">
        <v>40</v>
      </c>
      <c r="E38" s="191">
        <f>IF(E37-E21&gt;0,E37-E21,0)</f>
        <v>0</v>
      </c>
      <c r="G38" s="694">
        <f>ROUND(C33*0.05+C33,0)</f>
        <v>0</v>
      </c>
      <c r="H38" s="693" t="str">
        <f>CONCATENATE("Less ",E1-2," Expenditures + 5%")</f>
        <v>Less 2012 Expenditures + 5%</v>
      </c>
      <c r="I38" s="692"/>
      <c r="J38" s="739"/>
    </row>
    <row r="39" spans="2:11">
      <c r="B39" s="146"/>
      <c r="C39" s="356" t="s">
        <v>631</v>
      </c>
      <c r="D39" s="591">
        <f>inputOth!$E$47</f>
        <v>0.01</v>
      </c>
      <c r="E39" s="191">
        <f>ROUND(IF(D39&gt;0,(E38*D39),0),0)</f>
        <v>0</v>
      </c>
      <c r="G39" s="728">
        <f>G36-G38</f>
        <v>0</v>
      </c>
      <c r="H39" s="729" t="str">
        <f>CONCATENATE("Projected ",E1+1," carryover (est.)")</f>
        <v>Projected 2015 carryover (est.)</v>
      </c>
      <c r="I39" s="696"/>
      <c r="J39" s="737"/>
    </row>
    <row r="40" spans="2:11" ht="16.5" thickBot="1">
      <c r="B40" s="21"/>
      <c r="C40" s="839" t="str">
        <f>CONCATENATE("Amount of  ",$E$1-1," Ad Valorem Tax")</f>
        <v>Amount of  2013 Ad Valorem Tax</v>
      </c>
      <c r="D40" s="840"/>
      <c r="E40" s="258">
        <f>E38+E39</f>
        <v>0</v>
      </c>
      <c r="G40" s="676"/>
      <c r="H40" s="676"/>
      <c r="I40" s="676"/>
      <c r="J40" s="676"/>
    </row>
    <row r="41" spans="2:11" ht="16.5" thickTop="1">
      <c r="B41" s="21"/>
      <c r="C41" s="851"/>
      <c r="D41" s="851"/>
      <c r="E41" s="21"/>
      <c r="G41" s="844" t="s">
        <v>871</v>
      </c>
      <c r="H41" s="845"/>
      <c r="I41" s="845"/>
      <c r="J41" s="846"/>
    </row>
    <row r="42" spans="2:11">
      <c r="B42" s="21"/>
      <c r="C42" s="21"/>
      <c r="D42" s="21"/>
      <c r="E42" s="21"/>
      <c r="G42" s="732"/>
      <c r="H42" s="691"/>
      <c r="I42" s="720"/>
      <c r="J42" s="721"/>
    </row>
    <row r="43" spans="2:11">
      <c r="B43" s="28"/>
      <c r="C43" s="122"/>
      <c r="D43" s="122"/>
      <c r="E43" s="122"/>
      <c r="G43" s="734" t="str">
        <f>summ!H25</f>
        <v xml:space="preserve">  </v>
      </c>
      <c r="H43" s="691" t="str">
        <f>CONCATENATE("",E1," Fund Mill Rate")</f>
        <v>2014 Fund Mill Rate</v>
      </c>
      <c r="I43" s="720"/>
      <c r="J43" s="721"/>
    </row>
    <row r="44" spans="2:11">
      <c r="B44" s="28" t="s">
        <v>24</v>
      </c>
      <c r="C44" s="658" t="str">
        <f t="shared" ref="C44:E45" si="0">C4</f>
        <v xml:space="preserve">Prior Year </v>
      </c>
      <c r="D44" s="659" t="str">
        <f t="shared" si="0"/>
        <v xml:space="preserve">Current Year </v>
      </c>
      <c r="E44" s="124" t="str">
        <f t="shared" si="0"/>
        <v xml:space="preserve">Proposed Budget </v>
      </c>
      <c r="G44" s="733" t="str">
        <f>summ!E25</f>
        <v xml:space="preserve">  </v>
      </c>
      <c r="H44" s="691" t="str">
        <f>CONCATENATE("",E1-1," Fund Mill Rate")</f>
        <v>2013 Fund Mill Rate</v>
      </c>
      <c r="I44" s="720"/>
      <c r="J44" s="721"/>
    </row>
    <row r="45" spans="2:11">
      <c r="B45" s="367">
        <f>inputPrYr!B28</f>
        <v>0</v>
      </c>
      <c r="C45" s="350" t="str">
        <f t="shared" si="0"/>
        <v>Actual for 2012</v>
      </c>
      <c r="D45" s="350" t="str">
        <f t="shared" si="0"/>
        <v>Estimate for 2013</v>
      </c>
      <c r="E45" s="177" t="str">
        <f t="shared" si="0"/>
        <v>Year for 2014</v>
      </c>
      <c r="G45" s="735">
        <f>summ!H43</f>
        <v>46.652000000000001</v>
      </c>
      <c r="H45" s="691" t="str">
        <f>CONCATENATE("Total ",E1," Mill Rate")</f>
        <v>Total 2014 Mill Rate</v>
      </c>
      <c r="I45" s="720"/>
      <c r="J45" s="721"/>
    </row>
    <row r="46" spans="2:11">
      <c r="B46" s="221" t="s">
        <v>146</v>
      </c>
      <c r="C46" s="222"/>
      <c r="D46" s="349">
        <f>C74</f>
        <v>0</v>
      </c>
      <c r="E46" s="191">
        <f>D74</f>
        <v>0</v>
      </c>
      <c r="G46" s="733">
        <f>summ!E43</f>
        <v>48.61</v>
      </c>
      <c r="H46" s="716" t="str">
        <f>CONCATENATE("Total ",E1-1," Mill Rate")</f>
        <v>Total 2013 Mill Rate</v>
      </c>
      <c r="I46" s="717"/>
      <c r="J46" s="718"/>
    </row>
    <row r="47" spans="2:11">
      <c r="B47" s="224" t="s">
        <v>148</v>
      </c>
      <c r="C47" s="138"/>
      <c r="D47" s="138"/>
      <c r="E47" s="67"/>
    </row>
    <row r="48" spans="2:11">
      <c r="B48" s="130" t="s">
        <v>25</v>
      </c>
      <c r="C48" s="222"/>
      <c r="D48" s="349">
        <f>IF(inputPrYr!H16&gt;0,inputPrYr!G28,inputPrYr!E28)</f>
        <v>0</v>
      </c>
      <c r="E48" s="252" t="s">
        <v>13</v>
      </c>
      <c r="G48" s="779" t="s">
        <v>977</v>
      </c>
      <c r="H48" s="773"/>
      <c r="I48" s="772" t="str">
        <f>cert!F49</f>
        <v>No</v>
      </c>
    </row>
    <row r="49" spans="2:10">
      <c r="B49" s="130" t="s">
        <v>26</v>
      </c>
      <c r="C49" s="222"/>
      <c r="D49" s="222"/>
      <c r="E49" s="49"/>
    </row>
    <row r="50" spans="2:10">
      <c r="B50" s="130" t="s">
        <v>27</v>
      </c>
      <c r="C50" s="222"/>
      <c r="D50" s="222"/>
      <c r="E50" s="191" t="str">
        <f>mvalloc!D17</f>
        <v xml:space="preserve">  </v>
      </c>
    </row>
    <row r="51" spans="2:10">
      <c r="B51" s="130" t="s">
        <v>28</v>
      </c>
      <c r="C51" s="222"/>
      <c r="D51" s="222"/>
      <c r="E51" s="191" t="str">
        <f>mvalloc!E17</f>
        <v xml:space="preserve"> </v>
      </c>
    </row>
    <row r="52" spans="2:10">
      <c r="B52" s="138" t="s">
        <v>123</v>
      </c>
      <c r="C52" s="222"/>
      <c r="D52" s="222"/>
      <c r="E52" s="191" t="str">
        <f>mvalloc!F17</f>
        <v xml:space="preserve"> </v>
      </c>
    </row>
    <row r="53" spans="2:10">
      <c r="B53" s="49"/>
      <c r="C53" s="222"/>
      <c r="D53" s="222"/>
      <c r="E53" s="49"/>
    </row>
    <row r="54" spans="2:10">
      <c r="B54" s="237"/>
      <c r="C54" s="222"/>
      <c r="D54" s="222"/>
      <c r="E54" s="49"/>
    </row>
    <row r="55" spans="2:10">
      <c r="B55" s="261"/>
      <c r="C55" s="222"/>
      <c r="D55" s="222"/>
      <c r="E55" s="49"/>
    </row>
    <row r="56" spans="2:10">
      <c r="B56" s="261"/>
      <c r="C56" s="222"/>
      <c r="D56" s="222"/>
      <c r="E56" s="49"/>
    </row>
    <row r="57" spans="2:10">
      <c r="B57" s="229" t="s">
        <v>31</v>
      </c>
      <c r="C57" s="222"/>
      <c r="D57" s="222"/>
      <c r="E57" s="49"/>
    </row>
    <row r="58" spans="2:10">
      <c r="B58" s="138" t="s">
        <v>270</v>
      </c>
      <c r="C58" s="222"/>
      <c r="D58" s="222"/>
      <c r="E58" s="49"/>
    </row>
    <row r="59" spans="2:10">
      <c r="B59" s="221" t="s">
        <v>793</v>
      </c>
      <c r="C59" s="351" t="str">
        <f>IF(C60*0.1&lt;C58,"Exceed 10% Rule","")</f>
        <v/>
      </c>
      <c r="D59" s="351" t="str">
        <f>IF(D60*0.1&lt;D58,"Exceed 10% Rule","")</f>
        <v/>
      </c>
      <c r="E59" s="368" t="str">
        <f>IF(E60*0.1+E80&lt;E58,"Exceed 10% Rule","")</f>
        <v/>
      </c>
    </row>
    <row r="60" spans="2:10">
      <c r="B60" s="231" t="s">
        <v>32</v>
      </c>
      <c r="C60" s="352">
        <f>SUM(C48:C58)</f>
        <v>0</v>
      </c>
      <c r="D60" s="352">
        <f>SUM(D48:D58)</f>
        <v>0</v>
      </c>
      <c r="E60" s="257">
        <f>SUM(E48:E58)</f>
        <v>0</v>
      </c>
    </row>
    <row r="61" spans="2:10">
      <c r="B61" s="231" t="s">
        <v>33</v>
      </c>
      <c r="C61" s="352">
        <f>C46+C60</f>
        <v>0</v>
      </c>
      <c r="D61" s="352">
        <f>D46+D60</f>
        <v>0</v>
      </c>
      <c r="E61" s="257">
        <f>E46+E60</f>
        <v>0</v>
      </c>
    </row>
    <row r="62" spans="2:10">
      <c r="B62" s="130" t="s">
        <v>35</v>
      </c>
      <c r="C62" s="238"/>
      <c r="D62" s="238"/>
      <c r="E62" s="47"/>
    </row>
    <row r="63" spans="2:10">
      <c r="B63" s="237"/>
      <c r="C63" s="222"/>
      <c r="D63" s="222"/>
      <c r="E63" s="49"/>
    </row>
    <row r="64" spans="2:10">
      <c r="B64" s="237"/>
      <c r="C64" s="222"/>
      <c r="D64" s="222"/>
      <c r="E64" s="49"/>
      <c r="G64" s="847" t="str">
        <f>CONCATENATE("Desired Carryover Into ",E1+1,"")</f>
        <v>Desired Carryover Into 2015</v>
      </c>
      <c r="H64" s="842"/>
      <c r="I64" s="842"/>
      <c r="J64" s="843"/>
    </row>
    <row r="65" spans="2:11">
      <c r="B65" s="237"/>
      <c r="C65" s="222"/>
      <c r="D65" s="222"/>
      <c r="E65" s="49"/>
      <c r="G65" s="699"/>
      <c r="H65" s="686"/>
      <c r="I65" s="693"/>
      <c r="J65" s="700"/>
    </row>
    <row r="66" spans="2:11">
      <c r="B66" s="237"/>
      <c r="C66" s="222"/>
      <c r="D66" s="222"/>
      <c r="E66" s="49"/>
      <c r="G66" s="698" t="s">
        <v>637</v>
      </c>
      <c r="H66" s="693"/>
      <c r="I66" s="693"/>
      <c r="J66" s="687">
        <v>0</v>
      </c>
    </row>
    <row r="67" spans="2:11">
      <c r="B67" s="237"/>
      <c r="C67" s="222"/>
      <c r="D67" s="222"/>
      <c r="E67" s="49"/>
      <c r="G67" s="699" t="s">
        <v>638</v>
      </c>
      <c r="H67" s="686"/>
      <c r="I67" s="686"/>
      <c r="J67" s="727" t="str">
        <f>IF(J66=0,"",ROUND((J66+E80-G79)/inputOth!E7*1000,3)-G84)</f>
        <v/>
      </c>
    </row>
    <row r="68" spans="2:11">
      <c r="B68" s="237"/>
      <c r="C68" s="222"/>
      <c r="D68" s="222"/>
      <c r="E68" s="49"/>
      <c r="G68" s="724" t="str">
        <f>CONCATENATE("",E1," Tot Exp/Non-Appr Must Be:")</f>
        <v>2014 Tot Exp/Non-Appr Must Be:</v>
      </c>
      <c r="H68" s="722"/>
      <c r="I68" s="723"/>
      <c r="J68" s="719">
        <f>IF(J66&gt;0,IF(E77&lt;E61,IF(J66=G79,E77,((J66-G79)*(1-D79))+E61),E77+(J66-G79)),0)</f>
        <v>0</v>
      </c>
    </row>
    <row r="69" spans="2:11">
      <c r="B69" s="237"/>
      <c r="C69" s="222"/>
      <c r="D69" s="222"/>
      <c r="E69" s="49"/>
      <c r="G69" s="589" t="s">
        <v>815</v>
      </c>
      <c r="H69" s="730"/>
      <c r="I69" s="730"/>
      <c r="J69" s="725">
        <f>IF(J66&gt;0,J68-E77,0)</f>
        <v>0</v>
      </c>
    </row>
    <row r="70" spans="2:11">
      <c r="B70" s="238" t="s">
        <v>271</v>
      </c>
      <c r="C70" s="222"/>
      <c r="D70" s="222"/>
      <c r="E70" s="56" t="str">
        <f>nhood!E16</f>
        <v/>
      </c>
      <c r="J70" s="676"/>
    </row>
    <row r="71" spans="2:11">
      <c r="B71" s="238" t="s">
        <v>270</v>
      </c>
      <c r="C71" s="222"/>
      <c r="D71" s="222"/>
      <c r="E71" s="49"/>
      <c r="G71" s="847" t="str">
        <f>CONCATENATE("Projected Carryover Into ",E1+1,"")</f>
        <v>Projected Carryover Into 2015</v>
      </c>
      <c r="H71" s="857"/>
      <c r="I71" s="857"/>
      <c r="J71" s="856"/>
    </row>
    <row r="72" spans="2:11">
      <c r="B72" s="238" t="s">
        <v>794</v>
      </c>
      <c r="C72" s="351" t="str">
        <f>IF(C73*0.1&lt;C71,"Exceed 10% Rule","")</f>
        <v/>
      </c>
      <c r="D72" s="351" t="str">
        <f>IF(D73*0.1&lt;D71,"Exceed 10% Rule","")</f>
        <v/>
      </c>
      <c r="E72" s="368" t="str">
        <f>IF(E73*0.1&lt;E71,"Exceed 10% Rule","")</f>
        <v/>
      </c>
      <c r="G72" s="688"/>
      <c r="H72" s="686"/>
      <c r="I72" s="686"/>
      <c r="J72" s="739"/>
    </row>
    <row r="73" spans="2:11">
      <c r="B73" s="231" t="s">
        <v>39</v>
      </c>
      <c r="C73" s="352">
        <f>SUM(C63:C71)</f>
        <v>0</v>
      </c>
      <c r="D73" s="352">
        <f>SUM(D63:D71)</f>
        <v>0</v>
      </c>
      <c r="E73" s="257">
        <f>SUM(E63:E71)</f>
        <v>0</v>
      </c>
      <c r="G73" s="690">
        <f>D74</f>
        <v>0</v>
      </c>
      <c r="H73" s="691" t="str">
        <f>CONCATENATE("",E1-1," Ending Cash Balance (est.)")</f>
        <v>2013 Ending Cash Balance (est.)</v>
      </c>
      <c r="I73" s="692"/>
      <c r="J73" s="739"/>
    </row>
    <row r="74" spans="2:11">
      <c r="B74" s="130" t="s">
        <v>147</v>
      </c>
      <c r="C74" s="349">
        <f>C61-C73</f>
        <v>0</v>
      </c>
      <c r="D74" s="349">
        <f>D61-D73</f>
        <v>0</v>
      </c>
      <c r="E74" s="252" t="s">
        <v>13</v>
      </c>
      <c r="G74" s="690">
        <f>E60</f>
        <v>0</v>
      </c>
      <c r="H74" s="693" t="str">
        <f>CONCATENATE("",E1," Non-AV Receipts (est.)")</f>
        <v>2014 Non-AV Receipts (est.)</v>
      </c>
      <c r="I74" s="692"/>
      <c r="J74" s="739"/>
    </row>
    <row r="75" spans="2:11">
      <c r="B75" s="118" t="str">
        <f>CONCATENATE("",$E$1-2,"/",$E$1-1," Budget Authority Amount:")</f>
        <v>2012/2013 Budget Authority Amount:</v>
      </c>
      <c r="C75" s="181">
        <f>inputOth!B71</f>
        <v>0</v>
      </c>
      <c r="D75" s="240">
        <f>inputPrYr!D28</f>
        <v>0</v>
      </c>
      <c r="E75" s="252" t="s">
        <v>13</v>
      </c>
      <c r="F75" s="241"/>
      <c r="G75" s="694">
        <f>IF(D79&gt;0,E78,E80)</f>
        <v>0</v>
      </c>
      <c r="H75" s="693" t="str">
        <f>CONCATENATE("",E1," Ad Valorem Tax (est.)")</f>
        <v>2014 Ad Valorem Tax (est.)</v>
      </c>
      <c r="I75" s="692"/>
      <c r="J75" s="739"/>
      <c r="K75" s="592" t="str">
        <f>IF(G75=E80,"","Note: Does not include Delinquent Taxes")</f>
        <v/>
      </c>
    </row>
    <row r="76" spans="2:11">
      <c r="B76" s="118"/>
      <c r="C76" s="835" t="s">
        <v>629</v>
      </c>
      <c r="D76" s="836"/>
      <c r="E76" s="48"/>
      <c r="F76" s="750" t="str">
        <f>IF(E73/0.95-E73&lt;E76,"Exceeds 5%","")</f>
        <v/>
      </c>
      <c r="G76" s="701">
        <f>SUM(G73:G75)</f>
        <v>0</v>
      </c>
      <c r="H76" s="693" t="str">
        <f>CONCATENATE("Total ",E1," Resources Available")</f>
        <v>Total 2014 Resources Available</v>
      </c>
      <c r="I76" s="689"/>
      <c r="J76" s="739"/>
    </row>
    <row r="77" spans="2:11">
      <c r="B77" s="370" t="str">
        <f>CONCATENATE(C95,"     ",D95)</f>
        <v xml:space="preserve">     </v>
      </c>
      <c r="C77" s="837" t="s">
        <v>630</v>
      </c>
      <c r="D77" s="838"/>
      <c r="E77" s="191">
        <f>E73+E76</f>
        <v>0</v>
      </c>
      <c r="G77" s="704"/>
      <c r="H77" s="702"/>
      <c r="I77" s="686"/>
      <c r="J77" s="739"/>
    </row>
    <row r="78" spans="2:11">
      <c r="B78" s="370" t="str">
        <f>CONCATENATE(C96,"     ",D96)</f>
        <v xml:space="preserve">     </v>
      </c>
      <c r="C78" s="242"/>
      <c r="D78" s="146" t="s">
        <v>40</v>
      </c>
      <c r="E78" s="191">
        <f>IF(E77-E61&gt;0,E77-E61,0)</f>
        <v>0</v>
      </c>
      <c r="G78" s="703">
        <f>ROUND(C73*0.05+C73,0)</f>
        <v>0</v>
      </c>
      <c r="H78" s="702" t="str">
        <f>CONCATENATE("Less ",E1-2," Expenditures + 5%")</f>
        <v>Less 2012 Expenditures + 5%</v>
      </c>
      <c r="I78" s="689"/>
      <c r="J78" s="739"/>
    </row>
    <row r="79" spans="2:11">
      <c r="B79" s="146"/>
      <c r="C79" s="356" t="s">
        <v>631</v>
      </c>
      <c r="D79" s="591">
        <f>inputOth!$E$47</f>
        <v>0.01</v>
      </c>
      <c r="E79" s="191">
        <f>ROUND(IF(D79&gt;0,(E78*D79),0),0)</f>
        <v>0</v>
      </c>
      <c r="G79" s="705">
        <f>G76-G78</f>
        <v>0</v>
      </c>
      <c r="H79" s="706" t="str">
        <f>CONCATENATE("Projected ",E1+1," carryover (est.)")</f>
        <v>Projected 2015 carryover (est.)</v>
      </c>
      <c r="I79" s="697"/>
      <c r="J79" s="737"/>
    </row>
    <row r="80" spans="2:11" ht="16.5" thickBot="1">
      <c r="B80" s="21"/>
      <c r="C80" s="839" t="str">
        <f>CONCATENATE("Amount of  ",$E$1-1," Ad Valorem Tax")</f>
        <v>Amount of  2013 Ad Valorem Tax</v>
      </c>
      <c r="D80" s="840"/>
      <c r="E80" s="258">
        <f>E78+E79</f>
        <v>0</v>
      </c>
      <c r="G80" s="676"/>
      <c r="H80" s="676"/>
      <c r="I80" s="676"/>
    </row>
    <row r="81" spans="2:10" ht="16.5" thickTop="1">
      <c r="B81" s="21"/>
      <c r="C81" s="851"/>
      <c r="D81" s="851"/>
      <c r="E81" s="21"/>
      <c r="G81" s="844" t="s">
        <v>871</v>
      </c>
      <c r="H81" s="845"/>
      <c r="I81" s="845"/>
      <c r="J81" s="846"/>
    </row>
    <row r="82" spans="2:10">
      <c r="B82" s="21"/>
      <c r="C82" s="21"/>
      <c r="D82" s="21"/>
      <c r="E82" s="21"/>
      <c r="G82" s="732"/>
      <c r="H82" s="691"/>
      <c r="I82" s="720"/>
      <c r="J82" s="721"/>
    </row>
    <row r="83" spans="2:10">
      <c r="B83" s="118" t="s">
        <v>42</v>
      </c>
      <c r="C83" s="248"/>
      <c r="D83" s="21"/>
      <c r="E83" s="21"/>
      <c r="G83" s="734" t="str">
        <f>summ!H26</f>
        <v xml:space="preserve">  </v>
      </c>
      <c r="H83" s="691" t="str">
        <f>CONCATENATE("",E1," Fund Mill Rate")</f>
        <v>2014 Fund Mill Rate</v>
      </c>
      <c r="I83" s="720"/>
      <c r="J83" s="721"/>
    </row>
    <row r="84" spans="2:10">
      <c r="G84" s="733" t="str">
        <f>summ!E26</f>
        <v xml:space="preserve">  </v>
      </c>
      <c r="H84" s="691" t="str">
        <f>CONCATENATE("",E1-1," Fund Mill Rate")</f>
        <v>2013 Fund Mill Rate</v>
      </c>
      <c r="I84" s="720"/>
      <c r="J84" s="721"/>
    </row>
    <row r="85" spans="2:10">
      <c r="G85" s="735">
        <f>summ!H43</f>
        <v>46.652000000000001</v>
      </c>
      <c r="H85" s="691" t="str">
        <f>CONCATENATE("Total ",E1," Mill Rate")</f>
        <v>Total 2014 Mill Rate</v>
      </c>
      <c r="I85" s="720"/>
      <c r="J85" s="721"/>
    </row>
    <row r="86" spans="2:10">
      <c r="G86" s="733">
        <f>summ!E43</f>
        <v>48.61</v>
      </c>
      <c r="H86" s="716" t="str">
        <f>CONCATENATE("Total ",E1-1," Mill Rate")</f>
        <v>Total 2013 Mill Rate</v>
      </c>
      <c r="I86" s="717"/>
      <c r="J86" s="718"/>
    </row>
    <row r="88" spans="2:10">
      <c r="G88" s="779" t="s">
        <v>977</v>
      </c>
      <c r="H88" s="775"/>
      <c r="I88" s="774" t="str">
        <f>cert!F49</f>
        <v>No</v>
      </c>
    </row>
    <row r="93" spans="2:10" hidden="1">
      <c r="C93" s="371" t="str">
        <f>IF(C33&gt;C35,"See Tab A","")</f>
        <v/>
      </c>
      <c r="D93" s="371" t="str">
        <f>IF(D33&gt;D35,"See Tab C","")</f>
        <v/>
      </c>
    </row>
    <row r="94" spans="2:10" hidden="1">
      <c r="C94" s="371" t="str">
        <f>IF(C34&lt;0,"See Tab B","")</f>
        <v/>
      </c>
      <c r="D94" s="371" t="str">
        <f>IF(D34&lt;0,"See Tab D","")</f>
        <v/>
      </c>
    </row>
    <row r="95" spans="2:10" hidden="1">
      <c r="C95" s="371" t="str">
        <f>IF(C73&gt;C75,"See Tab A","")</f>
        <v/>
      </c>
      <c r="D95" s="371" t="str">
        <f>IF(D73&gt;D75,"See Tab C","")</f>
        <v/>
      </c>
    </row>
    <row r="96" spans="2:10" hidden="1">
      <c r="C96" s="371" t="str">
        <f>IF(C74&lt;0,"See Tab B","")</f>
        <v/>
      </c>
      <c r="D96" s="371" t="str">
        <f>IF(D74&lt;0,"See Tab D","")</f>
        <v/>
      </c>
    </row>
  </sheetData>
  <sheetProtection sheet="1"/>
  <mergeCells count="14">
    <mergeCell ref="G24:J24"/>
    <mergeCell ref="G31:J31"/>
    <mergeCell ref="G41:J41"/>
    <mergeCell ref="G64:J64"/>
    <mergeCell ref="G71:J71"/>
    <mergeCell ref="C36:D36"/>
    <mergeCell ref="C37:D37"/>
    <mergeCell ref="C80:D80"/>
    <mergeCell ref="C40:D40"/>
    <mergeCell ref="G81:J81"/>
    <mergeCell ref="C81:D81"/>
    <mergeCell ref="C41:D41"/>
    <mergeCell ref="C76:D76"/>
    <mergeCell ref="C77:D77"/>
  </mergeCells>
  <phoneticPr fontId="0" type="noConversion"/>
  <conditionalFormatting sqref="E31">
    <cfRule type="cellIs" dxfId="156" priority="5" stopIfTrue="1" operator="greaterThan">
      <formula>$E$33*0.1</formula>
    </cfRule>
  </conditionalFormatting>
  <conditionalFormatting sqref="E36">
    <cfRule type="cellIs" dxfId="155" priority="6" stopIfTrue="1" operator="greaterThan">
      <formula>$E$33/0.95-$E$33</formula>
    </cfRule>
  </conditionalFormatting>
  <conditionalFormatting sqref="E71">
    <cfRule type="cellIs" dxfId="154" priority="7" stopIfTrue="1" operator="greaterThan">
      <formula>$E$73*0.1</formula>
    </cfRule>
  </conditionalFormatting>
  <conditionalFormatting sqref="E76">
    <cfRule type="cellIs" dxfId="153" priority="8" stopIfTrue="1" operator="greaterThan">
      <formula>$E$73/0.95-$E$73</formula>
    </cfRule>
  </conditionalFormatting>
  <conditionalFormatting sqref="D33">
    <cfRule type="cellIs" dxfId="152" priority="9" stopIfTrue="1" operator="greaterThan">
      <formula>$D$35</formula>
    </cfRule>
  </conditionalFormatting>
  <conditionalFormatting sqref="C33">
    <cfRule type="cellIs" dxfId="151" priority="10" stopIfTrue="1" operator="greaterThan">
      <formula>$C$35</formula>
    </cfRule>
  </conditionalFormatting>
  <conditionalFormatting sqref="C34 C74">
    <cfRule type="cellIs" dxfId="150" priority="11" stopIfTrue="1" operator="lessThan">
      <formula>0</formula>
    </cfRule>
  </conditionalFormatting>
  <conditionalFormatting sqref="D73">
    <cfRule type="cellIs" dxfId="149" priority="12" stopIfTrue="1" operator="greaterThan">
      <formula>$D$75</formula>
    </cfRule>
  </conditionalFormatting>
  <conditionalFormatting sqref="C73">
    <cfRule type="cellIs" dxfId="148" priority="13" stopIfTrue="1" operator="greaterThan">
      <formula>$C$75</formula>
    </cfRule>
  </conditionalFormatting>
  <conditionalFormatting sqref="C71">
    <cfRule type="cellIs" dxfId="147" priority="14" stopIfTrue="1" operator="greaterThan">
      <formula>$C$73*0.1</formula>
    </cfRule>
  </conditionalFormatting>
  <conditionalFormatting sqref="D71">
    <cfRule type="cellIs" dxfId="146" priority="15" stopIfTrue="1" operator="greaterThan">
      <formula>$D$73*0.1</formula>
    </cfRule>
  </conditionalFormatting>
  <conditionalFormatting sqref="C31">
    <cfRule type="cellIs" dxfId="145" priority="16" stopIfTrue="1" operator="greaterThan">
      <formula>$C$33*0.1</formula>
    </cfRule>
  </conditionalFormatting>
  <conditionalFormatting sqref="D31">
    <cfRule type="cellIs" dxfId="144" priority="17" stopIfTrue="1" operator="greaterThan">
      <formula>$D$33*0.1</formula>
    </cfRule>
  </conditionalFormatting>
  <conditionalFormatting sqref="D58">
    <cfRule type="cellIs" dxfId="143" priority="18" stopIfTrue="1" operator="greaterThan">
      <formula>$D$60*0.1</formula>
    </cfRule>
  </conditionalFormatting>
  <conditionalFormatting sqref="C58">
    <cfRule type="cellIs" dxfId="142" priority="19" stopIfTrue="1" operator="greaterThan">
      <formula>$C$60*0.1</formula>
    </cfRule>
  </conditionalFormatting>
  <conditionalFormatting sqref="D18">
    <cfRule type="cellIs" dxfId="141" priority="20" stopIfTrue="1" operator="greaterThan">
      <formula>$D$20*0.1</formula>
    </cfRule>
  </conditionalFormatting>
  <conditionalFormatting sqref="C18">
    <cfRule type="cellIs" dxfId="140" priority="21" stopIfTrue="1" operator="greaterThan">
      <formula>$C$20*0.1</formula>
    </cfRule>
  </conditionalFormatting>
  <conditionalFormatting sqref="E58">
    <cfRule type="cellIs" dxfId="139" priority="22" stopIfTrue="1" operator="greaterThan">
      <formula>$E$60*0.1+E80</formula>
    </cfRule>
  </conditionalFormatting>
  <conditionalFormatting sqref="E18">
    <cfRule type="cellIs" dxfId="138" priority="23" stopIfTrue="1" operator="greaterThan">
      <formula>$E$20*0.1+E40</formula>
    </cfRule>
  </conditionalFormatting>
  <conditionalFormatting sqref="D74 D34">
    <cfRule type="cellIs" dxfId="137" priority="2" stopIfTrue="1" operator="lessThan">
      <formula>0</formula>
    </cfRule>
    <cfRule type="cellIs" dxfId="136" priority="4" stopIfTrue="1" operator="lessThan">
      <formula>0</formula>
    </cfRule>
  </conditionalFormatting>
  <pageMargins left="0.5" right="0.5" top="1" bottom="0.5" header="0.5" footer="0.5"/>
  <pageSetup scale="56" orientation="portrait" blackAndWhite="1" horizontalDpi="120" verticalDpi="144"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topLeftCell="A34" zoomScale="90" zoomScaleNormal="90" workbookViewId="0">
      <selection activeCell="B53" sqref="B53"/>
    </sheetView>
  </sheetViews>
  <sheetFormatPr defaultRowHeight="15.75"/>
  <cols>
    <col min="1" max="1" width="15.77734375" style="22" customWidth="1"/>
    <col min="2" max="2" width="20.77734375" style="22" customWidth="1"/>
    <col min="3" max="3" width="9.77734375" style="22" customWidth="1"/>
    <col min="4" max="4" width="15.109375" style="22" customWidth="1"/>
    <col min="5" max="5" width="15.77734375" style="22" customWidth="1"/>
    <col min="6" max="6" width="1.88671875" style="22" customWidth="1"/>
    <col min="7" max="7" width="18.6640625" style="22" customWidth="1"/>
    <col min="8" max="16384" width="8.88671875" style="22"/>
  </cols>
  <sheetData>
    <row r="1" spans="1:8">
      <c r="A1" s="20" t="s">
        <v>213</v>
      </c>
      <c r="B1" s="21"/>
      <c r="C1" s="21"/>
      <c r="D1" s="21"/>
      <c r="E1" s="21"/>
    </row>
    <row r="2" spans="1:8">
      <c r="A2" s="23" t="s">
        <v>250</v>
      </c>
      <c r="B2" s="21"/>
      <c r="C2" s="21"/>
      <c r="D2" s="24" t="s">
        <v>985</v>
      </c>
      <c r="E2" s="25"/>
    </row>
    <row r="3" spans="1:8">
      <c r="A3" s="23" t="s">
        <v>251</v>
      </c>
      <c r="B3" s="21"/>
      <c r="C3" s="21"/>
      <c r="D3" s="26" t="s">
        <v>986</v>
      </c>
      <c r="E3" s="27"/>
    </row>
    <row r="4" spans="1:8">
      <c r="A4" s="28"/>
      <c r="B4" s="21"/>
      <c r="C4" s="21"/>
      <c r="D4" s="29"/>
      <c r="E4" s="21"/>
    </row>
    <row r="5" spans="1:8">
      <c r="A5" s="23" t="s">
        <v>173</v>
      </c>
      <c r="B5" s="21"/>
      <c r="C5" s="30">
        <v>2014</v>
      </c>
      <c r="D5" s="29"/>
      <c r="E5" s="21"/>
    </row>
    <row r="6" spans="1:8">
      <c r="A6" s="21"/>
      <c r="B6" s="21"/>
      <c r="C6" s="21"/>
      <c r="D6" s="21"/>
      <c r="E6" s="21"/>
    </row>
    <row r="7" spans="1:8">
      <c r="A7" s="31" t="s">
        <v>348</v>
      </c>
      <c r="B7" s="32"/>
      <c r="C7" s="32"/>
      <c r="D7" s="32"/>
      <c r="E7" s="32"/>
    </row>
    <row r="8" spans="1:8" ht="15.75" customHeight="1">
      <c r="A8" s="31" t="s">
        <v>347</v>
      </c>
      <c r="B8" s="32"/>
      <c r="C8" s="32"/>
      <c r="D8" s="32"/>
      <c r="E8" s="32"/>
      <c r="F8" s="550"/>
      <c r="G8" s="794" t="s">
        <v>886</v>
      </c>
      <c r="H8" s="795"/>
    </row>
    <row r="9" spans="1:8">
      <c r="A9" s="33"/>
      <c r="B9" s="32"/>
      <c r="C9" s="32"/>
      <c r="D9" s="32"/>
      <c r="E9" s="32"/>
      <c r="F9" s="550"/>
      <c r="G9" s="796"/>
      <c r="H9" s="795"/>
    </row>
    <row r="10" spans="1:8">
      <c r="A10" s="792" t="s">
        <v>244</v>
      </c>
      <c r="B10" s="793"/>
      <c r="C10" s="793"/>
      <c r="D10" s="793"/>
      <c r="E10" s="793"/>
      <c r="F10" s="550"/>
      <c r="G10" s="796"/>
      <c r="H10" s="795"/>
    </row>
    <row r="11" spans="1:8">
      <c r="A11" s="34"/>
      <c r="B11" s="34"/>
      <c r="C11" s="34"/>
      <c r="D11" s="34"/>
      <c r="E11" s="34"/>
      <c r="F11" s="550"/>
      <c r="G11" s="796"/>
      <c r="H11" s="795"/>
    </row>
    <row r="12" spans="1:8">
      <c r="A12" s="35" t="s">
        <v>245</v>
      </c>
      <c r="B12" s="36"/>
      <c r="C12" s="21"/>
      <c r="D12" s="21"/>
      <c r="E12" s="21"/>
      <c r="F12" s="550"/>
      <c r="G12" s="796"/>
      <c r="H12" s="795"/>
    </row>
    <row r="13" spans="1:8">
      <c r="A13" s="37" t="str">
        <f>CONCATENATE("the ",C5-1," Budget, Certificate Page:")</f>
        <v>the 2013 Budget, Certificate Page:</v>
      </c>
      <c r="B13" s="38"/>
      <c r="C13" s="39"/>
      <c r="D13" s="21"/>
      <c r="E13" s="21"/>
      <c r="F13" s="550"/>
      <c r="G13" s="796"/>
      <c r="H13" s="795"/>
    </row>
    <row r="14" spans="1:8">
      <c r="A14" s="37" t="s">
        <v>350</v>
      </c>
      <c r="B14" s="38"/>
      <c r="C14" s="39"/>
      <c r="D14" s="21"/>
      <c r="E14" s="21"/>
      <c r="F14" s="550"/>
      <c r="G14" s="550"/>
      <c r="H14" s="21"/>
    </row>
    <row r="15" spans="1:8">
      <c r="A15" s="40"/>
      <c r="B15" s="21"/>
      <c r="C15" s="21"/>
      <c r="D15" s="41">
        <f>C5-1</f>
        <v>2013</v>
      </c>
      <c r="E15" s="42">
        <f>$C$5-2</f>
        <v>2012</v>
      </c>
      <c r="G15" s="563" t="s">
        <v>806</v>
      </c>
      <c r="H15" s="136" t="s">
        <v>41</v>
      </c>
    </row>
    <row r="16" spans="1:8">
      <c r="A16" s="28" t="s">
        <v>332</v>
      </c>
      <c r="B16" s="21"/>
      <c r="C16" s="43" t="s">
        <v>333</v>
      </c>
      <c r="D16" s="44" t="s">
        <v>349</v>
      </c>
      <c r="E16" s="45" t="s">
        <v>329</v>
      </c>
      <c r="G16" s="564" t="str">
        <f>CONCATENATE("",E15," Ad Valorem Tax")</f>
        <v>2012 Ad Valorem Tax</v>
      </c>
      <c r="H16" s="749">
        <v>0</v>
      </c>
    </row>
    <row r="17" spans="1:7">
      <c r="A17" s="21"/>
      <c r="B17" s="46" t="s">
        <v>334</v>
      </c>
      <c r="C17" s="136" t="s">
        <v>149</v>
      </c>
      <c r="D17" s="48">
        <v>420807</v>
      </c>
      <c r="E17" s="49">
        <v>74610</v>
      </c>
      <c r="G17" s="562">
        <f>IF(H16&gt;0,ROUND(E17-(E17*H$16),0),0)</f>
        <v>0</v>
      </c>
    </row>
    <row r="18" spans="1:7">
      <c r="A18" s="21"/>
      <c r="B18" s="46" t="s">
        <v>303</v>
      </c>
      <c r="C18" s="136" t="s">
        <v>174</v>
      </c>
      <c r="D18" s="48">
        <v>68633</v>
      </c>
      <c r="E18" s="49">
        <v>24711</v>
      </c>
      <c r="G18" s="562">
        <f>IF(H16&gt;0,ROUND(E18-(E18*H16),0),0)</f>
        <v>0</v>
      </c>
    </row>
    <row r="19" spans="1:7">
      <c r="A19" s="21"/>
      <c r="B19" s="46" t="s">
        <v>805</v>
      </c>
      <c r="C19" s="136" t="s">
        <v>804</v>
      </c>
      <c r="D19" s="48">
        <v>36268</v>
      </c>
      <c r="E19" s="49">
        <v>28299</v>
      </c>
      <c r="G19" s="562">
        <f>IF(H$16&gt;0,ROUND(E19-(E19*H$16),0),0)</f>
        <v>0</v>
      </c>
    </row>
    <row r="20" spans="1:7">
      <c r="A20" s="28" t="s">
        <v>243</v>
      </c>
      <c r="B20" s="21"/>
      <c r="C20" s="21"/>
      <c r="D20" s="50"/>
      <c r="E20" s="51"/>
    </row>
    <row r="21" spans="1:7">
      <c r="A21" s="21"/>
      <c r="B21" s="52" t="s">
        <v>987</v>
      </c>
      <c r="C21" s="782" t="s">
        <v>988</v>
      </c>
      <c r="D21" s="49">
        <v>166120</v>
      </c>
      <c r="E21" s="49">
        <v>118195</v>
      </c>
      <c r="G21" s="562">
        <f t="shared" ref="G21:G30" si="0">IF(H$16&gt;0,ROUND(E21-(E21*H$16),0),0)</f>
        <v>0</v>
      </c>
    </row>
    <row r="22" spans="1:7">
      <c r="A22" s="21"/>
      <c r="B22" s="52" t="s">
        <v>989</v>
      </c>
      <c r="C22" s="782" t="s">
        <v>990</v>
      </c>
      <c r="D22" s="49">
        <v>142868</v>
      </c>
      <c r="E22" s="49">
        <v>55531</v>
      </c>
      <c r="G22" s="562">
        <f t="shared" si="0"/>
        <v>0</v>
      </c>
    </row>
    <row r="23" spans="1:7">
      <c r="A23" s="21"/>
      <c r="B23" s="52" t="s">
        <v>991</v>
      </c>
      <c r="C23" s="782" t="s">
        <v>992</v>
      </c>
      <c r="D23" s="49">
        <v>18755</v>
      </c>
      <c r="E23" s="49">
        <v>3158</v>
      </c>
      <c r="G23" s="562">
        <f t="shared" si="0"/>
        <v>0</v>
      </c>
    </row>
    <row r="24" spans="1:7">
      <c r="A24" s="21"/>
      <c r="B24" s="52"/>
      <c r="C24" s="384"/>
      <c r="D24" s="49"/>
      <c r="E24" s="49"/>
      <c r="G24" s="562">
        <f t="shared" si="0"/>
        <v>0</v>
      </c>
    </row>
    <row r="25" spans="1:7">
      <c r="A25" s="21"/>
      <c r="B25" s="52"/>
      <c r="C25" s="384"/>
      <c r="D25" s="49"/>
      <c r="E25" s="49"/>
      <c r="G25" s="562">
        <f t="shared" si="0"/>
        <v>0</v>
      </c>
    </row>
    <row r="26" spans="1:7">
      <c r="A26" s="21"/>
      <c r="B26" s="52"/>
      <c r="C26" s="384"/>
      <c r="D26" s="49"/>
      <c r="E26" s="49"/>
      <c r="G26" s="562">
        <f t="shared" si="0"/>
        <v>0</v>
      </c>
    </row>
    <row r="27" spans="1:7">
      <c r="A27" s="21"/>
      <c r="B27" s="52"/>
      <c r="C27" s="384"/>
      <c r="D27" s="49"/>
      <c r="E27" s="49"/>
      <c r="G27" s="562">
        <f t="shared" si="0"/>
        <v>0</v>
      </c>
    </row>
    <row r="28" spans="1:7">
      <c r="A28" s="21"/>
      <c r="B28" s="52"/>
      <c r="C28" s="384"/>
      <c r="D28" s="49"/>
      <c r="E28" s="49"/>
      <c r="G28" s="562">
        <f t="shared" si="0"/>
        <v>0</v>
      </c>
    </row>
    <row r="29" spans="1:7">
      <c r="A29" s="21"/>
      <c r="B29" s="52"/>
      <c r="C29" s="384"/>
      <c r="D29" s="49"/>
      <c r="E29" s="49"/>
      <c r="G29" s="562">
        <f t="shared" si="0"/>
        <v>0</v>
      </c>
    </row>
    <row r="30" spans="1:7">
      <c r="A30" s="21"/>
      <c r="B30" s="52"/>
      <c r="C30" s="384"/>
      <c r="D30" s="49"/>
      <c r="E30" s="49"/>
      <c r="G30" s="562">
        <f t="shared" si="0"/>
        <v>0</v>
      </c>
    </row>
    <row r="31" spans="1:7">
      <c r="A31" s="53" t="str">
        <f>CONCATENATE("Total Tax Levy Funds for ",C5-1," Budgeted Year")</f>
        <v>Total Tax Levy Funds for 2013 Budgeted Year</v>
      </c>
      <c r="B31" s="54"/>
      <c r="C31" s="54"/>
      <c r="D31" s="55"/>
      <c r="E31" s="56">
        <f>SUM(E17:E30)</f>
        <v>304504</v>
      </c>
    </row>
    <row r="32" spans="1:7">
      <c r="A32" s="28"/>
      <c r="B32" s="21"/>
      <c r="C32" s="21"/>
      <c r="D32" s="57"/>
      <c r="E32" s="51"/>
    </row>
    <row r="33" spans="1:5">
      <c r="A33" s="28" t="s">
        <v>175</v>
      </c>
      <c r="B33" s="21"/>
      <c r="C33" s="21"/>
      <c r="D33" s="21"/>
      <c r="E33" s="21"/>
    </row>
    <row r="34" spans="1:5">
      <c r="A34" s="21"/>
      <c r="B34" s="58" t="s">
        <v>125</v>
      </c>
      <c r="C34" s="59"/>
      <c r="D34" s="48">
        <v>33006</v>
      </c>
      <c r="E34" s="59"/>
    </row>
    <row r="35" spans="1:5">
      <c r="A35" s="21"/>
      <c r="B35" s="52" t="s">
        <v>993</v>
      </c>
      <c r="C35" s="59"/>
      <c r="D35" s="48">
        <v>3149</v>
      </c>
      <c r="E35" s="59"/>
    </row>
    <row r="36" spans="1:5">
      <c r="A36" s="21"/>
      <c r="B36" s="52" t="s">
        <v>994</v>
      </c>
      <c r="C36" s="59"/>
      <c r="D36" s="48">
        <v>45341</v>
      </c>
      <c r="E36" s="59"/>
    </row>
    <row r="37" spans="1:5">
      <c r="A37" s="21"/>
      <c r="B37" s="52" t="s">
        <v>995</v>
      </c>
      <c r="C37" s="59"/>
      <c r="D37" s="48">
        <v>194966</v>
      </c>
      <c r="E37" s="59"/>
    </row>
    <row r="38" spans="1:5">
      <c r="A38" s="21"/>
      <c r="B38" s="52"/>
      <c r="C38" s="59"/>
      <c r="D38" s="48"/>
      <c r="E38" s="59"/>
    </row>
    <row r="39" spans="1:5">
      <c r="A39" s="21"/>
      <c r="B39" s="52" t="s">
        <v>996</v>
      </c>
      <c r="C39" s="59"/>
      <c r="D39" s="48">
        <v>6423</v>
      </c>
      <c r="E39" s="59"/>
    </row>
    <row r="40" spans="1:5">
      <c r="A40" s="60"/>
      <c r="B40" s="52" t="s">
        <v>997</v>
      </c>
      <c r="C40" s="61"/>
      <c r="D40" s="48">
        <v>274132</v>
      </c>
      <c r="E40" s="62"/>
    </row>
    <row r="41" spans="1:5">
      <c r="A41" s="60"/>
      <c r="B41" s="677"/>
      <c r="C41" s="59"/>
      <c r="D41" s="48"/>
      <c r="E41" s="62"/>
    </row>
    <row r="42" spans="1:5">
      <c r="A42" s="60"/>
      <c r="B42" s="62"/>
      <c r="C42" s="59"/>
      <c r="D42" s="62"/>
      <c r="E42" s="62"/>
    </row>
    <row r="43" spans="1:5">
      <c r="A43" s="60" t="s">
        <v>219</v>
      </c>
      <c r="B43" s="59"/>
      <c r="C43" s="59"/>
      <c r="D43" s="59"/>
      <c r="E43" s="62"/>
    </row>
    <row r="44" spans="1:5">
      <c r="A44" s="63">
        <v>1</v>
      </c>
      <c r="B44" s="677"/>
      <c r="C44" s="59"/>
      <c r="D44" s="48"/>
      <c r="E44" s="62"/>
    </row>
    <row r="45" spans="1:5">
      <c r="A45" s="63">
        <v>2</v>
      </c>
      <c r="B45" s="677"/>
      <c r="C45" s="59"/>
      <c r="D45" s="48"/>
      <c r="E45" s="62"/>
    </row>
    <row r="46" spans="1:5">
      <c r="A46" s="63">
        <v>3</v>
      </c>
      <c r="B46" s="677"/>
      <c r="C46" s="59"/>
      <c r="D46" s="48"/>
      <c r="E46" s="62"/>
    </row>
    <row r="47" spans="1:5">
      <c r="A47" s="63">
        <v>4</v>
      </c>
      <c r="B47" s="677"/>
      <c r="C47" s="59"/>
      <c r="D47" s="48"/>
      <c r="E47" s="62"/>
    </row>
    <row r="48" spans="1:5">
      <c r="A48" s="53" t="str">
        <f>CONCATENATE("Total Expenditures for ",C5-1," Budgeted Year")</f>
        <v>Total Expenditures for 2013 Budgeted Year</v>
      </c>
      <c r="B48" s="54"/>
      <c r="C48" s="54"/>
      <c r="D48" s="56">
        <f>SUM(D17:D19,D21:D30,D34:D41,D44:D47)</f>
        <v>1410468</v>
      </c>
      <c r="E48" s="21"/>
    </row>
    <row r="49" spans="1:5">
      <c r="A49" s="60"/>
      <c r="B49" s="59"/>
      <c r="C49" s="59"/>
      <c r="D49" s="21"/>
      <c r="E49" s="21"/>
    </row>
    <row r="50" spans="1:5">
      <c r="A50" s="60" t="s">
        <v>220</v>
      </c>
      <c r="B50" s="59"/>
      <c r="C50" s="59"/>
      <c r="D50" s="59"/>
      <c r="E50" s="21"/>
    </row>
    <row r="51" spans="1:5">
      <c r="A51" s="63">
        <v>1</v>
      </c>
      <c r="B51" s="678" t="s">
        <v>998</v>
      </c>
      <c r="C51" s="59"/>
      <c r="D51" s="59"/>
      <c r="E51" s="21"/>
    </row>
    <row r="52" spans="1:5">
      <c r="A52" s="63">
        <v>2</v>
      </c>
      <c r="B52" s="678" t="s">
        <v>999</v>
      </c>
      <c r="C52" s="59"/>
      <c r="D52" s="59"/>
      <c r="E52" s="21"/>
    </row>
    <row r="53" spans="1:5">
      <c r="A53" s="63">
        <v>3</v>
      </c>
      <c r="B53" s="677" t="s">
        <v>1004</v>
      </c>
      <c r="C53" s="59"/>
      <c r="D53" s="59"/>
      <c r="E53" s="21"/>
    </row>
    <row r="54" spans="1:5">
      <c r="A54" s="63">
        <v>4</v>
      </c>
      <c r="B54" s="677"/>
      <c r="C54" s="59"/>
      <c r="D54" s="59"/>
      <c r="E54" s="21"/>
    </row>
    <row r="55" spans="1:5">
      <c r="A55" s="63">
        <v>5</v>
      </c>
      <c r="B55" s="677"/>
      <c r="C55" s="59"/>
      <c r="D55" s="59"/>
      <c r="E55" s="21"/>
    </row>
    <row r="56" spans="1:5">
      <c r="A56" s="60" t="s">
        <v>192</v>
      </c>
      <c r="B56" s="59"/>
      <c r="C56" s="59"/>
      <c r="D56" s="59"/>
      <c r="E56" s="21"/>
    </row>
    <row r="57" spans="1:5">
      <c r="A57" s="63">
        <v>1</v>
      </c>
      <c r="B57" s="677"/>
      <c r="C57" s="59"/>
      <c r="D57" s="59"/>
      <c r="E57" s="21"/>
    </row>
    <row r="58" spans="1:5">
      <c r="A58" s="63">
        <v>2</v>
      </c>
      <c r="B58" s="677"/>
      <c r="C58" s="59"/>
      <c r="D58" s="59"/>
      <c r="E58" s="21"/>
    </row>
    <row r="59" spans="1:5">
      <c r="A59" s="63">
        <v>3</v>
      </c>
      <c r="B59" s="677"/>
      <c r="C59" s="59"/>
      <c r="D59" s="59"/>
      <c r="E59" s="21"/>
    </row>
    <row r="60" spans="1:5">
      <c r="A60" s="63">
        <v>4</v>
      </c>
      <c r="B60" s="677"/>
      <c r="C60" s="59"/>
      <c r="D60" s="59"/>
      <c r="E60" s="21"/>
    </row>
    <row r="61" spans="1:5" ht="18" customHeight="1">
      <c r="A61" s="63">
        <v>5</v>
      </c>
      <c r="B61" s="677"/>
      <c r="C61" s="21"/>
      <c r="D61" s="21"/>
      <c r="E61" s="21"/>
    </row>
    <row r="62" spans="1:5">
      <c r="A62" s="21"/>
      <c r="B62" s="21"/>
      <c r="C62" s="21"/>
      <c r="D62" s="64" t="str">
        <f>CONCATENATE("",C5-3," Tax Rate")</f>
        <v>2011 Tax Rate</v>
      </c>
      <c r="E62" s="21"/>
    </row>
    <row r="63" spans="1:5">
      <c r="A63" s="65" t="str">
        <f>CONCATENATE("From the ",C5-1," Budget, Budget Summary Page")</f>
        <v>From the 2013 Budget, Budget Summary Page</v>
      </c>
      <c r="B63" s="36"/>
      <c r="C63" s="21"/>
      <c r="D63" s="66" t="str">
        <f>CONCATENATE("(",C5-2," Column)")</f>
        <v>(2012 Column)</v>
      </c>
      <c r="E63" s="21"/>
    </row>
    <row r="64" spans="1:5">
      <c r="A64" s="21"/>
      <c r="B64" s="67" t="str">
        <f>B17</f>
        <v>General</v>
      </c>
      <c r="C64" s="68"/>
      <c r="D64" s="69">
        <v>8.8330000000000002</v>
      </c>
      <c r="E64" s="21"/>
    </row>
    <row r="65" spans="1:5">
      <c r="A65" s="21"/>
      <c r="B65" s="67" t="str">
        <f>B18</f>
        <v>Debt Service</v>
      </c>
      <c r="C65" s="68"/>
      <c r="D65" s="69">
        <v>3.1389999999999998</v>
      </c>
      <c r="E65" s="21"/>
    </row>
    <row r="66" spans="1:5">
      <c r="A66" s="21"/>
      <c r="B66" s="67" t="str">
        <f>B19</f>
        <v>Library</v>
      </c>
      <c r="C66" s="47"/>
      <c r="D66" s="69">
        <v>4.6550000000000002</v>
      </c>
      <c r="E66" s="21"/>
    </row>
    <row r="67" spans="1:5">
      <c r="A67" s="21"/>
      <c r="B67" s="67" t="str">
        <f t="shared" ref="B67:B76" si="1">B21</f>
        <v>Employee Benefits</v>
      </c>
      <c r="C67" s="47"/>
      <c r="D67" s="69">
        <v>16.88</v>
      </c>
      <c r="E67" s="21"/>
    </row>
    <row r="68" spans="1:5">
      <c r="A68" s="21"/>
      <c r="B68" s="67" t="str">
        <f t="shared" si="1"/>
        <v>Street Resurfacing</v>
      </c>
      <c r="C68" s="47"/>
      <c r="D68" s="69">
        <v>8.2080000000000002</v>
      </c>
      <c r="E68" s="21"/>
    </row>
    <row r="69" spans="1:5">
      <c r="A69" s="21"/>
      <c r="B69" s="67" t="str">
        <f t="shared" si="1"/>
        <v>Airport</v>
      </c>
      <c r="C69" s="47"/>
      <c r="D69" s="69">
        <v>0.5</v>
      </c>
      <c r="E69" s="21"/>
    </row>
    <row r="70" spans="1:5">
      <c r="A70" s="21"/>
      <c r="B70" s="67">
        <f t="shared" si="1"/>
        <v>0</v>
      </c>
      <c r="C70" s="47"/>
      <c r="D70" s="69"/>
      <c r="E70" s="21"/>
    </row>
    <row r="71" spans="1:5">
      <c r="A71" s="21"/>
      <c r="B71" s="67">
        <f t="shared" si="1"/>
        <v>0</v>
      </c>
      <c r="C71" s="47"/>
      <c r="D71" s="69"/>
      <c r="E71" s="21"/>
    </row>
    <row r="72" spans="1:5">
      <c r="A72" s="21"/>
      <c r="B72" s="67">
        <f t="shared" si="1"/>
        <v>0</v>
      </c>
      <c r="C72" s="47"/>
      <c r="D72" s="69"/>
      <c r="E72" s="21"/>
    </row>
    <row r="73" spans="1:5">
      <c r="A73" s="21"/>
      <c r="B73" s="67">
        <f t="shared" si="1"/>
        <v>0</v>
      </c>
      <c r="C73" s="47"/>
      <c r="D73" s="69"/>
      <c r="E73" s="21"/>
    </row>
    <row r="74" spans="1:5">
      <c r="A74" s="21"/>
      <c r="B74" s="67">
        <f t="shared" si="1"/>
        <v>0</v>
      </c>
      <c r="C74" s="47"/>
      <c r="D74" s="69"/>
      <c r="E74" s="21"/>
    </row>
    <row r="75" spans="1:5">
      <c r="A75" s="21"/>
      <c r="B75" s="67">
        <f t="shared" si="1"/>
        <v>0</v>
      </c>
      <c r="C75" s="47"/>
      <c r="D75" s="69"/>
      <c r="E75" s="21"/>
    </row>
    <row r="76" spans="1:5">
      <c r="A76" s="21"/>
      <c r="B76" s="67">
        <f t="shared" si="1"/>
        <v>0</v>
      </c>
      <c r="C76" s="47"/>
      <c r="D76" s="69"/>
      <c r="E76" s="21"/>
    </row>
    <row r="77" spans="1:5">
      <c r="A77" s="28" t="s">
        <v>335</v>
      </c>
      <c r="B77" s="21"/>
      <c r="C77" s="21"/>
      <c r="D77" s="70">
        <f>SUM(D64:D76)</f>
        <v>42.214999999999996</v>
      </c>
      <c r="E77" s="21"/>
    </row>
    <row r="78" spans="1:5">
      <c r="A78" s="21"/>
      <c r="B78" s="21"/>
      <c r="C78" s="21"/>
      <c r="D78" s="21"/>
      <c r="E78" s="21"/>
    </row>
    <row r="79" spans="1:5">
      <c r="A79" s="71" t="str">
        <f>CONCATENATE("Total Tax Levied (",C5-2," budget column)")</f>
        <v>Total Tax Levied (2012 budget column)</v>
      </c>
      <c r="B79" s="72"/>
      <c r="C79" s="54"/>
      <c r="D79" s="73"/>
      <c r="E79" s="49">
        <v>253349</v>
      </c>
    </row>
    <row r="80" spans="1:5">
      <c r="A80" s="71" t="str">
        <f>CONCATENATE("Assessed Valuation  (",C5-2," budget column)")</f>
        <v>Assessed Valuation  (2012 budget column)</v>
      </c>
      <c r="B80" s="74"/>
      <c r="C80" s="75"/>
      <c r="D80" s="76"/>
      <c r="E80" s="49">
        <v>6001675</v>
      </c>
    </row>
    <row r="81" spans="1:5">
      <c r="A81" s="21"/>
      <c r="B81" s="21"/>
      <c r="C81" s="21"/>
      <c r="D81" s="39"/>
      <c r="E81" s="50"/>
    </row>
    <row r="82" spans="1:5">
      <c r="A82" s="36" t="s">
        <v>261</v>
      </c>
      <c r="B82" s="36"/>
      <c r="C82" s="77"/>
      <c r="D82" s="78">
        <f>C5-3</f>
        <v>2011</v>
      </c>
      <c r="E82" s="79">
        <f>C5-2</f>
        <v>2012</v>
      </c>
    </row>
    <row r="83" spans="1:5">
      <c r="A83" s="72" t="s">
        <v>176</v>
      </c>
      <c r="B83" s="72"/>
      <c r="C83" s="80"/>
      <c r="D83" s="48">
        <v>420000</v>
      </c>
      <c r="E83" s="48">
        <v>400000</v>
      </c>
    </row>
    <row r="84" spans="1:5">
      <c r="A84" s="74" t="s">
        <v>177</v>
      </c>
      <c r="B84" s="74"/>
      <c r="C84" s="81"/>
      <c r="D84" s="48"/>
      <c r="E84" s="48"/>
    </row>
    <row r="85" spans="1:5">
      <c r="A85" s="74" t="s">
        <v>178</v>
      </c>
      <c r="B85" s="74"/>
      <c r="C85" s="81"/>
      <c r="D85" s="48">
        <v>186126</v>
      </c>
      <c r="E85" s="48">
        <v>178224</v>
      </c>
    </row>
    <row r="86" spans="1:5">
      <c r="A86" s="74" t="s">
        <v>179</v>
      </c>
      <c r="B86" s="74"/>
      <c r="C86" s="81"/>
      <c r="D86" s="48">
        <v>6455</v>
      </c>
      <c r="E86" s="48">
        <v>1670</v>
      </c>
    </row>
    <row r="93" spans="1:5" s="82" customFormat="1">
      <c r="A93" s="22"/>
      <c r="B93" s="22"/>
      <c r="C93" s="22"/>
      <c r="D93" s="22"/>
      <c r="E93" s="22"/>
    </row>
  </sheetData>
  <sheetProtection sheet="1"/>
  <mergeCells count="2">
    <mergeCell ref="A10:E10"/>
    <mergeCell ref="G8:H13"/>
  </mergeCells>
  <phoneticPr fontId="0" type="noConversion"/>
  <pageMargins left="0.5" right="0.5" top="1" bottom="0.5" header="0.5" footer="0.25"/>
  <pageSetup scale="79" fitToHeight="2" orientation="portrait" blackAndWhite="1"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L96"/>
  <sheetViews>
    <sheetView topLeftCell="A76" zoomScaleNormal="100" workbookViewId="0">
      <selection activeCell="I7" sqref="I7"/>
    </sheetView>
  </sheetViews>
  <sheetFormatPr defaultRowHeight="15.75"/>
  <cols>
    <col min="1" max="1" width="2.44140625" style="22" customWidth="1"/>
    <col min="2" max="2" width="31.109375" style="22" customWidth="1"/>
    <col min="3" max="4" width="15.77734375" style="22" customWidth="1"/>
    <col min="5" max="5" width="16.33203125" style="22" customWidth="1"/>
    <col min="6" max="6" width="8.88671875" style="22"/>
    <col min="7" max="7" width="10.21875" style="22" customWidth="1"/>
    <col min="8" max="8" width="8.88671875" style="22"/>
    <col min="9" max="9" width="5" style="22" customWidth="1"/>
    <col min="10" max="10" width="10" style="22" customWidth="1"/>
    <col min="11" max="16384" width="8.88671875" style="22"/>
  </cols>
  <sheetData>
    <row r="1" spans="2:5">
      <c r="B1" s="150" t="str">
        <f>(inputPrYr!D2)</f>
        <v>CITY OF HOXIE</v>
      </c>
      <c r="C1" s="21"/>
      <c r="D1" s="21"/>
      <c r="E1" s="210">
        <f>inputPrYr!C5</f>
        <v>2014</v>
      </c>
    </row>
    <row r="2" spans="2:5">
      <c r="B2" s="21"/>
      <c r="C2" s="21"/>
      <c r="D2" s="21"/>
      <c r="E2" s="146"/>
    </row>
    <row r="3" spans="2:5">
      <c r="B3" s="40" t="s">
        <v>91</v>
      </c>
      <c r="C3" s="168"/>
      <c r="D3" s="168"/>
      <c r="E3" s="255"/>
    </row>
    <row r="4" spans="2:5">
      <c r="B4" s="28" t="s">
        <v>24</v>
      </c>
      <c r="C4" s="658" t="s">
        <v>810</v>
      </c>
      <c r="D4" s="659" t="s">
        <v>811</v>
      </c>
      <c r="E4" s="124" t="s">
        <v>812</v>
      </c>
    </row>
    <row r="5" spans="2:5">
      <c r="B5" s="367">
        <f>inputPrYr!B29</f>
        <v>0</v>
      </c>
      <c r="C5" s="350" t="str">
        <f>CONCATENATE("Actual for ",E1-2,"")</f>
        <v>Actual for 2012</v>
      </c>
      <c r="D5" s="350" t="str">
        <f>CONCATENATE("Estimate for ",E1-1,"")</f>
        <v>Estimate for 2013</v>
      </c>
      <c r="E5" s="220" t="str">
        <f>CONCATENATE("Year for ",E1,"")</f>
        <v>Year for 2014</v>
      </c>
    </row>
    <row r="6" spans="2:5">
      <c r="B6" s="221" t="s">
        <v>146</v>
      </c>
      <c r="C6" s="222"/>
      <c r="D6" s="349">
        <f>C34</f>
        <v>0</v>
      </c>
      <c r="E6" s="191">
        <f>D34</f>
        <v>0</v>
      </c>
    </row>
    <row r="7" spans="2:5">
      <c r="B7" s="224" t="s">
        <v>148</v>
      </c>
      <c r="C7" s="138"/>
      <c r="D7" s="138"/>
      <c r="E7" s="67"/>
    </row>
    <row r="8" spans="2:5">
      <c r="B8" s="130" t="s">
        <v>25</v>
      </c>
      <c r="C8" s="222"/>
      <c r="D8" s="349">
        <f>IF(inputPrYr!H16&gt;0,inputPrYr!G29,inputPrYr!E29)</f>
        <v>0</v>
      </c>
      <c r="E8" s="252" t="s">
        <v>13</v>
      </c>
    </row>
    <row r="9" spans="2:5">
      <c r="B9" s="130" t="s">
        <v>26</v>
      </c>
      <c r="C9" s="222"/>
      <c r="D9" s="222"/>
      <c r="E9" s="49"/>
    </row>
    <row r="10" spans="2:5">
      <c r="B10" s="130" t="s">
        <v>27</v>
      </c>
      <c r="C10" s="222"/>
      <c r="D10" s="222"/>
      <c r="E10" s="191" t="str">
        <f>mvalloc!D18</f>
        <v xml:space="preserve">  </v>
      </c>
    </row>
    <row r="11" spans="2:5">
      <c r="B11" s="130" t="s">
        <v>28</v>
      </c>
      <c r="C11" s="222"/>
      <c r="D11" s="222"/>
      <c r="E11" s="191" t="str">
        <f>mvalloc!E18</f>
        <v xml:space="preserve"> </v>
      </c>
    </row>
    <row r="12" spans="2:5">
      <c r="B12" s="138" t="s">
        <v>123</v>
      </c>
      <c r="C12" s="222"/>
      <c r="D12" s="222"/>
      <c r="E12" s="191" t="str">
        <f>mvalloc!F18</f>
        <v xml:space="preserve"> </v>
      </c>
    </row>
    <row r="13" spans="2:5">
      <c r="B13" s="49"/>
      <c r="C13" s="222"/>
      <c r="D13" s="222"/>
      <c r="E13" s="49"/>
    </row>
    <row r="14" spans="2:5">
      <c r="B14" s="237"/>
      <c r="C14" s="222"/>
      <c r="D14" s="222"/>
      <c r="E14" s="49"/>
    </row>
    <row r="15" spans="2:5">
      <c r="B15" s="237"/>
      <c r="C15" s="222"/>
      <c r="D15" s="222"/>
      <c r="E15" s="49"/>
    </row>
    <row r="16" spans="2:5">
      <c r="B16" s="237"/>
      <c r="C16" s="222"/>
      <c r="D16" s="222"/>
      <c r="E16" s="49"/>
    </row>
    <row r="17" spans="2:10">
      <c r="B17" s="229" t="s">
        <v>31</v>
      </c>
      <c r="C17" s="222"/>
      <c r="D17" s="222"/>
      <c r="E17" s="49"/>
    </row>
    <row r="18" spans="2:10">
      <c r="B18" s="138" t="s">
        <v>270</v>
      </c>
      <c r="C18" s="222"/>
      <c r="D18" s="222"/>
      <c r="E18" s="49"/>
    </row>
    <row r="19" spans="2:10">
      <c r="B19" s="221" t="s">
        <v>793</v>
      </c>
      <c r="C19" s="351" t="str">
        <f>IF(C20*0.1&lt;C18,"Exceed 10% Rule","")</f>
        <v/>
      </c>
      <c r="D19" s="351" t="str">
        <f>IF(D20*0.1&lt;D18,"Exceed 10% Rule","")</f>
        <v/>
      </c>
      <c r="E19" s="368" t="str">
        <f>IF(E20*0.1+E40&lt;E18,"Exceed 10% Rule","")</f>
        <v/>
      </c>
    </row>
    <row r="20" spans="2:10">
      <c r="B20" s="231" t="s">
        <v>32</v>
      </c>
      <c r="C20" s="352">
        <f>SUM(C8:C18)</f>
        <v>0</v>
      </c>
      <c r="D20" s="352">
        <f>SUM(D8:D18)</f>
        <v>0</v>
      </c>
      <c r="E20" s="257">
        <f>SUM(E8:E18)</f>
        <v>0</v>
      </c>
    </row>
    <row r="21" spans="2:10">
      <c r="B21" s="231" t="s">
        <v>33</v>
      </c>
      <c r="C21" s="352">
        <f>C6+C20</f>
        <v>0</v>
      </c>
      <c r="D21" s="352">
        <f>D6+D20</f>
        <v>0</v>
      </c>
      <c r="E21" s="257">
        <f>E6+E20</f>
        <v>0</v>
      </c>
    </row>
    <row r="22" spans="2:10">
      <c r="B22" s="130" t="s">
        <v>35</v>
      </c>
      <c r="C22" s="238"/>
      <c r="D22" s="238"/>
      <c r="E22" s="47"/>
    </row>
    <row r="23" spans="2:10">
      <c r="B23" s="237"/>
      <c r="C23" s="222"/>
      <c r="D23" s="222"/>
      <c r="E23" s="49"/>
    </row>
    <row r="24" spans="2:10">
      <c r="B24" s="237"/>
      <c r="C24" s="222"/>
      <c r="D24" s="222"/>
      <c r="E24" s="49"/>
      <c r="G24" s="847" t="str">
        <f>CONCATENATE("Desired Carryover Into ",E1+1,"")</f>
        <v>Desired Carryover Into 2015</v>
      </c>
      <c r="H24" s="842"/>
      <c r="I24" s="842"/>
      <c r="J24" s="843"/>
    </row>
    <row r="25" spans="2:10">
      <c r="B25" s="237"/>
      <c r="C25" s="222"/>
      <c r="D25" s="222"/>
      <c r="E25" s="49"/>
      <c r="G25" s="699"/>
      <c r="H25" s="686"/>
      <c r="I25" s="693"/>
      <c r="J25" s="700"/>
    </row>
    <row r="26" spans="2:10">
      <c r="B26" s="237"/>
      <c r="C26" s="222"/>
      <c r="D26" s="222"/>
      <c r="E26" s="49"/>
      <c r="G26" s="698" t="s">
        <v>637</v>
      </c>
      <c r="H26" s="693"/>
      <c r="I26" s="693"/>
      <c r="J26" s="687">
        <v>0</v>
      </c>
    </row>
    <row r="27" spans="2:10">
      <c r="B27" s="237"/>
      <c r="C27" s="222"/>
      <c r="D27" s="222"/>
      <c r="E27" s="49"/>
      <c r="G27" s="699" t="s">
        <v>638</v>
      </c>
      <c r="H27" s="686"/>
      <c r="I27" s="686"/>
      <c r="J27" s="727" t="str">
        <f>IF(J26=0,"",ROUND((J26+E40-G39)/inputOth!E7*1000,3)-G44)</f>
        <v/>
      </c>
    </row>
    <row r="28" spans="2:10">
      <c r="B28" s="237"/>
      <c r="C28" s="222"/>
      <c r="D28" s="222"/>
      <c r="E28" s="49"/>
      <c r="G28" s="724" t="str">
        <f>CONCATENATE("",E1," Tot Exp/Non-Appr Must Be:")</f>
        <v>2014 Tot Exp/Non-Appr Must Be:</v>
      </c>
      <c r="H28" s="722"/>
      <c r="I28" s="723"/>
      <c r="J28" s="719">
        <f>IF(J26&gt;0,IF(E37&lt;E21,IF(J26=G39,E38,((J26-G39)*(1-D39))+E21),E38+(J26-G39)),0)</f>
        <v>0</v>
      </c>
    </row>
    <row r="29" spans="2:10">
      <c r="B29" s="237"/>
      <c r="C29" s="222"/>
      <c r="D29" s="222"/>
      <c r="E29" s="49"/>
      <c r="G29" s="589" t="s">
        <v>815</v>
      </c>
      <c r="H29" s="730"/>
      <c r="I29" s="730"/>
      <c r="J29" s="725">
        <f>IF(J26&gt;0,J28-E38,0)</f>
        <v>0</v>
      </c>
    </row>
    <row r="30" spans="2:10">
      <c r="B30" s="238" t="s">
        <v>271</v>
      </c>
      <c r="C30" s="222"/>
      <c r="D30" s="222"/>
      <c r="E30" s="56" t="str">
        <f>nhood!E17</f>
        <v/>
      </c>
      <c r="J30" s="676"/>
    </row>
    <row r="31" spans="2:10">
      <c r="B31" s="238" t="s">
        <v>270</v>
      </c>
      <c r="C31" s="222"/>
      <c r="D31" s="222"/>
      <c r="E31" s="49"/>
      <c r="G31" s="847" t="str">
        <f>CONCATENATE("Projected Carryover Into ",E1+1,"")</f>
        <v>Projected Carryover Into 2015</v>
      </c>
      <c r="H31" s="854"/>
      <c r="I31" s="854"/>
      <c r="J31" s="856"/>
    </row>
    <row r="32" spans="2:10">
      <c r="B32" s="238" t="s">
        <v>794</v>
      </c>
      <c r="C32" s="351" t="str">
        <f>IF(C33*0.1&lt;C31,"Exceed 10% Rule","")</f>
        <v/>
      </c>
      <c r="D32" s="351" t="str">
        <f>IF(D33*0.1&lt;D31,"Exceed 10% Rule","")</f>
        <v/>
      </c>
      <c r="E32" s="368" t="str">
        <f>IF(E33*0.1&lt;E31,"Exceed 10% Rule","")</f>
        <v/>
      </c>
      <c r="G32" s="699"/>
      <c r="H32" s="693"/>
      <c r="I32" s="693"/>
      <c r="J32" s="739"/>
    </row>
    <row r="33" spans="2:12">
      <c r="B33" s="231" t="s">
        <v>39</v>
      </c>
      <c r="C33" s="352">
        <f>SUM(C23:C31)</f>
        <v>0</v>
      </c>
      <c r="D33" s="352">
        <f>SUM(D23:D31)</f>
        <v>0</v>
      </c>
      <c r="E33" s="257">
        <f>SUM(E23:E31)</f>
        <v>0</v>
      </c>
      <c r="G33" s="690">
        <f>D34</f>
        <v>0</v>
      </c>
      <c r="H33" s="691" t="str">
        <f>CONCATENATE("",E1-1," Ending Cash Balance (est.)")</f>
        <v>2013 Ending Cash Balance (est.)</v>
      </c>
      <c r="I33" s="692"/>
      <c r="J33" s="739"/>
    </row>
    <row r="34" spans="2:12">
      <c r="B34" s="130" t="s">
        <v>147</v>
      </c>
      <c r="C34" s="349">
        <f>C21-C33</f>
        <v>0</v>
      </c>
      <c r="D34" s="349">
        <f>D21-D33</f>
        <v>0</v>
      </c>
      <c r="E34" s="252" t="s">
        <v>13</v>
      </c>
      <c r="G34" s="690">
        <f>E20</f>
        <v>0</v>
      </c>
      <c r="H34" s="693" t="str">
        <f>CONCATENATE("",E1," Non-AV Receipts (est.)")</f>
        <v>2014 Non-AV Receipts (est.)</v>
      </c>
      <c r="I34" s="692"/>
      <c r="J34" s="739"/>
    </row>
    <row r="35" spans="2:12">
      <c r="B35" s="118" t="str">
        <f>CONCATENATE("",$E$1-2,"/",$E$1-1," Budget Authority Amount:")</f>
        <v>2012/2013 Budget Authority Amount:</v>
      </c>
      <c r="C35" s="181">
        <f>inputOth!B72</f>
        <v>0</v>
      </c>
      <c r="D35" s="549">
        <f>inputPrYr!D29</f>
        <v>0</v>
      </c>
      <c r="E35" s="252" t="s">
        <v>13</v>
      </c>
      <c r="F35" s="241"/>
      <c r="G35" s="694">
        <f>IF(D39&gt;0,E38,E40)</f>
        <v>0</v>
      </c>
      <c r="H35" s="693" t="str">
        <f>CONCATENATE("",E1," Ad Valorem Tax (est.)")</f>
        <v>2014 Ad Valorem Tax (est.)</v>
      </c>
      <c r="I35" s="692"/>
      <c r="J35" s="739"/>
      <c r="K35" s="592" t="str">
        <f>IF(G35=E40,"","Note: Does not include Delinquent Taxes")</f>
        <v/>
      </c>
      <c r="L35" s="592"/>
    </row>
    <row r="36" spans="2:12">
      <c r="B36" s="118"/>
      <c r="C36" s="835" t="s">
        <v>629</v>
      </c>
      <c r="D36" s="836"/>
      <c r="E36" s="49"/>
      <c r="F36" s="241" t="str">
        <f>IF(E33/0.95-E33&lt;E36,"Exceeds 5%","")</f>
        <v/>
      </c>
      <c r="G36" s="690">
        <f>SUM(G33:G35)</f>
        <v>0</v>
      </c>
      <c r="H36" s="693" t="str">
        <f>CONCATENATE("Total ",E1," Resources Available")</f>
        <v>Total 2014 Resources Available</v>
      </c>
      <c r="I36" s="692"/>
      <c r="J36" s="739"/>
    </row>
    <row r="37" spans="2:12">
      <c r="B37" s="370" t="str">
        <f>CONCATENATE(C93,"     ",D93)</f>
        <v xml:space="preserve">     </v>
      </c>
      <c r="C37" s="837" t="s">
        <v>630</v>
      </c>
      <c r="D37" s="838"/>
      <c r="E37" s="191">
        <f>E33+E36</f>
        <v>0</v>
      </c>
      <c r="G37" s="695"/>
      <c r="H37" s="693"/>
      <c r="I37" s="693"/>
      <c r="J37" s="739"/>
    </row>
    <row r="38" spans="2:12">
      <c r="B38" s="370" t="str">
        <f>CONCATENATE(C94,"     ",D94)</f>
        <v xml:space="preserve">     </v>
      </c>
      <c r="C38" s="242"/>
      <c r="D38" s="146" t="s">
        <v>40</v>
      </c>
      <c r="E38" s="191">
        <f>IF(E37-E21&gt;0,E37-E21,0)</f>
        <v>0</v>
      </c>
      <c r="G38" s="694">
        <f>ROUND(C33*0.05+C33,0)</f>
        <v>0</v>
      </c>
      <c r="H38" s="693" t="str">
        <f>CONCATENATE("Less ",E1-2," Expenditures + 5%")</f>
        <v>Less 2012 Expenditures + 5%</v>
      </c>
      <c r="I38" s="692"/>
      <c r="J38" s="739"/>
    </row>
    <row r="39" spans="2:12">
      <c r="B39" s="146"/>
      <c r="C39" s="356" t="s">
        <v>631</v>
      </c>
      <c r="D39" s="591">
        <f>inputOth!$E$47</f>
        <v>0.01</v>
      </c>
      <c r="E39" s="191">
        <f>ROUND(IF($D$39&gt;0,($E$38*$D$39),0),0)</f>
        <v>0</v>
      </c>
      <c r="G39" s="728">
        <f>G36-G38</f>
        <v>0</v>
      </c>
      <c r="H39" s="729" t="str">
        <f>CONCATENATE("Projected ",E1+1," carryover (est.)")</f>
        <v>Projected 2015 carryover (est.)</v>
      </c>
      <c r="I39" s="696"/>
      <c r="J39" s="737"/>
    </row>
    <row r="40" spans="2:12" ht="16.5" thickBot="1">
      <c r="B40" s="21"/>
      <c r="C40" s="839" t="str">
        <f>CONCATENATE("Amount of  ",$E$1-1," Ad Valorem Tax")</f>
        <v>Amount of  2013 Ad Valorem Tax</v>
      </c>
      <c r="D40" s="840"/>
      <c r="E40" s="258">
        <f>E38+E39</f>
        <v>0</v>
      </c>
      <c r="G40" s="676"/>
      <c r="H40" s="676"/>
      <c r="I40" s="676"/>
      <c r="J40" s="676"/>
    </row>
    <row r="41" spans="2:12" ht="16.5" thickTop="1">
      <c r="B41" s="21"/>
      <c r="C41" s="851"/>
      <c r="D41" s="851"/>
      <c r="E41" s="21"/>
      <c r="G41" s="844" t="s">
        <v>871</v>
      </c>
      <c r="H41" s="845"/>
      <c r="I41" s="845"/>
      <c r="J41" s="846"/>
    </row>
    <row r="42" spans="2:12">
      <c r="B42" s="21"/>
      <c r="C42" s="21"/>
      <c r="D42" s="21"/>
      <c r="E42" s="21"/>
      <c r="G42" s="732"/>
      <c r="H42" s="691"/>
      <c r="I42" s="720"/>
      <c r="J42" s="721"/>
    </row>
    <row r="43" spans="2:12">
      <c r="B43" s="28"/>
      <c r="C43" s="122"/>
      <c r="D43" s="122"/>
      <c r="E43" s="122"/>
      <c r="G43" s="734" t="str">
        <f>summ!H27</f>
        <v xml:space="preserve">  </v>
      </c>
      <c r="H43" s="691" t="str">
        <f>CONCATENATE("",E1," Fund Mill Rate")</f>
        <v>2014 Fund Mill Rate</v>
      </c>
      <c r="I43" s="720"/>
      <c r="J43" s="721"/>
    </row>
    <row r="44" spans="2:12">
      <c r="B44" s="28" t="s">
        <v>24</v>
      </c>
      <c r="C44" s="658" t="str">
        <f t="shared" ref="C44:E45" si="0">C4</f>
        <v xml:space="preserve">Prior Year </v>
      </c>
      <c r="D44" s="659" t="str">
        <f t="shared" si="0"/>
        <v>Current Year</v>
      </c>
      <c r="E44" s="124" t="str">
        <f t="shared" si="0"/>
        <v>Proposed Budget</v>
      </c>
      <c r="G44" s="733" t="str">
        <f>summ!E27</f>
        <v xml:space="preserve">  </v>
      </c>
      <c r="H44" s="691" t="str">
        <f>CONCATENATE("",E1-1," Fund Mill Rate")</f>
        <v>2013 Fund Mill Rate</v>
      </c>
      <c r="I44" s="720"/>
      <c r="J44" s="721"/>
    </row>
    <row r="45" spans="2:12">
      <c r="B45" s="366">
        <f>inputPrYr!B30</f>
        <v>0</v>
      </c>
      <c r="C45" s="350" t="str">
        <f t="shared" si="0"/>
        <v>Actual for 2012</v>
      </c>
      <c r="D45" s="350" t="str">
        <f t="shared" si="0"/>
        <v>Estimate for 2013</v>
      </c>
      <c r="E45" s="177" t="str">
        <f t="shared" si="0"/>
        <v>Year for 2014</v>
      </c>
      <c r="G45" s="735">
        <f>summ!H43</f>
        <v>46.652000000000001</v>
      </c>
      <c r="H45" s="691" t="str">
        <f>CONCATENATE("Total ",E1," Mill Rate")</f>
        <v>Total 2014 Mill Rate</v>
      </c>
      <c r="I45" s="720"/>
      <c r="J45" s="721"/>
    </row>
    <row r="46" spans="2:12">
      <c r="B46" s="221" t="s">
        <v>146</v>
      </c>
      <c r="C46" s="222"/>
      <c r="D46" s="349">
        <f>C74</f>
        <v>0</v>
      </c>
      <c r="E46" s="191">
        <f>D74</f>
        <v>0</v>
      </c>
      <c r="G46" s="733">
        <f>summ!E43</f>
        <v>48.61</v>
      </c>
      <c r="H46" s="716" t="str">
        <f>CONCATENATE("Total ",E1-1," Mill Rate")</f>
        <v>Total 2013 Mill Rate</v>
      </c>
      <c r="I46" s="717"/>
      <c r="J46" s="718"/>
    </row>
    <row r="47" spans="2:12">
      <c r="B47" s="221" t="s">
        <v>148</v>
      </c>
      <c r="C47" s="138"/>
      <c r="D47" s="138"/>
      <c r="E47" s="67"/>
    </row>
    <row r="48" spans="2:12">
      <c r="B48" s="130" t="s">
        <v>25</v>
      </c>
      <c r="C48" s="222"/>
      <c r="D48" s="349">
        <f>IF(inputPrYr!H16&gt;0,inputPrYr!G30,inputPrYr!E30)</f>
        <v>0</v>
      </c>
      <c r="E48" s="252" t="s">
        <v>13</v>
      </c>
      <c r="G48" s="779" t="s">
        <v>977</v>
      </c>
      <c r="H48" s="777"/>
      <c r="I48" s="776" t="str">
        <f>cert!F49</f>
        <v>No</v>
      </c>
    </row>
    <row r="49" spans="2:10">
      <c r="B49" s="130" t="s">
        <v>26</v>
      </c>
      <c r="C49" s="222"/>
      <c r="D49" s="222"/>
      <c r="E49" s="49"/>
    </row>
    <row r="50" spans="2:10">
      <c r="B50" s="130" t="s">
        <v>27</v>
      </c>
      <c r="C50" s="222"/>
      <c r="D50" s="222"/>
      <c r="E50" s="191" t="str">
        <f>mvalloc!D19</f>
        <v xml:space="preserve">  </v>
      </c>
    </row>
    <row r="51" spans="2:10">
      <c r="B51" s="130" t="s">
        <v>28</v>
      </c>
      <c r="C51" s="222"/>
      <c r="D51" s="222"/>
      <c r="E51" s="191" t="str">
        <f>mvalloc!E19</f>
        <v xml:space="preserve"> </v>
      </c>
    </row>
    <row r="52" spans="2:10">
      <c r="B52" s="138" t="s">
        <v>123</v>
      </c>
      <c r="C52" s="222"/>
      <c r="D52" s="222"/>
      <c r="E52" s="191" t="str">
        <f>mvalloc!F19</f>
        <v xml:space="preserve"> </v>
      </c>
    </row>
    <row r="53" spans="2:10">
      <c r="B53" s="49"/>
      <c r="C53" s="222"/>
      <c r="D53" s="222"/>
      <c r="E53" s="49"/>
    </row>
    <row r="54" spans="2:10">
      <c r="B54" s="237"/>
      <c r="C54" s="222"/>
      <c r="D54" s="222"/>
      <c r="E54" s="49"/>
    </row>
    <row r="55" spans="2:10">
      <c r="B55" s="237"/>
      <c r="C55" s="222"/>
      <c r="D55" s="222"/>
      <c r="E55" s="49"/>
    </row>
    <row r="56" spans="2:10">
      <c r="B56" s="237"/>
      <c r="C56" s="222"/>
      <c r="D56" s="222"/>
      <c r="E56" s="49"/>
    </row>
    <row r="57" spans="2:10">
      <c r="B57" s="229" t="s">
        <v>31</v>
      </c>
      <c r="C57" s="222"/>
      <c r="D57" s="222"/>
      <c r="E57" s="49"/>
    </row>
    <row r="58" spans="2:10">
      <c r="B58" s="138" t="s">
        <v>270</v>
      </c>
      <c r="C58" s="222"/>
      <c r="D58" s="222"/>
      <c r="E58" s="49"/>
    </row>
    <row r="59" spans="2:10">
      <c r="B59" s="221" t="s">
        <v>793</v>
      </c>
      <c r="C59" s="351" t="str">
        <f>IF(C60*0.1&lt;C58,"Exceed 10% Rule","")</f>
        <v/>
      </c>
      <c r="D59" s="351" t="str">
        <f>IF(D60*0.1&lt;D58,"Exceed 10% Rule","")</f>
        <v/>
      </c>
      <c r="E59" s="368" t="str">
        <f>IF(E60*0.1+E80&lt;E58,"Exceed 10% Rule","")</f>
        <v/>
      </c>
    </row>
    <row r="60" spans="2:10">
      <c r="B60" s="231" t="s">
        <v>32</v>
      </c>
      <c r="C60" s="352">
        <f>SUM(C48:C58)</f>
        <v>0</v>
      </c>
      <c r="D60" s="352">
        <f>SUM(D48:D58)</f>
        <v>0</v>
      </c>
      <c r="E60" s="257">
        <f>SUM(E48:E58)</f>
        <v>0</v>
      </c>
    </row>
    <row r="61" spans="2:10">
      <c r="B61" s="231" t="s">
        <v>33</v>
      </c>
      <c r="C61" s="352">
        <f>C46+C60</f>
        <v>0</v>
      </c>
      <c r="D61" s="352">
        <f>D46+D60</f>
        <v>0</v>
      </c>
      <c r="E61" s="257">
        <f>E46+E60</f>
        <v>0</v>
      </c>
    </row>
    <row r="62" spans="2:10">
      <c r="B62" s="130" t="s">
        <v>35</v>
      </c>
      <c r="C62" s="238"/>
      <c r="D62" s="238"/>
      <c r="E62" s="47"/>
    </row>
    <row r="63" spans="2:10">
      <c r="B63" s="237"/>
      <c r="C63" s="222"/>
      <c r="D63" s="222"/>
      <c r="E63" s="49"/>
    </row>
    <row r="64" spans="2:10">
      <c r="B64" s="237"/>
      <c r="C64" s="222"/>
      <c r="D64" s="222"/>
      <c r="E64" s="49"/>
      <c r="G64" s="847" t="str">
        <f>CONCATENATE("Desired Carryover Into ",E1+1,"")</f>
        <v>Desired Carryover Into 2015</v>
      </c>
      <c r="H64" s="842"/>
      <c r="I64" s="842"/>
      <c r="J64" s="843"/>
    </row>
    <row r="65" spans="2:11">
      <c r="B65" s="237"/>
      <c r="C65" s="222"/>
      <c r="D65" s="222"/>
      <c r="E65" s="49"/>
      <c r="G65" s="699"/>
      <c r="H65" s="686"/>
      <c r="I65" s="693"/>
      <c r="J65" s="700"/>
    </row>
    <row r="66" spans="2:11">
      <c r="B66" s="237"/>
      <c r="C66" s="222"/>
      <c r="D66" s="222"/>
      <c r="E66" s="49"/>
      <c r="G66" s="698" t="s">
        <v>637</v>
      </c>
      <c r="H66" s="693"/>
      <c r="I66" s="693"/>
      <c r="J66" s="687">
        <v>0</v>
      </c>
    </row>
    <row r="67" spans="2:11">
      <c r="B67" s="237"/>
      <c r="C67" s="222"/>
      <c r="D67" s="222"/>
      <c r="E67" s="49"/>
      <c r="G67" s="699" t="s">
        <v>638</v>
      </c>
      <c r="H67" s="686"/>
      <c r="I67" s="686"/>
      <c r="J67" s="727" t="str">
        <f>IF(J66=0,"",ROUND((J66+E80-G79)/inputOth!E7*1000,3)-G84)</f>
        <v/>
      </c>
    </row>
    <row r="68" spans="2:11">
      <c r="B68" s="237"/>
      <c r="C68" s="222"/>
      <c r="D68" s="222"/>
      <c r="E68" s="49"/>
      <c r="G68" s="724" t="str">
        <f>CONCATENATE("",E1," Tot Exp/Non-Appr Must Be:")</f>
        <v>2014 Tot Exp/Non-Appr Must Be:</v>
      </c>
      <c r="H68" s="722"/>
      <c r="I68" s="723"/>
      <c r="J68" s="719">
        <f>IF(J66&gt;0,IF(E77&lt;E61,IF(J66=G79,E77,((J66-G79)*(1-D79))+E61),E77+(J66-G79)),0)</f>
        <v>0</v>
      </c>
    </row>
    <row r="69" spans="2:11">
      <c r="B69" s="237"/>
      <c r="C69" s="222"/>
      <c r="D69" s="222"/>
      <c r="E69" s="49"/>
      <c r="G69" s="589" t="s">
        <v>815</v>
      </c>
      <c r="H69" s="730"/>
      <c r="I69" s="730"/>
      <c r="J69" s="725">
        <f>IF(J66&gt;0,J68-E77,0)</f>
        <v>0</v>
      </c>
    </row>
    <row r="70" spans="2:11">
      <c r="B70" s="238" t="s">
        <v>271</v>
      </c>
      <c r="C70" s="222"/>
      <c r="D70" s="222"/>
      <c r="E70" s="56" t="str">
        <f>nhood!E18</f>
        <v/>
      </c>
      <c r="J70" s="676"/>
    </row>
    <row r="71" spans="2:11">
      <c r="B71" s="238" t="s">
        <v>270</v>
      </c>
      <c r="C71" s="222"/>
      <c r="D71" s="222"/>
      <c r="E71" s="49"/>
      <c r="G71" s="847" t="str">
        <f>CONCATENATE("Projected Carryover Into ",E1+1,"")</f>
        <v>Projected Carryover Into 2015</v>
      </c>
      <c r="H71" s="857"/>
      <c r="I71" s="857"/>
      <c r="J71" s="856"/>
    </row>
    <row r="72" spans="2:11">
      <c r="B72" s="238" t="s">
        <v>794</v>
      </c>
      <c r="C72" s="351" t="str">
        <f>IF(C73*0.1&lt;C71,"Exceed 10% Rule","")</f>
        <v/>
      </c>
      <c r="D72" s="351" t="str">
        <f>IF(D73*0.1&lt;D71,"Exceed 10% Rule","")</f>
        <v/>
      </c>
      <c r="E72" s="368" t="str">
        <f>IF(E73*0.1&lt;E71,"Exceed 10% Rule","")</f>
        <v/>
      </c>
      <c r="G72" s="688"/>
      <c r="H72" s="686"/>
      <c r="I72" s="686"/>
      <c r="J72" s="739"/>
    </row>
    <row r="73" spans="2:11">
      <c r="B73" s="231" t="s">
        <v>39</v>
      </c>
      <c r="C73" s="352">
        <f>SUM(C63:C71)</f>
        <v>0</v>
      </c>
      <c r="D73" s="352">
        <f>SUM(D63:D71)</f>
        <v>0</v>
      </c>
      <c r="E73" s="257">
        <f>SUM(E63:E71)</f>
        <v>0</v>
      </c>
      <c r="G73" s="690">
        <f>D74</f>
        <v>0</v>
      </c>
      <c r="H73" s="691" t="str">
        <f>CONCATENATE("",E1-1," Ending Cash Balance (est.)")</f>
        <v>2013 Ending Cash Balance (est.)</v>
      </c>
      <c r="I73" s="692"/>
      <c r="J73" s="739"/>
    </row>
    <row r="74" spans="2:11">
      <c r="B74" s="130" t="s">
        <v>147</v>
      </c>
      <c r="C74" s="349">
        <f>C61-C73</f>
        <v>0</v>
      </c>
      <c r="D74" s="349">
        <f>D61-D73</f>
        <v>0</v>
      </c>
      <c r="E74" s="252" t="s">
        <v>13</v>
      </c>
      <c r="G74" s="690">
        <f>E60</f>
        <v>0</v>
      </c>
      <c r="H74" s="693" t="str">
        <f>CONCATENATE("",E1," Non-AV Receipts (est.)")</f>
        <v>2014 Non-AV Receipts (est.)</v>
      </c>
      <c r="I74" s="692"/>
      <c r="J74" s="739"/>
    </row>
    <row r="75" spans="2:11">
      <c r="B75" s="118" t="str">
        <f>CONCATENATE("",$E$1-2,"/",$E$1-1," Budget Authority Amount:")</f>
        <v>2012/2013 Budget Authority Amount:</v>
      </c>
      <c r="C75" s="181">
        <f>inputOth!B73</f>
        <v>0</v>
      </c>
      <c r="D75" s="240">
        <f>inputPrYr!D30</f>
        <v>0</v>
      </c>
      <c r="E75" s="252" t="s">
        <v>13</v>
      </c>
      <c r="F75" s="241"/>
      <c r="G75" s="694">
        <f>IF(D79&gt;0,E78,E80)</f>
        <v>0</v>
      </c>
      <c r="H75" s="693" t="str">
        <f>CONCATENATE("",E1," Ad Valorem Tax (est.)")</f>
        <v>2014 Ad Valorem Tax (est.)</v>
      </c>
      <c r="I75" s="692"/>
      <c r="J75" s="739"/>
      <c r="K75" s="592" t="str">
        <f>IF(G75=E80,"","Note: Does not include Delinquent Taxes")</f>
        <v/>
      </c>
    </row>
    <row r="76" spans="2:11">
      <c r="B76" s="118"/>
      <c r="C76" s="835" t="s">
        <v>629</v>
      </c>
      <c r="D76" s="836"/>
      <c r="E76" s="49"/>
      <c r="F76" s="241" t="str">
        <f>IF(E73/0.95-E73&lt;E76,"Exceeds 5%","")</f>
        <v/>
      </c>
      <c r="G76" s="701">
        <f>SUM(G73:G75)</f>
        <v>0</v>
      </c>
      <c r="H76" s="693" t="str">
        <f>CONCATENATE("Total ",E1," Resources Available")</f>
        <v>Total 2014 Resources Available</v>
      </c>
      <c r="I76" s="689"/>
      <c r="J76" s="739"/>
    </row>
    <row r="77" spans="2:11">
      <c r="B77" s="370" t="str">
        <f>CONCATENATE(C95,"     ",D95)</f>
        <v xml:space="preserve">     </v>
      </c>
      <c r="C77" s="837" t="s">
        <v>630</v>
      </c>
      <c r="D77" s="838"/>
      <c r="E77" s="191">
        <f>E73+E76</f>
        <v>0</v>
      </c>
      <c r="G77" s="704"/>
      <c r="H77" s="702"/>
      <c r="I77" s="686"/>
      <c r="J77" s="739"/>
    </row>
    <row r="78" spans="2:11">
      <c r="B78" s="370" t="str">
        <f>CONCATENATE(C96,"     ",D96)</f>
        <v xml:space="preserve">     </v>
      </c>
      <c r="C78" s="242"/>
      <c r="D78" s="146" t="s">
        <v>40</v>
      </c>
      <c r="E78" s="191">
        <f>IF(E77-E61&gt;0,E77-E61,0)</f>
        <v>0</v>
      </c>
      <c r="G78" s="703">
        <f>ROUND(C73*0.05+C73,0)</f>
        <v>0</v>
      </c>
      <c r="H78" s="702" t="str">
        <f>CONCATENATE("Less ",E1-2," Expenditures + 5%")</f>
        <v>Less 2012 Expenditures + 5%</v>
      </c>
      <c r="I78" s="689"/>
      <c r="J78" s="739"/>
    </row>
    <row r="79" spans="2:11">
      <c r="B79" s="146"/>
      <c r="C79" s="356" t="s">
        <v>631</v>
      </c>
      <c r="D79" s="591">
        <f>inputOth!$E$47</f>
        <v>0.01</v>
      </c>
      <c r="E79" s="191">
        <f>ROUND(IF(D79&gt;0,(E78*D79),0),0)</f>
        <v>0</v>
      </c>
      <c r="G79" s="705">
        <f>G76-G78</f>
        <v>0</v>
      </c>
      <c r="H79" s="706" t="str">
        <f>CONCATENATE("Projected ",E1+1," carryover (est.)")</f>
        <v>Projected 2015 carryover (est.)</v>
      </c>
      <c r="I79" s="697"/>
      <c r="J79" s="737"/>
    </row>
    <row r="80" spans="2:11" ht="16.5" thickBot="1">
      <c r="B80" s="21"/>
      <c r="C80" s="839" t="str">
        <f>CONCATENATE("Amount of  ",$E$1-1," Ad Valorem Tax")</f>
        <v>Amount of  2013 Ad Valorem Tax</v>
      </c>
      <c r="D80" s="840"/>
      <c r="E80" s="258">
        <f>E78+E79</f>
        <v>0</v>
      </c>
      <c r="G80" s="676"/>
      <c r="H80" s="676"/>
      <c r="I80" s="676"/>
    </row>
    <row r="81" spans="2:10" ht="16.5" thickTop="1">
      <c r="B81" s="21"/>
      <c r="C81" s="851"/>
      <c r="D81" s="851"/>
      <c r="E81" s="21"/>
      <c r="G81" s="844" t="s">
        <v>871</v>
      </c>
      <c r="H81" s="845"/>
      <c r="I81" s="845"/>
      <c r="J81" s="846"/>
    </row>
    <row r="82" spans="2:10">
      <c r="B82" s="21"/>
      <c r="C82" s="21"/>
      <c r="D82" s="21"/>
      <c r="E82" s="21"/>
      <c r="G82" s="732"/>
      <c r="H82" s="691"/>
      <c r="I82" s="720"/>
      <c r="J82" s="721"/>
    </row>
    <row r="83" spans="2:10">
      <c r="B83" s="118" t="s">
        <v>42</v>
      </c>
      <c r="C83" s="248"/>
      <c r="D83" s="21"/>
      <c r="E83" s="21"/>
      <c r="G83" s="734" t="str">
        <f>summ!H28</f>
        <v xml:space="preserve">  </v>
      </c>
      <c r="H83" s="691" t="str">
        <f>CONCATENATE("",E1," Fund Mill Rate")</f>
        <v>2014 Fund Mill Rate</v>
      </c>
      <c r="I83" s="720"/>
      <c r="J83" s="721"/>
    </row>
    <row r="84" spans="2:10">
      <c r="G84" s="733" t="str">
        <f>summ!E28</f>
        <v xml:space="preserve">  </v>
      </c>
      <c r="H84" s="691" t="str">
        <f>CONCATENATE("",E1-1," Fund Mill Rate")</f>
        <v>2013 Fund Mill Rate</v>
      </c>
      <c r="I84" s="720"/>
      <c r="J84" s="721"/>
    </row>
    <row r="85" spans="2:10">
      <c r="G85" s="735">
        <f>summ!H43</f>
        <v>46.652000000000001</v>
      </c>
      <c r="H85" s="691" t="str">
        <f>CONCATENATE("Total ",E1," Mill Rate")</f>
        <v>Total 2014 Mill Rate</v>
      </c>
      <c r="I85" s="720"/>
      <c r="J85" s="721"/>
    </row>
    <row r="86" spans="2:10">
      <c r="G86" s="733">
        <f>summ!E43</f>
        <v>48.61</v>
      </c>
      <c r="H86" s="716" t="str">
        <f>CONCATENATE("Total ",E1-1," Mill Rate")</f>
        <v>Total 2013 Mill Rate</v>
      </c>
      <c r="I86" s="717"/>
      <c r="J86" s="718"/>
    </row>
    <row r="88" spans="2:10">
      <c r="G88" s="779" t="s">
        <v>977</v>
      </c>
      <c r="H88" s="780"/>
      <c r="I88" s="778" t="str">
        <f>cert!F49</f>
        <v>No</v>
      </c>
    </row>
    <row r="93" spans="2:10" hidden="1">
      <c r="C93" s="371" t="str">
        <f>IF(C33&gt;C35,"See Tab A","")</f>
        <v/>
      </c>
      <c r="D93" s="371" t="str">
        <f>IF(D33&gt;D35,"See Tab C","")</f>
        <v/>
      </c>
    </row>
    <row r="94" spans="2:10" hidden="1">
      <c r="C94" s="371" t="str">
        <f>IF(C34&lt;0,"See Tab B","")</f>
        <v/>
      </c>
      <c r="D94" s="371" t="str">
        <f>IF(D34&lt;0,"See Tab D","")</f>
        <v/>
      </c>
    </row>
    <row r="95" spans="2:10" hidden="1">
      <c r="C95" s="371" t="str">
        <f>IF(C73&gt;C75,"See Tab A","")</f>
        <v/>
      </c>
      <c r="D95" s="371" t="str">
        <f>IF(D73&gt;D75,"See Tab C","")</f>
        <v/>
      </c>
    </row>
    <row r="96" spans="2:10" hidden="1">
      <c r="C96" s="371" t="str">
        <f>IF(C74&lt;0,"See Tab B","")</f>
        <v/>
      </c>
      <c r="D96" s="371" t="str">
        <f>IF(D74&lt;0,"See Tab D","")</f>
        <v/>
      </c>
    </row>
  </sheetData>
  <sheetProtection sheet="1"/>
  <mergeCells count="14">
    <mergeCell ref="G24:J24"/>
    <mergeCell ref="G31:J31"/>
    <mergeCell ref="G41:J41"/>
    <mergeCell ref="G64:J64"/>
    <mergeCell ref="G71:J71"/>
    <mergeCell ref="C36:D36"/>
    <mergeCell ref="C37:D37"/>
    <mergeCell ref="C40:D40"/>
    <mergeCell ref="C80:D80"/>
    <mergeCell ref="G81:J81"/>
    <mergeCell ref="C81:D81"/>
    <mergeCell ref="C41:D41"/>
    <mergeCell ref="C76:D76"/>
    <mergeCell ref="C77:D77"/>
  </mergeCells>
  <phoneticPr fontId="0" type="noConversion"/>
  <conditionalFormatting sqref="E31">
    <cfRule type="cellIs" dxfId="135" priority="3" stopIfTrue="1" operator="greaterThan">
      <formula>$E$33*0.1</formula>
    </cfRule>
  </conditionalFormatting>
  <conditionalFormatting sqref="E36">
    <cfRule type="cellIs" dxfId="134" priority="4" stopIfTrue="1" operator="greaterThan">
      <formula>$E$33/0.95-$E$33</formula>
    </cfRule>
  </conditionalFormatting>
  <conditionalFormatting sqref="E71">
    <cfRule type="cellIs" dxfId="133" priority="5" stopIfTrue="1" operator="greaterThan">
      <formula>$E$73*0.1</formula>
    </cfRule>
  </conditionalFormatting>
  <conditionalFormatting sqref="E76">
    <cfRule type="cellIs" dxfId="132" priority="6" stopIfTrue="1" operator="greaterThan">
      <formula>$E$73/0.95-$E$73</formula>
    </cfRule>
  </conditionalFormatting>
  <conditionalFormatting sqref="D33">
    <cfRule type="cellIs" dxfId="131" priority="7" stopIfTrue="1" operator="greaterThan">
      <formula>$D$35</formula>
    </cfRule>
  </conditionalFormatting>
  <conditionalFormatting sqref="C33">
    <cfRule type="cellIs" dxfId="130" priority="8" stopIfTrue="1" operator="greaterThan">
      <formula>$C$35</formula>
    </cfRule>
  </conditionalFormatting>
  <conditionalFormatting sqref="C34 C74">
    <cfRule type="cellIs" dxfId="129" priority="9" stopIfTrue="1" operator="lessThan">
      <formula>0</formula>
    </cfRule>
  </conditionalFormatting>
  <conditionalFormatting sqref="D73">
    <cfRule type="cellIs" dxfId="128" priority="10" stopIfTrue="1" operator="greaterThan">
      <formula>$D$75</formula>
    </cfRule>
  </conditionalFormatting>
  <conditionalFormatting sqref="C73">
    <cfRule type="cellIs" dxfId="127" priority="11" stopIfTrue="1" operator="greaterThan">
      <formula>$C$75</formula>
    </cfRule>
  </conditionalFormatting>
  <conditionalFormatting sqref="C71">
    <cfRule type="cellIs" dxfId="126" priority="12" stopIfTrue="1" operator="greaterThan">
      <formula>$C$73*0.1</formula>
    </cfRule>
  </conditionalFormatting>
  <conditionalFormatting sqref="D71">
    <cfRule type="cellIs" dxfId="125" priority="13" stopIfTrue="1" operator="greaterThan">
      <formula>$D$73*0.1</formula>
    </cfRule>
  </conditionalFormatting>
  <conditionalFormatting sqref="C31">
    <cfRule type="cellIs" dxfId="124" priority="14" stopIfTrue="1" operator="greaterThan">
      <formula>$C$33*0.1</formula>
    </cfRule>
  </conditionalFormatting>
  <conditionalFormatting sqref="D31">
    <cfRule type="cellIs" dxfId="123" priority="15" stopIfTrue="1" operator="greaterThan">
      <formula>$D$33*0.1</formula>
    </cfRule>
  </conditionalFormatting>
  <conditionalFormatting sqref="D58">
    <cfRule type="cellIs" dxfId="122" priority="16" stopIfTrue="1" operator="greaterThan">
      <formula>$D$60*0.1</formula>
    </cfRule>
  </conditionalFormatting>
  <conditionalFormatting sqref="C58">
    <cfRule type="cellIs" dxfId="121" priority="17" stopIfTrue="1" operator="greaterThan">
      <formula>$C$60*0.1</formula>
    </cfRule>
  </conditionalFormatting>
  <conditionalFormatting sqref="D18">
    <cfRule type="cellIs" dxfId="120" priority="18" stopIfTrue="1" operator="greaterThan">
      <formula>$D$20*0.1</formula>
    </cfRule>
  </conditionalFormatting>
  <conditionalFormatting sqref="C18">
    <cfRule type="cellIs" dxfId="119" priority="19" stopIfTrue="1" operator="greaterThan">
      <formula>$C$20*0.1</formula>
    </cfRule>
  </conditionalFormatting>
  <conditionalFormatting sqref="E58">
    <cfRule type="cellIs" dxfId="118" priority="20" stopIfTrue="1" operator="greaterThan">
      <formula>$E$60*0.1+E80</formula>
    </cfRule>
  </conditionalFormatting>
  <conditionalFormatting sqref="E18">
    <cfRule type="cellIs" dxfId="117" priority="21" stopIfTrue="1" operator="greaterThan">
      <formula>$E$20*0.1+E40</formula>
    </cfRule>
  </conditionalFormatting>
  <conditionalFormatting sqref="D74 D34">
    <cfRule type="cellIs" dxfId="116" priority="2" stopIfTrue="1" operator="lessThan">
      <formula>0</formula>
    </cfRule>
  </conditionalFormatting>
  <pageMargins left="0.5" right="0.5" top="1" bottom="0.5" header="0.5" footer="0.5"/>
  <pageSetup scale="56" orientation="portrait" blackAndWhite="1" horizontalDpi="120" verticalDpi="144" r:id="rId1"/>
  <headerFooter alignWithMargins="0">
    <oddHeader xml:space="preserve">&amp;RState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workbookViewId="0">
      <selection activeCell="B49" sqref="B49"/>
    </sheetView>
  </sheetViews>
  <sheetFormatPr defaultRowHeight="15.75"/>
  <cols>
    <col min="1" max="1" width="2.44140625" style="22" customWidth="1"/>
    <col min="2" max="2" width="31.109375" style="22" customWidth="1"/>
    <col min="3" max="4" width="15.77734375" style="22" customWidth="1"/>
    <col min="5" max="5" width="16.21875" style="22" customWidth="1"/>
    <col min="6" max="16384" width="8.88671875" style="22"/>
  </cols>
  <sheetData>
    <row r="1" spans="2:5">
      <c r="B1" s="150" t="str">
        <f>(inputPrYr!D2)</f>
        <v>CITY OF HOXIE</v>
      </c>
      <c r="C1" s="21"/>
      <c r="D1" s="21"/>
      <c r="E1" s="210">
        <f>inputPrYr!C5</f>
        <v>2014</v>
      </c>
    </row>
    <row r="2" spans="2:5">
      <c r="B2" s="21"/>
      <c r="C2" s="21"/>
      <c r="D2" s="21"/>
      <c r="E2" s="146"/>
    </row>
    <row r="3" spans="2:5">
      <c r="B3" s="40" t="s">
        <v>92</v>
      </c>
      <c r="C3" s="256"/>
      <c r="D3" s="256"/>
      <c r="E3" s="256"/>
    </row>
    <row r="4" spans="2:5">
      <c r="B4" s="28" t="s">
        <v>24</v>
      </c>
      <c r="C4" s="658" t="s">
        <v>810</v>
      </c>
      <c r="D4" s="659" t="s">
        <v>811</v>
      </c>
      <c r="E4" s="124" t="s">
        <v>812</v>
      </c>
    </row>
    <row r="5" spans="2:5">
      <c r="B5" s="367" t="str">
        <f>(inputPrYr!B34)</f>
        <v>Special Highway</v>
      </c>
      <c r="C5" s="350" t="str">
        <f>CONCATENATE("Actual for ",E1-2,"")</f>
        <v>Actual for 2012</v>
      </c>
      <c r="D5" s="350" t="str">
        <f>CONCATENATE("Estimate for ",E1-1,"")</f>
        <v>Estimate for 2013</v>
      </c>
      <c r="E5" s="220" t="str">
        <f>CONCATENATE("Year for ",E1,"")</f>
        <v>Year for 2014</v>
      </c>
    </row>
    <row r="6" spans="2:5">
      <c r="B6" s="221" t="s">
        <v>146</v>
      </c>
      <c r="C6" s="49">
        <v>5968</v>
      </c>
      <c r="D6" s="191">
        <f>C29</f>
        <v>3944</v>
      </c>
      <c r="E6" s="191">
        <f>D29</f>
        <v>1088</v>
      </c>
    </row>
    <row r="7" spans="2:5">
      <c r="B7" s="224" t="s">
        <v>148</v>
      </c>
      <c r="C7" s="67"/>
      <c r="D7" s="67"/>
      <c r="E7" s="67"/>
    </row>
    <row r="8" spans="2:5">
      <c r="B8" s="238" t="s">
        <v>126</v>
      </c>
      <c r="C8" s="49">
        <v>31088</v>
      </c>
      <c r="D8" s="191">
        <f>inputOth!E53</f>
        <v>30150</v>
      </c>
      <c r="E8" s="191">
        <f>inputOth!E51</f>
        <v>31230</v>
      </c>
    </row>
    <row r="9" spans="2:5">
      <c r="B9" s="238" t="s">
        <v>265</v>
      </c>
      <c r="C9" s="49"/>
      <c r="D9" s="191">
        <f>inputOth!E54</f>
        <v>0</v>
      </c>
      <c r="E9" s="191">
        <f>inputOth!E52</f>
        <v>0</v>
      </c>
    </row>
    <row r="10" spans="2:5">
      <c r="B10" s="237"/>
      <c r="C10" s="49"/>
      <c r="D10" s="49"/>
      <c r="E10" s="49"/>
    </row>
    <row r="11" spans="2:5">
      <c r="B11" s="237"/>
      <c r="C11" s="49"/>
      <c r="D11" s="49"/>
      <c r="E11" s="49"/>
    </row>
    <row r="12" spans="2:5">
      <c r="B12" s="229" t="s">
        <v>31</v>
      </c>
      <c r="C12" s="49"/>
      <c r="D12" s="49"/>
      <c r="E12" s="49"/>
    </row>
    <row r="13" spans="2:5">
      <c r="B13" s="138" t="s">
        <v>270</v>
      </c>
      <c r="C13" s="49"/>
      <c r="D13" s="49"/>
      <c r="E13" s="49"/>
    </row>
    <row r="14" spans="2:5">
      <c r="B14" s="221" t="s">
        <v>793</v>
      </c>
      <c r="C14" s="368" t="str">
        <f>IF(C15*0.1&lt;C13,"Exceed 10% Rule","")</f>
        <v/>
      </c>
      <c r="D14" s="253" t="str">
        <f>IF(D15*0.1&lt;D13,"Exceed 10% Rule","")</f>
        <v/>
      </c>
      <c r="E14" s="253" t="str">
        <f>IF(E15*0.1&lt;E13,"Exceed 10% Rule","")</f>
        <v/>
      </c>
    </row>
    <row r="15" spans="2:5">
      <c r="B15" s="231" t="s">
        <v>32</v>
      </c>
      <c r="C15" s="257">
        <f>SUM(C8:C13)</f>
        <v>31088</v>
      </c>
      <c r="D15" s="257">
        <f>SUM(D8:D13)</f>
        <v>30150</v>
      </c>
      <c r="E15" s="257">
        <f>SUM(E8:E13)</f>
        <v>31230</v>
      </c>
    </row>
    <row r="16" spans="2:5">
      <c r="B16" s="231" t="s">
        <v>33</v>
      </c>
      <c r="C16" s="257">
        <f>C6+C15</f>
        <v>37056</v>
      </c>
      <c r="D16" s="257">
        <f>D6+D15</f>
        <v>34094</v>
      </c>
      <c r="E16" s="257">
        <f>E6+E15</f>
        <v>32318</v>
      </c>
    </row>
    <row r="17" spans="2:5">
      <c r="B17" s="130" t="s">
        <v>35</v>
      </c>
      <c r="C17" s="191"/>
      <c r="D17" s="191"/>
      <c r="E17" s="191"/>
    </row>
    <row r="18" spans="2:5">
      <c r="B18" s="237" t="s">
        <v>1036</v>
      </c>
      <c r="C18" s="49">
        <v>33112</v>
      </c>
      <c r="D18" s="49">
        <v>33006</v>
      </c>
      <c r="E18" s="49">
        <v>32318</v>
      </c>
    </row>
    <row r="19" spans="2:5">
      <c r="B19" s="237"/>
      <c r="C19" s="49"/>
      <c r="D19" s="49"/>
      <c r="E19" s="49"/>
    </row>
    <row r="20" spans="2:5">
      <c r="B20" s="237"/>
      <c r="C20" s="49"/>
      <c r="D20" s="49"/>
      <c r="E20" s="49"/>
    </row>
    <row r="21" spans="2:5">
      <c r="B21" s="237"/>
      <c r="C21" s="49"/>
      <c r="D21" s="49"/>
      <c r="E21" s="49"/>
    </row>
    <row r="22" spans="2:5">
      <c r="B22" s="237"/>
      <c r="C22" s="49"/>
      <c r="D22" s="49"/>
      <c r="E22" s="49"/>
    </row>
    <row r="23" spans="2:5">
      <c r="B23" s="237"/>
      <c r="C23" s="49"/>
      <c r="D23" s="49"/>
      <c r="E23" s="49"/>
    </row>
    <row r="24" spans="2:5">
      <c r="B24" s="237"/>
      <c r="C24" s="49"/>
      <c r="D24" s="49"/>
      <c r="E24" s="49"/>
    </row>
    <row r="25" spans="2:5">
      <c r="B25" s="237"/>
      <c r="C25" s="49"/>
      <c r="D25" s="49"/>
      <c r="E25" s="49"/>
    </row>
    <row r="26" spans="2:5">
      <c r="B26" s="238" t="s">
        <v>270</v>
      </c>
      <c r="C26" s="49"/>
      <c r="D26" s="49"/>
      <c r="E26" s="49"/>
    </row>
    <row r="27" spans="2:5">
      <c r="B27" s="238" t="s">
        <v>794</v>
      </c>
      <c r="C27" s="368" t="str">
        <f>IF(C28*0.1&lt;C26,"Exceed 10% Rule","")</f>
        <v/>
      </c>
      <c r="D27" s="253" t="str">
        <f>IF(D28*0.1&lt;D26,"Exceed 10% Rule","")</f>
        <v/>
      </c>
      <c r="E27" s="253" t="str">
        <f>IF(E28*0.1&lt;E26,"Exceed 10% Rule","")</f>
        <v/>
      </c>
    </row>
    <row r="28" spans="2:5">
      <c r="B28" s="231" t="s">
        <v>39</v>
      </c>
      <c r="C28" s="257">
        <f>SUM(C18:C26)</f>
        <v>33112</v>
      </c>
      <c r="D28" s="257">
        <f>SUM(D18:D26)</f>
        <v>33006</v>
      </c>
      <c r="E28" s="257">
        <f>SUM(E18:E26)</f>
        <v>32318</v>
      </c>
    </row>
    <row r="29" spans="2:5">
      <c r="B29" s="130" t="s">
        <v>147</v>
      </c>
      <c r="C29" s="191">
        <f>C16-C28</f>
        <v>3944</v>
      </c>
      <c r="D29" s="191">
        <f>D16-D28</f>
        <v>1088</v>
      </c>
      <c r="E29" s="191">
        <f>E16-E28</f>
        <v>0</v>
      </c>
    </row>
    <row r="30" spans="2:5">
      <c r="B30" s="118" t="str">
        <f>CONCATENATE("",$E$1-2,"/",$E$1-1," Budget Authority Amount:")</f>
        <v>2012/2013 Budget Authority Amount:</v>
      </c>
      <c r="C30" s="181">
        <f>inputOth!B74</f>
        <v>35415</v>
      </c>
      <c r="D30" s="181">
        <f>inputPrYr!D34</f>
        <v>33006</v>
      </c>
      <c r="E30" s="409" t="str">
        <f>IF(E29&lt;0,"See Tab E","")</f>
        <v/>
      </c>
    </row>
    <row r="31" spans="2:5">
      <c r="B31" s="118"/>
      <c r="C31" s="242" t="str">
        <f>IF(C28&gt;C30,"See Tab A","")</f>
        <v/>
      </c>
      <c r="D31" s="242" t="str">
        <f>IF(D28&gt;D30,"See Tab C","")</f>
        <v/>
      </c>
      <c r="E31" s="50"/>
    </row>
    <row r="32" spans="2:5">
      <c r="B32" s="118"/>
      <c r="C32" s="242" t="str">
        <f>IF(C29&lt;0,"See Tab B","")</f>
        <v/>
      </c>
      <c r="D32" s="242" t="str">
        <f>IF(D29&lt;0,"See Tab D","")</f>
        <v/>
      </c>
      <c r="E32" s="50"/>
    </row>
    <row r="33" spans="2:5">
      <c r="B33" s="21"/>
      <c r="C33" s="50"/>
      <c r="D33" s="50"/>
      <c r="E33" s="50"/>
    </row>
    <row r="34" spans="2:5">
      <c r="B34" s="28" t="s">
        <v>24</v>
      </c>
      <c r="C34" s="262"/>
      <c r="D34" s="262"/>
      <c r="E34" s="262"/>
    </row>
    <row r="35" spans="2:5">
      <c r="B35" s="21"/>
      <c r="C35" s="245" t="str">
        <f t="shared" ref="C35:E36" si="0">C4</f>
        <v xml:space="preserve">Prior Year </v>
      </c>
      <c r="D35" s="124" t="str">
        <f t="shared" si="0"/>
        <v>Current Year</v>
      </c>
      <c r="E35" s="124" t="str">
        <f t="shared" si="0"/>
        <v>Proposed Budget</v>
      </c>
    </row>
    <row r="36" spans="2:5">
      <c r="B36" s="366" t="str">
        <f>(inputPrYr!B35)</f>
        <v>Special Parks &amp; Recreation</v>
      </c>
      <c r="C36" s="220" t="str">
        <f t="shared" si="0"/>
        <v>Actual for 2012</v>
      </c>
      <c r="D36" s="220" t="str">
        <f t="shared" si="0"/>
        <v>Estimate for 2013</v>
      </c>
      <c r="E36" s="220" t="str">
        <f t="shared" si="0"/>
        <v>Year for 2014</v>
      </c>
    </row>
    <row r="37" spans="2:5">
      <c r="B37" s="221" t="s">
        <v>146</v>
      </c>
      <c r="C37" s="49">
        <v>2299</v>
      </c>
      <c r="D37" s="191">
        <f>C60</f>
        <v>2821</v>
      </c>
      <c r="E37" s="191">
        <f>D60</f>
        <v>3336</v>
      </c>
    </row>
    <row r="38" spans="2:5">
      <c r="B38" s="221" t="s">
        <v>148</v>
      </c>
      <c r="C38" s="67"/>
      <c r="D38" s="67"/>
      <c r="E38" s="67"/>
    </row>
    <row r="39" spans="2:5">
      <c r="B39" s="237" t="s">
        <v>1038</v>
      </c>
      <c r="C39" s="49">
        <v>522</v>
      </c>
      <c r="D39" s="49">
        <v>515</v>
      </c>
      <c r="E39" s="49">
        <v>515</v>
      </c>
    </row>
    <row r="40" spans="2:5">
      <c r="B40" s="237"/>
      <c r="C40" s="49"/>
      <c r="D40" s="49"/>
      <c r="E40" s="49"/>
    </row>
    <row r="41" spans="2:5">
      <c r="B41" s="237"/>
      <c r="C41" s="49"/>
      <c r="D41" s="49"/>
      <c r="E41" s="49"/>
    </row>
    <row r="42" spans="2:5">
      <c r="B42" s="237"/>
      <c r="C42" s="49"/>
      <c r="D42" s="49"/>
      <c r="E42" s="49"/>
    </row>
    <row r="43" spans="2:5">
      <c r="B43" s="229" t="s">
        <v>31</v>
      </c>
      <c r="C43" s="49"/>
      <c r="D43" s="49"/>
      <c r="E43" s="49"/>
    </row>
    <row r="44" spans="2:5">
      <c r="B44" s="138" t="s">
        <v>270</v>
      </c>
      <c r="C44" s="49"/>
      <c r="D44" s="49"/>
      <c r="E44" s="49"/>
    </row>
    <row r="45" spans="2:5">
      <c r="B45" s="221" t="s">
        <v>793</v>
      </c>
      <c r="C45" s="368" t="str">
        <f>IF(C46*0.1&lt;C44,"Exceed 10% Rule","")</f>
        <v/>
      </c>
      <c r="D45" s="253" t="str">
        <f>IF(D46*0.1&lt;D44,"Exceed 10% Rule","")</f>
        <v/>
      </c>
      <c r="E45" s="253" t="str">
        <f>IF(E46*0.1&lt;E44,"Exceed 10% Rule","")</f>
        <v/>
      </c>
    </row>
    <row r="46" spans="2:5">
      <c r="B46" s="231" t="s">
        <v>32</v>
      </c>
      <c r="C46" s="257">
        <f>SUM(C39:C44)</f>
        <v>522</v>
      </c>
      <c r="D46" s="257">
        <f>SUM(D39:D44)</f>
        <v>515</v>
      </c>
      <c r="E46" s="257">
        <f>SUM(E39:E44)</f>
        <v>515</v>
      </c>
    </row>
    <row r="47" spans="2:5">
      <c r="B47" s="231" t="s">
        <v>33</v>
      </c>
      <c r="C47" s="257">
        <f>C37+C46</f>
        <v>2821</v>
      </c>
      <c r="D47" s="257">
        <f>D37+D46</f>
        <v>3336</v>
      </c>
      <c r="E47" s="257">
        <f>E37+E46</f>
        <v>3851</v>
      </c>
    </row>
    <row r="48" spans="2:5">
      <c r="B48" s="130" t="s">
        <v>35</v>
      </c>
      <c r="C48" s="191"/>
      <c r="D48" s="191"/>
      <c r="E48" s="191"/>
    </row>
    <row r="49" spans="2:5">
      <c r="B49" s="237" t="s">
        <v>1073</v>
      </c>
      <c r="C49" s="49"/>
      <c r="D49" s="49"/>
      <c r="E49" s="49">
        <v>3851</v>
      </c>
    </row>
    <row r="50" spans="2:5">
      <c r="B50" s="237"/>
      <c r="C50" s="49"/>
      <c r="D50" s="49"/>
      <c r="E50" s="49"/>
    </row>
    <row r="51" spans="2:5">
      <c r="B51" s="237"/>
      <c r="C51" s="49"/>
      <c r="D51" s="49"/>
      <c r="E51" s="49"/>
    </row>
    <row r="52" spans="2:5">
      <c r="B52" s="237"/>
      <c r="C52" s="49"/>
      <c r="D52" s="49"/>
      <c r="E52" s="49"/>
    </row>
    <row r="53" spans="2:5">
      <c r="B53" s="237"/>
      <c r="C53" s="49"/>
      <c r="D53" s="49"/>
      <c r="E53" s="49"/>
    </row>
    <row r="54" spans="2:5">
      <c r="B54" s="237"/>
      <c r="C54" s="49"/>
      <c r="D54" s="49"/>
      <c r="E54" s="49"/>
    </row>
    <row r="55" spans="2:5">
      <c r="B55" s="237"/>
      <c r="C55" s="49"/>
      <c r="D55" s="49"/>
      <c r="E55" s="49"/>
    </row>
    <row r="56" spans="2:5">
      <c r="B56" s="237"/>
      <c r="C56" s="49"/>
      <c r="D56" s="49"/>
      <c r="E56" s="49"/>
    </row>
    <row r="57" spans="2:5">
      <c r="B57" s="238" t="s">
        <v>270</v>
      </c>
      <c r="C57" s="49"/>
      <c r="D57" s="49"/>
      <c r="E57" s="49"/>
    </row>
    <row r="58" spans="2:5">
      <c r="B58" s="238" t="s">
        <v>794</v>
      </c>
      <c r="C58" s="368" t="str">
        <f>IF(C59*0.1&lt;C57,"Exceed 10% Rule","")</f>
        <v/>
      </c>
      <c r="D58" s="253" t="str">
        <f>IF(D59*0.1&lt;D57,"Exceed 10% Rule","")</f>
        <v/>
      </c>
      <c r="E58" s="253" t="str">
        <f>IF(E59*0.1&lt;E57,"Exceed 10% Rule","")</f>
        <v/>
      </c>
    </row>
    <row r="59" spans="2:5">
      <c r="B59" s="231" t="s">
        <v>39</v>
      </c>
      <c r="C59" s="257">
        <f>SUM(C49:C57)</f>
        <v>0</v>
      </c>
      <c r="D59" s="257">
        <f>SUM(D49:D57)</f>
        <v>0</v>
      </c>
      <c r="E59" s="257">
        <f>SUM(E49:E57)</f>
        <v>3851</v>
      </c>
    </row>
    <row r="60" spans="2:5">
      <c r="B60" s="130" t="s">
        <v>147</v>
      </c>
      <c r="C60" s="191">
        <f>C47-C59</f>
        <v>2821</v>
      </c>
      <c r="D60" s="191">
        <f>D47-D59</f>
        <v>3336</v>
      </c>
      <c r="E60" s="191">
        <f>E47-E59</f>
        <v>0</v>
      </c>
    </row>
    <row r="61" spans="2:5">
      <c r="B61" s="118" t="str">
        <f>CONCATENATE("",$E$1-2,"/",$E$1-1," Budget Authority Amount:")</f>
        <v>2012/2013 Budget Authority Amount:</v>
      </c>
      <c r="C61" s="181">
        <f>inputOth!B75</f>
        <v>4177</v>
      </c>
      <c r="D61" s="181">
        <f>inputPrYr!D35</f>
        <v>3149</v>
      </c>
      <c r="E61" s="409" t="str">
        <f>IF(E60&lt;0,"See Tab E","")</f>
        <v/>
      </c>
    </row>
    <row r="62" spans="2:5">
      <c r="B62" s="118"/>
      <c r="C62" s="242" t="str">
        <f>IF(C59&gt;C61,"See Tab A","")</f>
        <v/>
      </c>
      <c r="D62" s="242" t="str">
        <f>IF(D59&gt;D61,"See Tab C","")</f>
        <v/>
      </c>
      <c r="E62" s="21"/>
    </row>
    <row r="63" spans="2:5">
      <c r="B63" s="118"/>
      <c r="C63" s="242" t="str">
        <f>IF(C60&lt;0,"See Tab B","")</f>
        <v/>
      </c>
      <c r="D63" s="242" t="str">
        <f>IF(D60&lt;0,"See Tab D","")</f>
        <v/>
      </c>
      <c r="E63" s="21"/>
    </row>
    <row r="64" spans="2:5">
      <c r="B64" s="21"/>
      <c r="C64" s="21"/>
      <c r="D64" s="21"/>
      <c r="E64" s="21"/>
    </row>
    <row r="65" spans="2:5">
      <c r="B65" s="118" t="s">
        <v>42</v>
      </c>
      <c r="C65" s="248">
        <v>12</v>
      </c>
      <c r="D65" s="21"/>
      <c r="E65" s="21"/>
    </row>
  </sheetData>
  <sheetProtection sheet="1"/>
  <phoneticPr fontId="0" type="noConversion"/>
  <conditionalFormatting sqref="C44">
    <cfRule type="cellIs" dxfId="115" priority="3" stopIfTrue="1" operator="greaterThan">
      <formula>$C$46*0.1</formula>
    </cfRule>
  </conditionalFormatting>
  <conditionalFormatting sqref="D44">
    <cfRule type="cellIs" dxfId="114" priority="4" stopIfTrue="1" operator="greaterThan">
      <formula>$D$46*0.1</formula>
    </cfRule>
  </conditionalFormatting>
  <conditionalFormatting sqref="E44">
    <cfRule type="cellIs" dxfId="113" priority="5" stopIfTrue="1" operator="greaterThan">
      <formula>$E$46*0.1</formula>
    </cfRule>
  </conditionalFormatting>
  <conditionalFormatting sqref="C57">
    <cfRule type="cellIs" dxfId="112" priority="6" stopIfTrue="1" operator="greaterThan">
      <formula>$C$59*0.1</formula>
    </cfRule>
  </conditionalFormatting>
  <conditionalFormatting sqref="D57">
    <cfRule type="cellIs" dxfId="111" priority="7" stopIfTrue="1" operator="greaterThan">
      <formula>$D$59*0.1</formula>
    </cfRule>
  </conditionalFormatting>
  <conditionalFormatting sqref="E57">
    <cfRule type="cellIs" dxfId="110" priority="8" stopIfTrue="1" operator="greaterThan">
      <formula>$E$59*0.1</formula>
    </cfRule>
  </conditionalFormatting>
  <conditionalFormatting sqref="C13">
    <cfRule type="cellIs" dxfId="109" priority="9" stopIfTrue="1" operator="greaterThan">
      <formula>$C$15*0.1</formula>
    </cfRule>
  </conditionalFormatting>
  <conditionalFormatting sqref="D13">
    <cfRule type="cellIs" dxfId="108" priority="10" stopIfTrue="1" operator="greaterThan">
      <formula>$D$15*0.1</formula>
    </cfRule>
  </conditionalFormatting>
  <conditionalFormatting sqref="E13">
    <cfRule type="cellIs" dxfId="107" priority="11" stopIfTrue="1" operator="greaterThan">
      <formula>$E$15*0.1</formula>
    </cfRule>
  </conditionalFormatting>
  <conditionalFormatting sqref="C26">
    <cfRule type="cellIs" dxfId="106" priority="12" stopIfTrue="1" operator="greaterThan">
      <formula>$C$28*0.1</formula>
    </cfRule>
  </conditionalFormatting>
  <conditionalFormatting sqref="D26">
    <cfRule type="cellIs" dxfId="105" priority="13" stopIfTrue="1" operator="greaterThan">
      <formula>$D$28*0.1</formula>
    </cfRule>
  </conditionalFormatting>
  <conditionalFormatting sqref="E26">
    <cfRule type="cellIs" dxfId="104" priority="14" stopIfTrue="1" operator="greaterThan">
      <formula>$E$28*0.1</formula>
    </cfRule>
  </conditionalFormatting>
  <conditionalFormatting sqref="E60 C60 E29 C29">
    <cfRule type="cellIs" dxfId="103" priority="15" stopIfTrue="1" operator="lessThan">
      <formula>0</formula>
    </cfRule>
  </conditionalFormatting>
  <conditionalFormatting sqref="D59">
    <cfRule type="cellIs" dxfId="102" priority="16" stopIfTrue="1" operator="greaterThan">
      <formula>$D$61</formula>
    </cfRule>
  </conditionalFormatting>
  <conditionalFormatting sqref="C59">
    <cfRule type="cellIs" dxfId="101" priority="17" stopIfTrue="1" operator="greaterThan">
      <formula>$C$61</formula>
    </cfRule>
  </conditionalFormatting>
  <conditionalFormatting sqref="D28">
    <cfRule type="cellIs" dxfId="100" priority="18" stopIfTrue="1" operator="greaterThan">
      <formula>$D$30</formula>
    </cfRule>
  </conditionalFormatting>
  <conditionalFormatting sqref="C28">
    <cfRule type="cellIs" dxfId="99" priority="19" stopIfTrue="1" operator="greaterThan">
      <formula>$C$30</formula>
    </cfRule>
  </conditionalFormatting>
  <conditionalFormatting sqref="D60">
    <cfRule type="cellIs" dxfId="98" priority="2" stopIfTrue="1" operator="lessThan">
      <formula>0</formula>
    </cfRule>
  </conditionalFormatting>
  <conditionalFormatting sqref="D29">
    <cfRule type="cellIs" dxfId="97" priority="1" stopIfTrue="1" operator="lessThan">
      <formula>0</formula>
    </cfRule>
  </conditionalFormatting>
  <pageMargins left="0.5" right="0.5" top="1" bottom="0.5" header="0.5" footer="0.5"/>
  <pageSetup scale="72" orientation="portrait" blackAndWhite="1" r:id="rId1"/>
  <headerFooter alignWithMargins="0">
    <oddHeader xml:space="preserve">&amp;RState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workbookViewId="0">
      <selection activeCell="B22" sqref="B22"/>
    </sheetView>
  </sheetViews>
  <sheetFormatPr defaultRowHeight="15.75"/>
  <cols>
    <col min="1" max="1" width="2.44140625" style="22" customWidth="1"/>
    <col min="2" max="2" width="31.109375" style="22" customWidth="1"/>
    <col min="3" max="4" width="15.77734375" style="22" customWidth="1"/>
    <col min="5" max="5" width="16.21875" style="22" customWidth="1"/>
    <col min="6" max="16384" width="8.88671875" style="22"/>
  </cols>
  <sheetData>
    <row r="1" spans="2:5">
      <c r="B1" s="150" t="str">
        <f>(inputPrYr!D2)</f>
        <v>CITY OF HOXIE</v>
      </c>
      <c r="C1" s="21"/>
      <c r="D1" s="21"/>
      <c r="E1" s="210">
        <f>inputPrYr!C5</f>
        <v>2014</v>
      </c>
    </row>
    <row r="2" spans="2:5">
      <c r="B2" s="21"/>
      <c r="C2" s="21"/>
      <c r="D2" s="21"/>
      <c r="E2" s="146"/>
    </row>
    <row r="3" spans="2:5">
      <c r="B3" s="40" t="s">
        <v>92</v>
      </c>
      <c r="C3" s="256"/>
      <c r="D3" s="256"/>
      <c r="E3" s="256"/>
    </row>
    <row r="4" spans="2:5">
      <c r="B4" s="28" t="s">
        <v>24</v>
      </c>
      <c r="C4" s="658" t="s">
        <v>810</v>
      </c>
      <c r="D4" s="659" t="s">
        <v>811</v>
      </c>
      <c r="E4" s="124" t="s">
        <v>812</v>
      </c>
    </row>
    <row r="5" spans="2:5">
      <c r="B5" s="367" t="str">
        <f>(inputPrYr!B36)</f>
        <v>Fuller Cemetery</v>
      </c>
      <c r="C5" s="350" t="str">
        <f>CONCATENATE("Actual for ",E1-2,"")</f>
        <v>Actual for 2012</v>
      </c>
      <c r="D5" s="350" t="str">
        <f>CONCATENATE("Estimate for ",E1-1,"")</f>
        <v>Estimate for 2013</v>
      </c>
      <c r="E5" s="220" t="str">
        <f>CONCATENATE("Year for ",E1,"")</f>
        <v>Year for 2014</v>
      </c>
    </row>
    <row r="6" spans="2:5">
      <c r="B6" s="221" t="s">
        <v>146</v>
      </c>
      <c r="C6" s="49">
        <v>17081</v>
      </c>
      <c r="D6" s="191">
        <f>C29</f>
        <v>27856</v>
      </c>
      <c r="E6" s="191">
        <f>D29</f>
        <v>34828</v>
      </c>
    </row>
    <row r="7" spans="2:5">
      <c r="B7" s="224" t="s">
        <v>148</v>
      </c>
      <c r="C7" s="67"/>
      <c r="D7" s="67"/>
      <c r="E7" s="67"/>
    </row>
    <row r="8" spans="2:5">
      <c r="B8" s="788" t="s">
        <v>1039</v>
      </c>
      <c r="C8" s="49">
        <v>425</v>
      </c>
      <c r="D8" s="49">
        <v>400</v>
      </c>
      <c r="E8" s="49">
        <v>400</v>
      </c>
    </row>
    <row r="9" spans="2:5">
      <c r="B9" s="788" t="s">
        <v>1040</v>
      </c>
      <c r="C9" s="49">
        <v>15200</v>
      </c>
      <c r="D9" s="49">
        <v>15200</v>
      </c>
      <c r="E9" s="49">
        <v>15200</v>
      </c>
    </row>
    <row r="10" spans="2:5">
      <c r="B10" s="788" t="s">
        <v>1041</v>
      </c>
      <c r="C10" s="49">
        <v>2675</v>
      </c>
      <c r="D10" s="49">
        <v>2675</v>
      </c>
      <c r="E10" s="49">
        <v>2700</v>
      </c>
    </row>
    <row r="11" spans="2:5">
      <c r="B11" s="788" t="s">
        <v>1042</v>
      </c>
      <c r="C11" s="49">
        <v>50</v>
      </c>
      <c r="D11" s="49">
        <v>20</v>
      </c>
      <c r="E11" s="49">
        <v>30</v>
      </c>
    </row>
    <row r="12" spans="2:5">
      <c r="B12" s="229" t="s">
        <v>31</v>
      </c>
      <c r="C12" s="49"/>
      <c r="D12" s="49"/>
      <c r="E12" s="49"/>
    </row>
    <row r="13" spans="2:5">
      <c r="B13" s="138" t="s">
        <v>270</v>
      </c>
      <c r="C13" s="49"/>
      <c r="D13" s="223"/>
      <c r="E13" s="223"/>
    </row>
    <row r="14" spans="2:5">
      <c r="B14" s="221" t="s">
        <v>793</v>
      </c>
      <c r="C14" s="368" t="str">
        <f>IF(C15*0.1&lt;C13,"Exceed 10% Rule","")</f>
        <v/>
      </c>
      <c r="D14" s="253" t="str">
        <f>IF(D15*0.1&lt;D13,"Exceed 10% Rule","")</f>
        <v/>
      </c>
      <c r="E14" s="253" t="str">
        <f>IF(E15*0.1&lt;E13,"Exceed 10% Rule","")</f>
        <v/>
      </c>
    </row>
    <row r="15" spans="2:5">
      <c r="B15" s="231" t="s">
        <v>32</v>
      </c>
      <c r="C15" s="257">
        <f>SUM(C8:C13)</f>
        <v>18350</v>
      </c>
      <c r="D15" s="257">
        <f>SUM(D8:D13)</f>
        <v>18295</v>
      </c>
      <c r="E15" s="257">
        <f>SUM(E8:E13)</f>
        <v>18330</v>
      </c>
    </row>
    <row r="16" spans="2:5">
      <c r="B16" s="231" t="s">
        <v>33</v>
      </c>
      <c r="C16" s="257">
        <f>C6+C15</f>
        <v>35431</v>
      </c>
      <c r="D16" s="257">
        <f>D6+D15</f>
        <v>46151</v>
      </c>
      <c r="E16" s="257">
        <f>E6+E15</f>
        <v>53158</v>
      </c>
    </row>
    <row r="17" spans="2:5">
      <c r="B17" s="130" t="s">
        <v>35</v>
      </c>
      <c r="C17" s="191"/>
      <c r="D17" s="191"/>
      <c r="E17" s="191"/>
    </row>
    <row r="18" spans="2:5">
      <c r="B18" s="788" t="s">
        <v>1036</v>
      </c>
      <c r="C18" s="49">
        <v>5936</v>
      </c>
      <c r="D18" s="49">
        <v>5898</v>
      </c>
      <c r="E18" s="49">
        <v>6000</v>
      </c>
    </row>
    <row r="19" spans="2:5">
      <c r="B19" s="788" t="s">
        <v>1037</v>
      </c>
      <c r="C19" s="49">
        <v>941</v>
      </c>
      <c r="D19" s="49"/>
      <c r="E19" s="49">
        <v>1000</v>
      </c>
    </row>
    <row r="20" spans="2:5">
      <c r="B20" s="788" t="s">
        <v>1043</v>
      </c>
      <c r="C20" s="49">
        <v>698</v>
      </c>
      <c r="D20" s="49">
        <v>5425</v>
      </c>
      <c r="E20" s="49">
        <v>5500</v>
      </c>
    </row>
    <row r="21" spans="2:5">
      <c r="B21" s="237" t="s">
        <v>1074</v>
      </c>
      <c r="C21" s="49"/>
      <c r="D21" s="49"/>
      <c r="E21" s="49">
        <v>40658</v>
      </c>
    </row>
    <row r="22" spans="2:5">
      <c r="B22" s="237"/>
      <c r="C22" s="49"/>
      <c r="D22" s="49"/>
      <c r="E22" s="49"/>
    </row>
    <row r="23" spans="2:5">
      <c r="B23" s="237"/>
      <c r="C23" s="49"/>
      <c r="D23" s="49"/>
      <c r="E23" s="49"/>
    </row>
    <row r="24" spans="2:5">
      <c r="B24" s="237"/>
      <c r="C24" s="49"/>
      <c r="D24" s="49"/>
      <c r="E24" s="49"/>
    </row>
    <row r="25" spans="2:5">
      <c r="B25" s="237"/>
      <c r="C25" s="49"/>
      <c r="D25" s="49"/>
      <c r="E25" s="49"/>
    </row>
    <row r="26" spans="2:5">
      <c r="B26" s="238" t="s">
        <v>270</v>
      </c>
      <c r="C26" s="49"/>
      <c r="D26" s="223"/>
      <c r="E26" s="223"/>
    </row>
    <row r="27" spans="2:5">
      <c r="B27" s="238" t="s">
        <v>794</v>
      </c>
      <c r="C27" s="368" t="str">
        <f>IF(C28*0.1&lt;C26,"Exceed 10% Rule","")</f>
        <v/>
      </c>
      <c r="D27" s="253" t="str">
        <f>IF(D28*0.1&lt;D26,"Exceed 10% Rule","")</f>
        <v/>
      </c>
      <c r="E27" s="253" t="str">
        <f>IF(E28*0.1&lt;E26,"Exceed 10% Rule","")</f>
        <v/>
      </c>
    </row>
    <row r="28" spans="2:5">
      <c r="B28" s="231" t="s">
        <v>39</v>
      </c>
      <c r="C28" s="257">
        <f>SUM(C18:C26)</f>
        <v>7575</v>
      </c>
      <c r="D28" s="257">
        <f>SUM(D18:D26)</f>
        <v>11323</v>
      </c>
      <c r="E28" s="257">
        <f>SUM(E18:E26)</f>
        <v>53158</v>
      </c>
    </row>
    <row r="29" spans="2:5">
      <c r="B29" s="130" t="s">
        <v>147</v>
      </c>
      <c r="C29" s="191">
        <f>C16-C28</f>
        <v>27856</v>
      </c>
      <c r="D29" s="191">
        <f>D16-D28</f>
        <v>34828</v>
      </c>
      <c r="E29" s="191">
        <f>E16-E28</f>
        <v>0</v>
      </c>
    </row>
    <row r="30" spans="2:5">
      <c r="B30" s="118" t="str">
        <f>CONCATENATE("",$E$1-2,"/",$E$1-1," Budget Authority Amount:")</f>
        <v>2012/2013 Budget Authority Amount:</v>
      </c>
      <c r="C30" s="181">
        <f>inputOth!B76</f>
        <v>41045</v>
      </c>
      <c r="D30" s="181">
        <f>inputPrYr!D36</f>
        <v>45341</v>
      </c>
      <c r="E30" s="409" t="str">
        <f>IF(E29&lt;0,"See Tab E","")</f>
        <v/>
      </c>
    </row>
    <row r="31" spans="2:5">
      <c r="B31" s="118"/>
      <c r="C31" s="242" t="str">
        <f>IF(C28&gt;C30,"See Tab A","")</f>
        <v/>
      </c>
      <c r="D31" s="242" t="str">
        <f>IF(D28&gt;D30,"See Tab C","")</f>
        <v/>
      </c>
      <c r="E31" s="50"/>
    </row>
    <row r="32" spans="2:5">
      <c r="B32" s="118"/>
      <c r="C32" s="242" t="str">
        <f>IF(C29&lt;0,"See Tab B","")</f>
        <v/>
      </c>
      <c r="D32" s="242" t="str">
        <f>IF(D29&lt;0,"See Tab D","")</f>
        <v/>
      </c>
      <c r="E32" s="50"/>
    </row>
    <row r="33" spans="2:5">
      <c r="B33" s="21"/>
      <c r="C33" s="50"/>
      <c r="D33" s="50"/>
      <c r="E33" s="50"/>
    </row>
    <row r="34" spans="2:5">
      <c r="B34" s="28" t="s">
        <v>24</v>
      </c>
      <c r="C34" s="262"/>
      <c r="D34" s="262"/>
      <c r="E34" s="262"/>
    </row>
    <row r="35" spans="2:5">
      <c r="B35" s="21"/>
      <c r="C35" s="245" t="str">
        <f t="shared" ref="C35:E36" si="0">C4</f>
        <v xml:space="preserve">Prior Year </v>
      </c>
      <c r="D35" s="124" t="str">
        <f t="shared" si="0"/>
        <v>Current Year</v>
      </c>
      <c r="E35" s="124" t="str">
        <f t="shared" si="0"/>
        <v>Proposed Budget</v>
      </c>
    </row>
    <row r="36" spans="2:5">
      <c r="B36" s="366" t="str">
        <f>(inputPrYr!B37)</f>
        <v>Refuse Utiltiy</v>
      </c>
      <c r="C36" s="220" t="str">
        <f t="shared" si="0"/>
        <v>Actual for 2012</v>
      </c>
      <c r="D36" s="220" t="str">
        <f t="shared" si="0"/>
        <v>Estimate for 2013</v>
      </c>
      <c r="E36" s="220" t="str">
        <f t="shared" si="0"/>
        <v>Year for 2014</v>
      </c>
    </row>
    <row r="37" spans="2:5">
      <c r="B37" s="221" t="s">
        <v>146</v>
      </c>
      <c r="C37" s="49">
        <v>6670</v>
      </c>
      <c r="D37" s="191">
        <f>C60</f>
        <v>22625</v>
      </c>
      <c r="E37" s="191">
        <f>D60</f>
        <v>4304.679999999993</v>
      </c>
    </row>
    <row r="38" spans="2:5">
      <c r="B38" s="221" t="s">
        <v>148</v>
      </c>
      <c r="C38" s="67"/>
      <c r="D38" s="67"/>
      <c r="E38" s="67"/>
    </row>
    <row r="39" spans="2:5">
      <c r="B39" s="788" t="s">
        <v>1044</v>
      </c>
      <c r="C39" s="49">
        <v>166921</v>
      </c>
      <c r="D39" s="49">
        <v>169912</v>
      </c>
      <c r="E39" s="49">
        <v>170000</v>
      </c>
    </row>
    <row r="40" spans="2:5">
      <c r="B40" s="788" t="s">
        <v>1045</v>
      </c>
      <c r="C40" s="49">
        <v>91</v>
      </c>
      <c r="D40" s="49">
        <v>655.68</v>
      </c>
      <c r="E40" s="49">
        <v>650</v>
      </c>
    </row>
    <row r="41" spans="2:5">
      <c r="B41" s="788" t="s">
        <v>1046</v>
      </c>
      <c r="C41" s="49">
        <v>450</v>
      </c>
      <c r="D41" s="49">
        <v>680</v>
      </c>
      <c r="E41" s="49">
        <v>650</v>
      </c>
    </row>
    <row r="42" spans="2:5">
      <c r="B42" s="788" t="s">
        <v>1047</v>
      </c>
      <c r="C42" s="49">
        <v>6378</v>
      </c>
      <c r="D42" s="49">
        <v>4800</v>
      </c>
      <c r="E42" s="49">
        <v>5000</v>
      </c>
    </row>
    <row r="43" spans="2:5">
      <c r="B43" s="785" t="s">
        <v>270</v>
      </c>
      <c r="C43" s="49">
        <v>95</v>
      </c>
      <c r="D43" s="49">
        <v>90</v>
      </c>
      <c r="E43" s="49">
        <v>90</v>
      </c>
    </row>
    <row r="44" spans="2:5">
      <c r="B44" s="138" t="s">
        <v>270</v>
      </c>
      <c r="C44" s="49"/>
      <c r="D44" s="49"/>
      <c r="E44" s="49"/>
    </row>
    <row r="45" spans="2:5">
      <c r="B45" s="221" t="s">
        <v>793</v>
      </c>
      <c r="C45" s="368" t="str">
        <f>IF(C46*0.1&lt;C44,"Exceed 10% Rule","")</f>
        <v/>
      </c>
      <c r="D45" s="253" t="str">
        <f>IF(D46*0.1&lt;D44,"Exceed 10% Rule","")</f>
        <v/>
      </c>
      <c r="E45" s="253" t="str">
        <f>IF(E46*0.1&lt;E44,"Exceed 10% Rule","")</f>
        <v/>
      </c>
    </row>
    <row r="46" spans="2:5">
      <c r="B46" s="231" t="s">
        <v>32</v>
      </c>
      <c r="C46" s="257">
        <f>SUM(C39:C44)</f>
        <v>173935</v>
      </c>
      <c r="D46" s="257">
        <f>SUM(D39:D44)</f>
        <v>176137.68</v>
      </c>
      <c r="E46" s="257">
        <f>SUM(E39:E44)</f>
        <v>176390</v>
      </c>
    </row>
    <row r="47" spans="2:5">
      <c r="B47" s="231" t="s">
        <v>33</v>
      </c>
      <c r="C47" s="257">
        <f>C37+C46</f>
        <v>180605</v>
      </c>
      <c r="D47" s="257">
        <f>D37+D46</f>
        <v>198762.68</v>
      </c>
      <c r="E47" s="257">
        <f>E37+E46</f>
        <v>180694.68</v>
      </c>
    </row>
    <row r="48" spans="2:5">
      <c r="B48" s="130" t="s">
        <v>35</v>
      </c>
      <c r="C48" s="191"/>
      <c r="D48" s="191"/>
      <c r="E48" s="191"/>
    </row>
    <row r="49" spans="2:5">
      <c r="B49" s="788" t="s">
        <v>1036</v>
      </c>
      <c r="C49" s="49">
        <v>74775</v>
      </c>
      <c r="D49" s="49">
        <v>75800</v>
      </c>
      <c r="E49" s="49">
        <v>78800</v>
      </c>
    </row>
    <row r="50" spans="2:5">
      <c r="B50" s="788" t="s">
        <v>1037</v>
      </c>
      <c r="C50" s="49">
        <v>4715</v>
      </c>
      <c r="D50" s="49">
        <v>17044</v>
      </c>
      <c r="E50" s="49">
        <v>15000</v>
      </c>
    </row>
    <row r="51" spans="2:5">
      <c r="B51" s="788" t="s">
        <v>1048</v>
      </c>
      <c r="C51" s="49">
        <v>47300</v>
      </c>
      <c r="D51" s="49">
        <v>52920</v>
      </c>
      <c r="E51" s="49">
        <v>55000</v>
      </c>
    </row>
    <row r="52" spans="2:5">
      <c r="B52" s="788" t="s">
        <v>1043</v>
      </c>
      <c r="C52" s="49">
        <v>21190</v>
      </c>
      <c r="D52" s="49">
        <v>26694</v>
      </c>
      <c r="E52" s="49">
        <v>28000</v>
      </c>
    </row>
    <row r="53" spans="2:5">
      <c r="B53" s="237" t="s">
        <v>1050</v>
      </c>
      <c r="C53" s="49">
        <v>10000</v>
      </c>
      <c r="D53" s="49"/>
      <c r="E53" s="49"/>
    </row>
    <row r="54" spans="2:5">
      <c r="B54" s="237" t="s">
        <v>1049</v>
      </c>
      <c r="C54" s="49"/>
      <c r="D54" s="49">
        <v>14500</v>
      </c>
      <c r="E54" s="49"/>
    </row>
    <row r="55" spans="2:5">
      <c r="B55" s="237" t="s">
        <v>1065</v>
      </c>
      <c r="C55" s="49"/>
      <c r="D55" s="49">
        <v>7500</v>
      </c>
      <c r="E55" s="49"/>
    </row>
    <row r="56" spans="2:5">
      <c r="B56" s="237"/>
      <c r="C56" s="49"/>
      <c r="D56" s="49"/>
      <c r="E56" s="49"/>
    </row>
    <row r="57" spans="2:5">
      <c r="B57" s="238" t="s">
        <v>270</v>
      </c>
      <c r="C57" s="49"/>
      <c r="D57" s="223"/>
      <c r="E57" s="223"/>
    </row>
    <row r="58" spans="2:5">
      <c r="B58" s="238" t="s">
        <v>794</v>
      </c>
      <c r="C58" s="368" t="str">
        <f>IF(C59*0.1&lt;C57,"Exceed 10% Rule","")</f>
        <v/>
      </c>
      <c r="D58" s="253" t="str">
        <f>IF(D59*0.1&lt;D57,"Exceed 10% Rule","")</f>
        <v/>
      </c>
      <c r="E58" s="253" t="str">
        <f>IF(E59*0.1&lt;E57,"Exceed 10% Rule","")</f>
        <v/>
      </c>
    </row>
    <row r="59" spans="2:5">
      <c r="B59" s="231" t="s">
        <v>39</v>
      </c>
      <c r="C59" s="257">
        <f>SUM(C49:C57)</f>
        <v>157980</v>
      </c>
      <c r="D59" s="257">
        <f>SUM(D49:D57)</f>
        <v>194458</v>
      </c>
      <c r="E59" s="257">
        <f>SUM(E49:E57)</f>
        <v>176800</v>
      </c>
    </row>
    <row r="60" spans="2:5">
      <c r="B60" s="130" t="s">
        <v>147</v>
      </c>
      <c r="C60" s="191">
        <f>C47-C59</f>
        <v>22625</v>
      </c>
      <c r="D60" s="191">
        <f>D47-D59</f>
        <v>4304.679999999993</v>
      </c>
      <c r="E60" s="191">
        <f>E47-E59</f>
        <v>3894.679999999993</v>
      </c>
    </row>
    <row r="61" spans="2:5">
      <c r="B61" s="118" t="str">
        <f>CONCATENATE("",$E$1-2,"/",$E$1-1," Budget Authority Amount:")</f>
        <v>2012/2013 Budget Authority Amount:</v>
      </c>
      <c r="C61" s="181">
        <f>inputOth!B77</f>
        <v>156239</v>
      </c>
      <c r="D61" s="181">
        <f>inputPrYr!D37</f>
        <v>194966</v>
      </c>
      <c r="E61" s="409" t="str">
        <f>IF(E60&lt;0,"See Tab E","")</f>
        <v/>
      </c>
    </row>
    <row r="62" spans="2:5">
      <c r="B62" s="118"/>
      <c r="C62" s="242" t="str">
        <f>IF(C59&gt;C61,"See Tab A","")</f>
        <v>See Tab A</v>
      </c>
      <c r="D62" s="242" t="str">
        <f>IF(D59&gt;D61,"See Tab C","")</f>
        <v/>
      </c>
      <c r="E62" s="21"/>
    </row>
    <row r="63" spans="2:5">
      <c r="B63" s="118"/>
      <c r="C63" s="242" t="str">
        <f>IF(C60&lt;0,"See Tab B","")</f>
        <v/>
      </c>
      <c r="D63" s="242" t="str">
        <f>IF(D60&lt;0,"See Tab D","")</f>
        <v/>
      </c>
      <c r="E63" s="21"/>
    </row>
    <row r="64" spans="2:5">
      <c r="B64" s="21"/>
      <c r="C64" s="21"/>
      <c r="D64" s="21"/>
      <c r="E64" s="21"/>
    </row>
    <row r="65" spans="2:5">
      <c r="B65" s="118" t="s">
        <v>42</v>
      </c>
      <c r="C65" s="248">
        <v>13</v>
      </c>
      <c r="D65" s="21"/>
      <c r="E65" s="21"/>
    </row>
  </sheetData>
  <sheetProtection sheet="1"/>
  <phoneticPr fontId="0" type="noConversion"/>
  <conditionalFormatting sqref="C13">
    <cfRule type="cellIs" dxfId="96" priority="3" stopIfTrue="1" operator="greaterThan">
      <formula>$C$15*0.1</formula>
    </cfRule>
  </conditionalFormatting>
  <conditionalFormatting sqref="D13">
    <cfRule type="cellIs" dxfId="95" priority="4" stopIfTrue="1" operator="greaterThan">
      <formula>$D$15*0.1</formula>
    </cfRule>
  </conditionalFormatting>
  <conditionalFormatting sqref="E13">
    <cfRule type="cellIs" dxfId="94" priority="5" stopIfTrue="1" operator="greaterThan">
      <formula>$E$15*0.1</formula>
    </cfRule>
  </conditionalFormatting>
  <conditionalFormatting sqref="C26">
    <cfRule type="cellIs" dxfId="93" priority="6" stopIfTrue="1" operator="greaterThan">
      <formula>$C$28*0.1</formula>
    </cfRule>
  </conditionalFormatting>
  <conditionalFormatting sqref="D26">
    <cfRule type="cellIs" dxfId="92" priority="7" stopIfTrue="1" operator="greaterThan">
      <formula>$D$28*0.1</formula>
    </cfRule>
  </conditionalFormatting>
  <conditionalFormatting sqref="E26">
    <cfRule type="cellIs" dxfId="91" priority="8" stopIfTrue="1" operator="greaterThan">
      <formula>$E$28*0.1</formula>
    </cfRule>
  </conditionalFormatting>
  <conditionalFormatting sqref="C44">
    <cfRule type="cellIs" dxfId="90" priority="9" stopIfTrue="1" operator="greaterThan">
      <formula>$C$46*0.1</formula>
    </cfRule>
  </conditionalFormatting>
  <conditionalFormatting sqref="D44">
    <cfRule type="cellIs" dxfId="89" priority="10" stopIfTrue="1" operator="greaterThan">
      <formula>$D$46*0.1</formula>
    </cfRule>
  </conditionalFormatting>
  <conditionalFormatting sqref="E44">
    <cfRule type="cellIs" dxfId="88" priority="11" stopIfTrue="1" operator="greaterThan">
      <formula>$E$46*0.1</formula>
    </cfRule>
  </conditionalFormatting>
  <conditionalFormatting sqref="C57">
    <cfRule type="cellIs" dxfId="87" priority="12" stopIfTrue="1" operator="greaterThan">
      <formula>$C$59*0.1</formula>
    </cfRule>
  </conditionalFormatting>
  <conditionalFormatting sqref="D57">
    <cfRule type="cellIs" dxfId="86" priority="13" stopIfTrue="1" operator="greaterThan">
      <formula>$D$59*0.1</formula>
    </cfRule>
  </conditionalFormatting>
  <conditionalFormatting sqref="E57">
    <cfRule type="cellIs" dxfId="85" priority="14" stopIfTrue="1" operator="greaterThan">
      <formula>$E$59*0.1</formula>
    </cfRule>
  </conditionalFormatting>
  <conditionalFormatting sqref="E60 C60 E29 C29">
    <cfRule type="cellIs" dxfId="84" priority="15" stopIfTrue="1" operator="lessThan">
      <formula>0</formula>
    </cfRule>
  </conditionalFormatting>
  <conditionalFormatting sqref="D59">
    <cfRule type="cellIs" dxfId="83" priority="16" stopIfTrue="1" operator="greaterThan">
      <formula>$D$61</formula>
    </cfRule>
  </conditionalFormatting>
  <conditionalFormatting sqref="C59">
    <cfRule type="cellIs" dxfId="82" priority="17" stopIfTrue="1" operator="greaterThan">
      <formula>$C$61</formula>
    </cfRule>
  </conditionalFormatting>
  <conditionalFormatting sqref="D28">
    <cfRule type="cellIs" dxfId="81" priority="18" stopIfTrue="1" operator="greaterThan">
      <formula>$D$30</formula>
    </cfRule>
  </conditionalFormatting>
  <conditionalFormatting sqref="C28">
    <cfRule type="cellIs" dxfId="80" priority="19" stopIfTrue="1" operator="greaterThan">
      <formula>$C$30</formula>
    </cfRule>
  </conditionalFormatting>
  <conditionalFormatting sqref="D60">
    <cfRule type="cellIs" dxfId="79" priority="2" stopIfTrue="1" operator="lessThan">
      <formula>0</formula>
    </cfRule>
  </conditionalFormatting>
  <conditionalFormatting sqref="D29">
    <cfRule type="cellIs" dxfId="78" priority="1" stopIfTrue="1" operator="lessThan">
      <formula>0</formula>
    </cfRule>
  </conditionalFormatting>
  <pageMargins left="0.5" right="0.5" top="1" bottom="0.5" header="0.5" footer="0.5"/>
  <pageSetup scale="72" orientation="portrait" blackAndWhite="1" r:id="rId1"/>
  <headerFooter alignWithMargins="0">
    <oddHeader xml:space="preserve">&amp;RState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topLeftCell="A28" workbookViewId="0">
      <selection activeCell="E40" sqref="E40"/>
    </sheetView>
  </sheetViews>
  <sheetFormatPr defaultRowHeight="15.75"/>
  <cols>
    <col min="1" max="1" width="2.44140625" style="22" customWidth="1"/>
    <col min="2" max="2" width="31.109375" style="22" customWidth="1"/>
    <col min="3" max="4" width="15.77734375" style="22" customWidth="1"/>
    <col min="5" max="5" width="16.33203125" style="22" customWidth="1"/>
    <col min="6" max="16384" width="8.88671875" style="22"/>
  </cols>
  <sheetData>
    <row r="1" spans="2:5">
      <c r="B1" s="150" t="str">
        <f>(inputPrYr!D2)</f>
        <v>CITY OF HOXIE</v>
      </c>
      <c r="C1" s="21"/>
      <c r="D1" s="21"/>
      <c r="E1" s="210">
        <f>inputPrYr!C5</f>
        <v>2014</v>
      </c>
    </row>
    <row r="2" spans="2:5">
      <c r="B2" s="21"/>
      <c r="C2" s="21"/>
      <c r="D2" s="21"/>
      <c r="E2" s="146"/>
    </row>
    <row r="3" spans="2:5">
      <c r="B3" s="40" t="s">
        <v>92</v>
      </c>
      <c r="C3" s="256"/>
      <c r="D3" s="256"/>
      <c r="E3" s="256"/>
    </row>
    <row r="4" spans="2:5">
      <c r="B4" s="28" t="s">
        <v>24</v>
      </c>
      <c r="C4" s="658" t="s">
        <v>810</v>
      </c>
      <c r="D4" s="659" t="s">
        <v>811</v>
      </c>
      <c r="E4" s="124" t="s">
        <v>812</v>
      </c>
    </row>
    <row r="5" spans="2:5">
      <c r="B5" s="367">
        <f>(inputPrYr!B38)</f>
        <v>0</v>
      </c>
      <c r="C5" s="350" t="str">
        <f>CONCATENATE("Actual for ",E1-2,"")</f>
        <v>Actual for 2012</v>
      </c>
      <c r="D5" s="350" t="str">
        <f>CONCATENATE("Estimate for ",E1-1,"")</f>
        <v>Estimate for 2013</v>
      </c>
      <c r="E5" s="220" t="str">
        <f>CONCATENATE("Year for ",E1,"")</f>
        <v>Year for 2014</v>
      </c>
    </row>
    <row r="6" spans="2:5">
      <c r="B6" s="221" t="s">
        <v>146</v>
      </c>
      <c r="C6" s="49"/>
      <c r="D6" s="191">
        <f>C29</f>
        <v>0</v>
      </c>
      <c r="E6" s="191">
        <f>D29</f>
        <v>0</v>
      </c>
    </row>
    <row r="7" spans="2:5">
      <c r="B7" s="224" t="s">
        <v>148</v>
      </c>
      <c r="C7" s="67"/>
      <c r="D7" s="67"/>
      <c r="E7" s="67"/>
    </row>
    <row r="8" spans="2:5">
      <c r="B8" s="237"/>
      <c r="C8" s="49"/>
      <c r="D8" s="49"/>
      <c r="E8" s="49"/>
    </row>
    <row r="9" spans="2:5">
      <c r="B9" s="237"/>
      <c r="C9" s="49"/>
      <c r="D9" s="49"/>
      <c r="E9" s="49"/>
    </row>
    <row r="10" spans="2:5">
      <c r="B10" s="237"/>
      <c r="C10" s="49"/>
      <c r="D10" s="49"/>
      <c r="E10" s="49"/>
    </row>
    <row r="11" spans="2:5">
      <c r="B11" s="237"/>
      <c r="C11" s="49"/>
      <c r="D11" s="49"/>
      <c r="E11" s="49"/>
    </row>
    <row r="12" spans="2:5">
      <c r="B12" s="229" t="s">
        <v>31</v>
      </c>
      <c r="C12" s="49"/>
      <c r="D12" s="49"/>
      <c r="E12" s="49"/>
    </row>
    <row r="13" spans="2:5">
      <c r="B13" s="138" t="s">
        <v>270</v>
      </c>
      <c r="C13" s="49"/>
      <c r="D13" s="223"/>
      <c r="E13" s="223"/>
    </row>
    <row r="14" spans="2:5">
      <c r="B14" s="221" t="s">
        <v>793</v>
      </c>
      <c r="C14" s="368" t="str">
        <f>IF(C15*0.1&lt;C13,"Exceed 10% Rule","")</f>
        <v/>
      </c>
      <c r="D14" s="253" t="str">
        <f>IF(D15*0.1&lt;D13,"Exceed 10% Rule","")</f>
        <v/>
      </c>
      <c r="E14" s="253" t="str">
        <f>IF(E15*0.1&lt;E13,"Exceed 10% Rule","")</f>
        <v/>
      </c>
    </row>
    <row r="15" spans="2:5">
      <c r="B15" s="231" t="s">
        <v>32</v>
      </c>
      <c r="C15" s="257">
        <f>SUM(C8:C13)</f>
        <v>0</v>
      </c>
      <c r="D15" s="257">
        <f>SUM(D8:D13)</f>
        <v>0</v>
      </c>
      <c r="E15" s="257">
        <f>SUM(E8:E13)</f>
        <v>0</v>
      </c>
    </row>
    <row r="16" spans="2:5">
      <c r="B16" s="231" t="s">
        <v>33</v>
      </c>
      <c r="C16" s="257">
        <f>C6+C15</f>
        <v>0</v>
      </c>
      <c r="D16" s="257">
        <f>D6+D15</f>
        <v>0</v>
      </c>
      <c r="E16" s="257">
        <f>E6+E15</f>
        <v>0</v>
      </c>
    </row>
    <row r="17" spans="2:5">
      <c r="B17" s="130" t="s">
        <v>35</v>
      </c>
      <c r="C17" s="191"/>
      <c r="D17" s="191"/>
      <c r="E17" s="191"/>
    </row>
    <row r="18" spans="2:5">
      <c r="B18" s="237"/>
      <c r="C18" s="49"/>
      <c r="D18" s="49"/>
      <c r="E18" s="49"/>
    </row>
    <row r="19" spans="2:5">
      <c r="B19" s="237"/>
      <c r="C19" s="49"/>
      <c r="D19" s="49"/>
      <c r="E19" s="49"/>
    </row>
    <row r="20" spans="2:5">
      <c r="B20" s="237"/>
      <c r="C20" s="49"/>
      <c r="D20" s="49"/>
      <c r="E20" s="49"/>
    </row>
    <row r="21" spans="2:5">
      <c r="B21" s="237"/>
      <c r="C21" s="49"/>
      <c r="D21" s="49"/>
      <c r="E21" s="49"/>
    </row>
    <row r="22" spans="2:5">
      <c r="B22" s="237"/>
      <c r="C22" s="49"/>
      <c r="D22" s="49"/>
      <c r="E22" s="49"/>
    </row>
    <row r="23" spans="2:5">
      <c r="B23" s="237"/>
      <c r="C23" s="49"/>
      <c r="D23" s="49"/>
      <c r="E23" s="49"/>
    </row>
    <row r="24" spans="2:5">
      <c r="B24" s="237"/>
      <c r="C24" s="49"/>
      <c r="D24" s="49"/>
      <c r="E24" s="49"/>
    </row>
    <row r="25" spans="2:5">
      <c r="B25" s="237"/>
      <c r="C25" s="49"/>
      <c r="D25" s="49"/>
      <c r="E25" s="49"/>
    </row>
    <row r="26" spans="2:5">
      <c r="B26" s="238" t="s">
        <v>270</v>
      </c>
      <c r="C26" s="49"/>
      <c r="D26" s="223"/>
      <c r="E26" s="223"/>
    </row>
    <row r="27" spans="2:5">
      <c r="B27" s="238" t="s">
        <v>794</v>
      </c>
      <c r="C27" s="368" t="str">
        <f>IF(C28*0.1&lt;C26,"Exceed 10% Rule","")</f>
        <v/>
      </c>
      <c r="D27" s="253" t="str">
        <f>IF(D28*0.1&lt;D26,"Exceed 10% Rule","")</f>
        <v/>
      </c>
      <c r="E27" s="253" t="str">
        <f>IF(E28*0.1&lt;E26,"Exceed 10% Rule","")</f>
        <v/>
      </c>
    </row>
    <row r="28" spans="2:5">
      <c r="B28" s="231" t="s">
        <v>39</v>
      </c>
      <c r="C28" s="257">
        <f>SUM(C18:C26)</f>
        <v>0</v>
      </c>
      <c r="D28" s="257">
        <f>SUM(D18:D26)</f>
        <v>0</v>
      </c>
      <c r="E28" s="257">
        <f>SUM(E18:E26)</f>
        <v>0</v>
      </c>
    </row>
    <row r="29" spans="2:5">
      <c r="B29" s="130" t="s">
        <v>147</v>
      </c>
      <c r="C29" s="191">
        <f>C16-C28</f>
        <v>0</v>
      </c>
      <c r="D29" s="191">
        <f>D16-D28</f>
        <v>0</v>
      </c>
      <c r="E29" s="191">
        <f>E16-E28</f>
        <v>0</v>
      </c>
    </row>
    <row r="30" spans="2:5">
      <c r="B30" s="118" t="str">
        <f>CONCATENATE("",E1-2,"/",E1-1," Budget Authority Amount:")</f>
        <v>2012/2013 Budget Authority Amount:</v>
      </c>
      <c r="C30" s="181">
        <f>inputOth!B78</f>
        <v>0</v>
      </c>
      <c r="D30" s="181">
        <f>inputPrYr!D38</f>
        <v>0</v>
      </c>
      <c r="E30" s="409" t="str">
        <f>IF(E29&lt;0,"See Tab E","")</f>
        <v/>
      </c>
    </row>
    <row r="31" spans="2:5">
      <c r="B31" s="118"/>
      <c r="C31" s="242" t="str">
        <f>IF(C28&gt;C30,"See Tab A","")</f>
        <v/>
      </c>
      <c r="D31" s="242" t="str">
        <f>IF(D28&gt;D30,"See Tab C","")</f>
        <v/>
      </c>
      <c r="E31" s="50"/>
    </row>
    <row r="32" spans="2:5">
      <c r="B32" s="118"/>
      <c r="C32" s="242" t="str">
        <f>IF(C29&lt;0,"See Tab B","")</f>
        <v/>
      </c>
      <c r="D32" s="242" t="str">
        <f>IF(D29&lt;0,"See Tab D","")</f>
        <v/>
      </c>
      <c r="E32" s="50"/>
    </row>
    <row r="33" spans="2:5">
      <c r="B33" s="21"/>
      <c r="C33" s="50"/>
      <c r="D33" s="50"/>
      <c r="E33" s="50"/>
    </row>
    <row r="34" spans="2:5">
      <c r="B34" s="28" t="s">
        <v>24</v>
      </c>
      <c r="C34" s="262"/>
      <c r="D34" s="262"/>
      <c r="E34" s="262"/>
    </row>
    <row r="35" spans="2:5">
      <c r="B35" s="21"/>
      <c r="C35" s="245" t="str">
        <f t="shared" ref="C35:E36" si="0">C4</f>
        <v xml:space="preserve">Prior Year </v>
      </c>
      <c r="D35" s="124" t="str">
        <f t="shared" si="0"/>
        <v>Current Year</v>
      </c>
      <c r="E35" s="124" t="str">
        <f t="shared" si="0"/>
        <v>Proposed Budget</v>
      </c>
    </row>
    <row r="36" spans="2:5">
      <c r="B36" s="366" t="str">
        <f>(inputPrYr!B39)</f>
        <v>Bed Tax</v>
      </c>
      <c r="C36" s="220" t="str">
        <f t="shared" si="0"/>
        <v>Actual for 2012</v>
      </c>
      <c r="D36" s="220" t="str">
        <f t="shared" si="0"/>
        <v>Estimate for 2013</v>
      </c>
      <c r="E36" s="220" t="str">
        <f t="shared" si="0"/>
        <v>Year for 2014</v>
      </c>
    </row>
    <row r="37" spans="2:5">
      <c r="B37" s="221" t="s">
        <v>146</v>
      </c>
      <c r="C37" s="49">
        <v>3523</v>
      </c>
      <c r="D37" s="191">
        <f>C60</f>
        <v>3307</v>
      </c>
      <c r="E37" s="191">
        <f>D60</f>
        <v>1740</v>
      </c>
    </row>
    <row r="38" spans="2:5">
      <c r="B38" s="221" t="s">
        <v>148</v>
      </c>
      <c r="C38" s="67"/>
      <c r="D38" s="67"/>
      <c r="E38" s="67"/>
    </row>
    <row r="39" spans="2:5">
      <c r="B39" s="788" t="s">
        <v>1051</v>
      </c>
      <c r="C39" s="49">
        <v>3784</v>
      </c>
      <c r="D39" s="49">
        <v>3433</v>
      </c>
      <c r="E39" s="49">
        <v>3500</v>
      </c>
    </row>
    <row r="40" spans="2:5">
      <c r="B40" s="237"/>
      <c r="C40" s="49"/>
      <c r="D40" s="49"/>
      <c r="E40" s="49"/>
    </row>
    <row r="41" spans="2:5">
      <c r="B41" s="237"/>
      <c r="C41" s="49"/>
      <c r="D41" s="49"/>
      <c r="E41" s="49"/>
    </row>
    <row r="42" spans="2:5">
      <c r="B42" s="237"/>
      <c r="C42" s="49"/>
      <c r="D42" s="49"/>
      <c r="E42" s="49"/>
    </row>
    <row r="43" spans="2:5">
      <c r="B43" s="229" t="s">
        <v>31</v>
      </c>
      <c r="C43" s="49"/>
      <c r="D43" s="49"/>
      <c r="E43" s="49"/>
    </row>
    <row r="44" spans="2:5">
      <c r="B44" s="138" t="s">
        <v>270</v>
      </c>
      <c r="C44" s="49"/>
      <c r="D44" s="223"/>
      <c r="E44" s="223"/>
    </row>
    <row r="45" spans="2:5">
      <c r="B45" s="221" t="s">
        <v>793</v>
      </c>
      <c r="C45" s="368" t="str">
        <f>IF(C46*0.1&lt;C44,"Exceed 10% Rule","")</f>
        <v/>
      </c>
      <c r="D45" s="253" t="str">
        <f>IF(D46*0.1&lt;D44,"Exceed 10% Rule","")</f>
        <v/>
      </c>
      <c r="E45" s="253" t="str">
        <f>IF(E46*0.1&lt;E44,"Exceed 10% Rule","")</f>
        <v/>
      </c>
    </row>
    <row r="46" spans="2:5">
      <c r="B46" s="231" t="s">
        <v>32</v>
      </c>
      <c r="C46" s="257">
        <f>SUM(C39:C44)</f>
        <v>3784</v>
      </c>
      <c r="D46" s="257">
        <f>SUM(D39:D44)</f>
        <v>3433</v>
      </c>
      <c r="E46" s="257">
        <f>SUM(E39:E44)</f>
        <v>3500</v>
      </c>
    </row>
    <row r="47" spans="2:5">
      <c r="B47" s="231" t="s">
        <v>33</v>
      </c>
      <c r="C47" s="257">
        <f>C37+C46</f>
        <v>7307</v>
      </c>
      <c r="D47" s="257">
        <f>D37+D46</f>
        <v>6740</v>
      </c>
      <c r="E47" s="257">
        <f>E37+E46</f>
        <v>5240</v>
      </c>
    </row>
    <row r="48" spans="2:5">
      <c r="B48" s="130" t="s">
        <v>35</v>
      </c>
      <c r="C48" s="191"/>
      <c r="D48" s="191"/>
      <c r="E48" s="191"/>
    </row>
    <row r="49" spans="2:5">
      <c r="B49" s="237" t="s">
        <v>1037</v>
      </c>
      <c r="C49" s="49">
        <v>4000</v>
      </c>
      <c r="D49" s="49">
        <v>5000</v>
      </c>
      <c r="E49" s="49">
        <v>5000</v>
      </c>
    </row>
    <row r="50" spans="2:5">
      <c r="B50" s="237"/>
      <c r="C50" s="49"/>
      <c r="D50" s="49"/>
      <c r="E50" s="49"/>
    </row>
    <row r="51" spans="2:5">
      <c r="B51" s="237"/>
      <c r="C51" s="49"/>
      <c r="D51" s="49"/>
      <c r="E51" s="49"/>
    </row>
    <row r="52" spans="2:5">
      <c r="B52" s="237"/>
      <c r="C52" s="49"/>
      <c r="D52" s="49"/>
      <c r="E52" s="49"/>
    </row>
    <row r="53" spans="2:5">
      <c r="B53" s="237"/>
      <c r="C53" s="49"/>
      <c r="D53" s="49"/>
      <c r="E53" s="49"/>
    </row>
    <row r="54" spans="2:5">
      <c r="B54" s="237"/>
      <c r="C54" s="49"/>
      <c r="D54" s="49"/>
      <c r="E54" s="49"/>
    </row>
    <row r="55" spans="2:5">
      <c r="B55" s="237"/>
      <c r="C55" s="49"/>
      <c r="D55" s="49"/>
      <c r="E55" s="49"/>
    </row>
    <row r="56" spans="2:5">
      <c r="B56" s="237"/>
      <c r="C56" s="49"/>
      <c r="D56" s="49"/>
      <c r="E56" s="49"/>
    </row>
    <row r="57" spans="2:5">
      <c r="B57" s="238" t="s">
        <v>270</v>
      </c>
      <c r="C57" s="49"/>
      <c r="D57" s="223"/>
      <c r="E57" s="223"/>
    </row>
    <row r="58" spans="2:5">
      <c r="B58" s="238" t="s">
        <v>794</v>
      </c>
      <c r="C58" s="368" t="str">
        <f>IF(C59*0.1&lt;C57,"Exceed 10% Rule","")</f>
        <v/>
      </c>
      <c r="D58" s="253" t="str">
        <f>IF(D59*0.1&lt;D57,"Exceed 10% Rule","")</f>
        <v/>
      </c>
      <c r="E58" s="253" t="str">
        <f>IF(E59*0.1&lt;E57,"Exceed 10% Rule","")</f>
        <v/>
      </c>
    </row>
    <row r="59" spans="2:5">
      <c r="B59" s="231" t="s">
        <v>39</v>
      </c>
      <c r="C59" s="257">
        <f>SUM(C49:C57)</f>
        <v>4000</v>
      </c>
      <c r="D59" s="257">
        <f>SUM(D49:D57)</f>
        <v>5000</v>
      </c>
      <c r="E59" s="257">
        <f>SUM(E49:E57)</f>
        <v>5000</v>
      </c>
    </row>
    <row r="60" spans="2:5">
      <c r="B60" s="130" t="s">
        <v>147</v>
      </c>
      <c r="C60" s="191">
        <f>C47-C59</f>
        <v>3307</v>
      </c>
      <c r="D60" s="191">
        <f>D47-D59</f>
        <v>1740</v>
      </c>
      <c r="E60" s="191">
        <f>E47-E59</f>
        <v>240</v>
      </c>
    </row>
    <row r="61" spans="2:5">
      <c r="B61" s="118" t="str">
        <f>CONCATENATE("",E1-2,"/",E1-1," Budget Authority Amount:")</f>
        <v>2012/2013 Budget Authority Amount:</v>
      </c>
      <c r="C61" s="181">
        <f>inputOth!B79</f>
        <v>7759</v>
      </c>
      <c r="D61" s="181">
        <f>inputPrYr!D39</f>
        <v>6423</v>
      </c>
      <c r="E61" s="409" t="str">
        <f>IF(E60&lt;0,"See Tab E","")</f>
        <v/>
      </c>
    </row>
    <row r="62" spans="2:5">
      <c r="B62" s="118"/>
      <c r="C62" s="242" t="str">
        <f>IF(C59&gt;C61,"See Tab A","")</f>
        <v/>
      </c>
      <c r="D62" s="242" t="str">
        <f>IF(D59&gt;D61,"See Tab C","")</f>
        <v/>
      </c>
      <c r="E62" s="57"/>
    </row>
    <row r="63" spans="2:5">
      <c r="B63" s="118"/>
      <c r="C63" s="242" t="str">
        <f>IF(C60&lt;0,"See Tab B","")</f>
        <v/>
      </c>
      <c r="D63" s="242" t="str">
        <f>IF(D60&lt;0,"See Tab D","")</f>
        <v/>
      </c>
      <c r="E63" s="57"/>
    </row>
    <row r="64" spans="2:5">
      <c r="B64" s="21"/>
      <c r="C64" s="21"/>
      <c r="D64" s="21"/>
      <c r="E64" s="21"/>
    </row>
    <row r="65" spans="2:5">
      <c r="B65" s="118" t="s">
        <v>42</v>
      </c>
      <c r="C65" s="248">
        <v>14</v>
      </c>
      <c r="D65" s="21"/>
      <c r="E65" s="21"/>
    </row>
  </sheetData>
  <sheetProtection sheet="1"/>
  <phoneticPr fontId="0" type="noConversion"/>
  <conditionalFormatting sqref="C13">
    <cfRule type="cellIs" dxfId="77" priority="3" stopIfTrue="1" operator="greaterThan">
      <formula>$C$15*0.1</formula>
    </cfRule>
  </conditionalFormatting>
  <conditionalFormatting sqref="D13">
    <cfRule type="cellIs" dxfId="76" priority="4" stopIfTrue="1" operator="greaterThan">
      <formula>$D$15*0.1</formula>
    </cfRule>
  </conditionalFormatting>
  <conditionalFormatting sqref="E13">
    <cfRule type="cellIs" dxfId="75" priority="5" stopIfTrue="1" operator="greaterThan">
      <formula>$E$15*0.1</formula>
    </cfRule>
  </conditionalFormatting>
  <conditionalFormatting sqref="C26">
    <cfRule type="cellIs" dxfId="74" priority="6" stopIfTrue="1" operator="greaterThan">
      <formula>$C$28*0.1</formula>
    </cfRule>
  </conditionalFormatting>
  <conditionalFormatting sqref="D26">
    <cfRule type="cellIs" dxfId="73" priority="7" stopIfTrue="1" operator="greaterThan">
      <formula>$D$28*0.1</formula>
    </cfRule>
  </conditionalFormatting>
  <conditionalFormatting sqref="E26">
    <cfRule type="cellIs" dxfId="72" priority="8" stopIfTrue="1" operator="greaterThan">
      <formula>$E$28*0.1</formula>
    </cfRule>
  </conditionalFormatting>
  <conditionalFormatting sqref="C44">
    <cfRule type="cellIs" dxfId="71" priority="9" stopIfTrue="1" operator="greaterThan">
      <formula>$C$46*0.1</formula>
    </cfRule>
  </conditionalFormatting>
  <conditionalFormatting sqref="D44">
    <cfRule type="cellIs" dxfId="70" priority="10" stopIfTrue="1" operator="greaterThan">
      <formula>$D$46*0.1</formula>
    </cfRule>
  </conditionalFormatting>
  <conditionalFormatting sqref="E44">
    <cfRule type="cellIs" dxfId="69" priority="11" stopIfTrue="1" operator="greaterThan">
      <formula>$E$46*0.1</formula>
    </cfRule>
  </conditionalFormatting>
  <conditionalFormatting sqref="C57">
    <cfRule type="cellIs" dxfId="68" priority="12" stopIfTrue="1" operator="greaterThan">
      <formula>$C$59*0.1</formula>
    </cfRule>
  </conditionalFormatting>
  <conditionalFormatting sqref="D57">
    <cfRule type="cellIs" dxfId="67" priority="13" stopIfTrue="1" operator="greaterThan">
      <formula>$D$59*0.1</formula>
    </cfRule>
  </conditionalFormatting>
  <conditionalFormatting sqref="E57">
    <cfRule type="cellIs" dxfId="66" priority="14" stopIfTrue="1" operator="greaterThan">
      <formula>$E$59*0.1</formula>
    </cfRule>
  </conditionalFormatting>
  <conditionalFormatting sqref="E60 C60 E29 C29">
    <cfRule type="cellIs" dxfId="65" priority="15" stopIfTrue="1" operator="lessThan">
      <formula>0</formula>
    </cfRule>
  </conditionalFormatting>
  <conditionalFormatting sqref="D59">
    <cfRule type="cellIs" dxfId="64" priority="16" stopIfTrue="1" operator="greaterThan">
      <formula>$D$61</formula>
    </cfRule>
  </conditionalFormatting>
  <conditionalFormatting sqref="C59">
    <cfRule type="cellIs" dxfId="63" priority="17" stopIfTrue="1" operator="greaterThan">
      <formula>$C$61</formula>
    </cfRule>
  </conditionalFormatting>
  <conditionalFormatting sqref="D28">
    <cfRule type="cellIs" dxfId="62" priority="18" stopIfTrue="1" operator="greaterThan">
      <formula>$D$30</formula>
    </cfRule>
  </conditionalFormatting>
  <conditionalFormatting sqref="C28">
    <cfRule type="cellIs" dxfId="61" priority="19" stopIfTrue="1" operator="greaterThan">
      <formula>$C$30</formula>
    </cfRule>
  </conditionalFormatting>
  <conditionalFormatting sqref="D60">
    <cfRule type="cellIs" dxfId="60" priority="2" stopIfTrue="1" operator="lessThan">
      <formula>0</formula>
    </cfRule>
  </conditionalFormatting>
  <conditionalFormatting sqref="D29">
    <cfRule type="cellIs" dxfId="59" priority="1" stopIfTrue="1" operator="lessThan">
      <formula>0</formula>
    </cfRule>
  </conditionalFormatting>
  <pageMargins left="0.5" right="0.5" top="1" bottom="0.5" header="0.5" footer="0.5"/>
  <pageSetup scale="72" orientation="portrait" blackAndWhite="1" r:id="rId1"/>
  <headerFooter alignWithMargins="0">
    <oddHeader xml:space="preserve">&amp;RState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6"/>
  <sheetViews>
    <sheetView topLeftCell="A40" workbookViewId="0">
      <selection activeCell="E23" sqref="E23"/>
    </sheetView>
  </sheetViews>
  <sheetFormatPr defaultRowHeight="15.75"/>
  <cols>
    <col min="1" max="1" width="2.44140625" style="22" customWidth="1"/>
    <col min="2" max="2" width="31.109375" style="22" customWidth="1"/>
    <col min="3" max="4" width="15.77734375" style="22" customWidth="1"/>
    <col min="5" max="5" width="16.33203125" style="22" customWidth="1"/>
    <col min="6" max="16384" width="8.88671875" style="22"/>
  </cols>
  <sheetData>
    <row r="1" spans="2:5">
      <c r="B1" s="150" t="str">
        <f>(inputPrYr!D2)</f>
        <v>CITY OF HOXIE</v>
      </c>
      <c r="C1" s="21"/>
      <c r="D1" s="21"/>
      <c r="E1" s="210">
        <f>inputPrYr!C5</f>
        <v>2014</v>
      </c>
    </row>
    <row r="2" spans="2:5">
      <c r="B2" s="21"/>
      <c r="C2" s="21"/>
      <c r="D2" s="21"/>
      <c r="E2" s="146"/>
    </row>
    <row r="3" spans="2:5">
      <c r="B3" s="40" t="s">
        <v>92</v>
      </c>
      <c r="C3" s="256"/>
      <c r="D3" s="256"/>
      <c r="E3" s="256"/>
    </row>
    <row r="4" spans="2:5">
      <c r="B4" s="28" t="s">
        <v>24</v>
      </c>
      <c r="C4" s="658" t="s">
        <v>810</v>
      </c>
      <c r="D4" s="659" t="s">
        <v>811</v>
      </c>
      <c r="E4" s="124" t="s">
        <v>812</v>
      </c>
    </row>
    <row r="5" spans="2:5">
      <c r="B5" s="367" t="str">
        <f>inputPrYr!B40</f>
        <v>Water Utiltiy</v>
      </c>
      <c r="C5" s="350" t="str">
        <f>CONCATENATE("Actual for ",E1-2,"")</f>
        <v>Actual for 2012</v>
      </c>
      <c r="D5" s="350" t="str">
        <f>CONCATENATE("Estimate for ",E1-1,"")</f>
        <v>Estimate for 2013</v>
      </c>
      <c r="E5" s="220" t="str">
        <f>CONCATENATE("Year for ",E1,"")</f>
        <v>Year for 2014</v>
      </c>
    </row>
    <row r="6" spans="2:5">
      <c r="B6" s="221" t="s">
        <v>146</v>
      </c>
      <c r="C6" s="49">
        <v>4481</v>
      </c>
      <c r="D6" s="191">
        <f>C29</f>
        <v>69968</v>
      </c>
      <c r="E6" s="191">
        <f>D29</f>
        <v>20884</v>
      </c>
    </row>
    <row r="7" spans="2:5">
      <c r="B7" s="224" t="s">
        <v>148</v>
      </c>
      <c r="C7" s="67"/>
      <c r="D7" s="67"/>
      <c r="E7" s="67"/>
    </row>
    <row r="8" spans="2:5">
      <c r="B8" s="788" t="s">
        <v>1052</v>
      </c>
      <c r="C8" s="49">
        <v>5792</v>
      </c>
      <c r="D8" s="49">
        <v>7500</v>
      </c>
      <c r="E8" s="49">
        <v>5000</v>
      </c>
    </row>
    <row r="9" spans="2:5">
      <c r="B9" s="788" t="s">
        <v>1053</v>
      </c>
      <c r="C9" s="49">
        <v>312907</v>
      </c>
      <c r="D9" s="49">
        <v>215096</v>
      </c>
      <c r="E9" s="49">
        <v>325000</v>
      </c>
    </row>
    <row r="10" spans="2:5">
      <c r="B10" s="788" t="s">
        <v>1054</v>
      </c>
      <c r="C10" s="49">
        <v>4230</v>
      </c>
      <c r="D10" s="49">
        <v>1260</v>
      </c>
      <c r="E10" s="49">
        <v>2000</v>
      </c>
    </row>
    <row r="11" spans="2:5">
      <c r="B11" s="788" t="s">
        <v>1055</v>
      </c>
      <c r="C11" s="49">
        <v>1553</v>
      </c>
      <c r="D11" s="49">
        <v>868</v>
      </c>
      <c r="E11" s="49">
        <v>1000</v>
      </c>
    </row>
    <row r="12" spans="2:5">
      <c r="B12" s="229" t="s">
        <v>31</v>
      </c>
      <c r="C12" s="49"/>
      <c r="D12" s="49"/>
      <c r="E12" s="49"/>
    </row>
    <row r="13" spans="2:5">
      <c r="B13" s="138" t="s">
        <v>270</v>
      </c>
      <c r="C13" s="49">
        <v>426</v>
      </c>
      <c r="D13" s="223"/>
      <c r="E13" s="223">
        <v>300</v>
      </c>
    </row>
    <row r="14" spans="2:5">
      <c r="B14" s="221" t="s">
        <v>793</v>
      </c>
      <c r="C14" s="368" t="str">
        <f>IF(C15*0.1&lt;C13,"Exceed 10% Rule","")</f>
        <v/>
      </c>
      <c r="D14" s="253" t="str">
        <f>IF(D15*0.1&lt;D13,"Exceed 10% Rule","")</f>
        <v/>
      </c>
      <c r="E14" s="253" t="str">
        <f>IF(E15*0.1&lt;E13,"Exceed 10% Rule","")</f>
        <v/>
      </c>
    </row>
    <row r="15" spans="2:5">
      <c r="B15" s="231" t="s">
        <v>32</v>
      </c>
      <c r="C15" s="257">
        <f>SUM(C8:C13)</f>
        <v>324908</v>
      </c>
      <c r="D15" s="257">
        <f>SUM(D8:D13)</f>
        <v>224724</v>
      </c>
      <c r="E15" s="257">
        <f>SUM(E8:E13)</f>
        <v>333300</v>
      </c>
    </row>
    <row r="16" spans="2:5">
      <c r="B16" s="231" t="s">
        <v>33</v>
      </c>
      <c r="C16" s="257">
        <f>C6+C15</f>
        <v>329389</v>
      </c>
      <c r="D16" s="257">
        <f>D6+D15</f>
        <v>294692</v>
      </c>
      <c r="E16" s="257">
        <f>E6+E15</f>
        <v>354184</v>
      </c>
    </row>
    <row r="17" spans="2:5">
      <c r="B17" s="130" t="s">
        <v>35</v>
      </c>
      <c r="C17" s="191"/>
      <c r="D17" s="191"/>
      <c r="E17" s="191"/>
    </row>
    <row r="18" spans="2:5">
      <c r="B18" s="788" t="s">
        <v>1036</v>
      </c>
      <c r="C18" s="49">
        <v>84435</v>
      </c>
      <c r="D18" s="49">
        <v>88941</v>
      </c>
      <c r="E18" s="49">
        <v>92500</v>
      </c>
    </row>
    <row r="19" spans="2:5">
      <c r="B19" s="788" t="s">
        <v>1037</v>
      </c>
      <c r="C19" s="49">
        <v>74180</v>
      </c>
      <c r="D19" s="49">
        <v>79450</v>
      </c>
      <c r="E19" s="49">
        <v>82000</v>
      </c>
    </row>
    <row r="20" spans="2:5">
      <c r="B20" s="788" t="s">
        <v>1043</v>
      </c>
      <c r="C20" s="49">
        <v>30806</v>
      </c>
      <c r="D20" s="49">
        <v>31000</v>
      </c>
      <c r="E20" s="49">
        <v>31600</v>
      </c>
    </row>
    <row r="21" spans="2:5">
      <c r="B21" s="788" t="s">
        <v>1028</v>
      </c>
      <c r="C21" s="49">
        <v>10000</v>
      </c>
      <c r="D21" s="49">
        <v>3000</v>
      </c>
      <c r="E21" s="49"/>
    </row>
    <row r="22" spans="2:5">
      <c r="B22" s="788" t="s">
        <v>1056</v>
      </c>
      <c r="C22" s="49">
        <v>12500</v>
      </c>
      <c r="D22" s="49">
        <v>15000</v>
      </c>
      <c r="E22" s="49">
        <v>90000</v>
      </c>
    </row>
    <row r="23" spans="2:5">
      <c r="B23" s="788" t="s">
        <v>1057</v>
      </c>
      <c r="C23" s="49">
        <v>17500</v>
      </c>
      <c r="D23" s="49">
        <v>15000</v>
      </c>
      <c r="E23" s="49">
        <v>17500</v>
      </c>
    </row>
    <row r="24" spans="2:5">
      <c r="B24" s="788" t="s">
        <v>1049</v>
      </c>
      <c r="C24" s="49">
        <v>30000</v>
      </c>
      <c r="D24" s="49">
        <v>31500</v>
      </c>
      <c r="E24" s="49">
        <v>30500</v>
      </c>
    </row>
    <row r="25" spans="2:5">
      <c r="B25" s="788" t="s">
        <v>1058</v>
      </c>
      <c r="C25" s="49"/>
      <c r="D25" s="49">
        <v>9917</v>
      </c>
      <c r="E25" s="49">
        <v>10000</v>
      </c>
    </row>
    <row r="26" spans="2:5">
      <c r="B26" s="238" t="s">
        <v>270</v>
      </c>
      <c r="C26" s="49"/>
      <c r="D26" s="223"/>
      <c r="E26" s="223"/>
    </row>
    <row r="27" spans="2:5">
      <c r="B27" s="238" t="s">
        <v>794</v>
      </c>
      <c r="C27" s="368" t="str">
        <f>IF(C28*0.1&lt;C26,"Exceed 10% Rule","")</f>
        <v/>
      </c>
      <c r="D27" s="253" t="str">
        <f>IF(D28*0.1&lt;D26,"Exceed 10% Rule","")</f>
        <v/>
      </c>
      <c r="E27" s="253" t="str">
        <f>IF(E28*0.1&lt;E26,"Exceed 10% Rule","")</f>
        <v/>
      </c>
    </row>
    <row r="28" spans="2:5">
      <c r="B28" s="231" t="s">
        <v>39</v>
      </c>
      <c r="C28" s="257">
        <f>SUM(C18:C26)</f>
        <v>259421</v>
      </c>
      <c r="D28" s="257">
        <f>SUM(D18:D26)</f>
        <v>273808</v>
      </c>
      <c r="E28" s="257">
        <f>SUM(E18:E26)</f>
        <v>354100</v>
      </c>
    </row>
    <row r="29" spans="2:5">
      <c r="B29" s="130" t="s">
        <v>147</v>
      </c>
      <c r="C29" s="191">
        <f>C16-C28</f>
        <v>69968</v>
      </c>
      <c r="D29" s="191">
        <f>D16-D28</f>
        <v>20884</v>
      </c>
      <c r="E29" s="191">
        <f>E16-E28</f>
        <v>84</v>
      </c>
    </row>
    <row r="30" spans="2:5">
      <c r="B30" s="118" t="str">
        <f>CONCATENATE("",E1-2,"/",E1-1," Budget Authority Amount:")</f>
        <v>2012/2013 Budget Authority Amount:</v>
      </c>
      <c r="C30" s="181">
        <f>inputOth!B80</f>
        <v>255115</v>
      </c>
      <c r="D30" s="181">
        <f>inputPrYr!D40</f>
        <v>274132</v>
      </c>
      <c r="E30" s="409" t="str">
        <f>IF(E29&lt;0,"See Tab E","")</f>
        <v/>
      </c>
    </row>
    <row r="31" spans="2:5">
      <c r="B31" s="118"/>
      <c r="C31" s="242" t="str">
        <f>IF(C28&gt;C30,"See Tab A","")</f>
        <v>See Tab A</v>
      </c>
      <c r="D31" s="242" t="str">
        <f>IF(D28&gt;D30,"See Tab C","")</f>
        <v/>
      </c>
      <c r="E31" s="57"/>
    </row>
    <row r="32" spans="2:5">
      <c r="B32" s="118"/>
      <c r="C32" s="242" t="str">
        <f>IF(C29&lt;0,"See Tab B","")</f>
        <v/>
      </c>
      <c r="D32" s="242" t="str">
        <f>IF(D29&lt;0,"See Tab D","")</f>
        <v/>
      </c>
      <c r="E32" s="57"/>
    </row>
    <row r="33" spans="2:5">
      <c r="B33" s="60"/>
      <c r="C33" s="57"/>
      <c r="D33" s="57"/>
      <c r="E33" s="57"/>
    </row>
    <row r="34" spans="2:5">
      <c r="B34" s="21"/>
      <c r="C34" s="50"/>
      <c r="D34" s="50"/>
      <c r="E34" s="50"/>
    </row>
    <row r="35" spans="2:5">
      <c r="B35" s="28" t="s">
        <v>24</v>
      </c>
      <c r="C35" s="262"/>
      <c r="D35" s="262"/>
      <c r="E35" s="262"/>
    </row>
    <row r="36" spans="2:5">
      <c r="B36" s="21"/>
      <c r="C36" s="245" t="str">
        <f t="shared" ref="C36:E37" si="0">C4</f>
        <v xml:space="preserve">Prior Year </v>
      </c>
      <c r="D36" s="124" t="str">
        <f t="shared" si="0"/>
        <v>Current Year</v>
      </c>
      <c r="E36" s="124" t="str">
        <f t="shared" si="0"/>
        <v>Proposed Budget</v>
      </c>
    </row>
    <row r="37" spans="2:5">
      <c r="B37" s="366">
        <f>inputPrYr!B41</f>
        <v>0</v>
      </c>
      <c r="C37" s="220" t="str">
        <f t="shared" si="0"/>
        <v>Actual for 2012</v>
      </c>
      <c r="D37" s="220" t="str">
        <f t="shared" si="0"/>
        <v>Estimate for 2013</v>
      </c>
      <c r="E37" s="220" t="str">
        <f t="shared" si="0"/>
        <v>Year for 2014</v>
      </c>
    </row>
    <row r="38" spans="2:5">
      <c r="B38" s="221" t="s">
        <v>146</v>
      </c>
      <c r="C38" s="49"/>
      <c r="D38" s="191">
        <f>C61</f>
        <v>0</v>
      </c>
      <c r="E38" s="191">
        <f>D61</f>
        <v>0</v>
      </c>
    </row>
    <row r="39" spans="2:5">
      <c r="B39" s="221" t="s">
        <v>148</v>
      </c>
      <c r="C39" s="67"/>
      <c r="D39" s="67"/>
      <c r="E39" s="67"/>
    </row>
    <row r="40" spans="2:5">
      <c r="B40" s="237"/>
      <c r="C40" s="49"/>
      <c r="D40" s="49"/>
      <c r="E40" s="49"/>
    </row>
    <row r="41" spans="2:5">
      <c r="B41" s="237"/>
      <c r="C41" s="49"/>
      <c r="D41" s="49"/>
      <c r="E41" s="49"/>
    </row>
    <row r="42" spans="2:5">
      <c r="B42" s="237"/>
      <c r="C42" s="49"/>
      <c r="D42" s="49"/>
      <c r="E42" s="49"/>
    </row>
    <row r="43" spans="2:5">
      <c r="B43" s="237"/>
      <c r="C43" s="49"/>
      <c r="D43" s="49"/>
      <c r="E43" s="49"/>
    </row>
    <row r="44" spans="2:5">
      <c r="B44" s="229" t="s">
        <v>31</v>
      </c>
      <c r="C44" s="49"/>
      <c r="D44" s="49"/>
      <c r="E44" s="49"/>
    </row>
    <row r="45" spans="2:5">
      <c r="B45" s="138" t="s">
        <v>270</v>
      </c>
      <c r="C45" s="49"/>
      <c r="D45" s="223"/>
      <c r="E45" s="223"/>
    </row>
    <row r="46" spans="2:5">
      <c r="B46" s="221" t="s">
        <v>793</v>
      </c>
      <c r="C46" s="368" t="str">
        <f>IF(C47*0.1&lt;C45,"Exceed 10% Rule","")</f>
        <v/>
      </c>
      <c r="D46" s="253" t="str">
        <f>IF(D47*0.1&lt;D45,"Exceed 10% Rule","")</f>
        <v/>
      </c>
      <c r="E46" s="253" t="str">
        <f>IF(E47*0.1&lt;E45,"Exceed 10% Rule","")</f>
        <v/>
      </c>
    </row>
    <row r="47" spans="2:5">
      <c r="B47" s="231" t="s">
        <v>32</v>
      </c>
      <c r="C47" s="257">
        <f>SUM(C40:C45)</f>
        <v>0</v>
      </c>
      <c r="D47" s="257">
        <f>SUM(D40:D45)</f>
        <v>0</v>
      </c>
      <c r="E47" s="257">
        <f>SUM(E40:E45)</f>
        <v>0</v>
      </c>
    </row>
    <row r="48" spans="2:5">
      <c r="B48" s="231" t="s">
        <v>33</v>
      </c>
      <c r="C48" s="257">
        <f>C38+C47</f>
        <v>0</v>
      </c>
      <c r="D48" s="257">
        <f>D38+D47</f>
        <v>0</v>
      </c>
      <c r="E48" s="257">
        <f>E38+E47</f>
        <v>0</v>
      </c>
    </row>
    <row r="49" spans="2:5">
      <c r="B49" s="130" t="s">
        <v>35</v>
      </c>
      <c r="C49" s="191"/>
      <c r="D49" s="191"/>
      <c r="E49" s="191"/>
    </row>
    <row r="50" spans="2:5">
      <c r="B50" s="237"/>
      <c r="C50" s="49"/>
      <c r="D50" s="49"/>
      <c r="E50" s="49"/>
    </row>
    <row r="51" spans="2:5">
      <c r="B51" s="237"/>
      <c r="C51" s="49"/>
      <c r="D51" s="49"/>
      <c r="E51" s="49"/>
    </row>
    <row r="52" spans="2:5">
      <c r="B52" s="237"/>
      <c r="C52" s="49"/>
      <c r="D52" s="49"/>
      <c r="E52" s="49"/>
    </row>
    <row r="53" spans="2:5">
      <c r="B53" s="237"/>
      <c r="C53" s="49"/>
      <c r="D53" s="49"/>
      <c r="E53" s="49"/>
    </row>
    <row r="54" spans="2:5">
      <c r="B54" s="237"/>
      <c r="C54" s="49"/>
      <c r="D54" s="49"/>
      <c r="E54" s="49"/>
    </row>
    <row r="55" spans="2:5">
      <c r="B55" s="237"/>
      <c r="C55" s="49"/>
      <c r="D55" s="49"/>
      <c r="E55" s="49"/>
    </row>
    <row r="56" spans="2:5">
      <c r="B56" s="237"/>
      <c r="C56" s="49"/>
      <c r="D56" s="49"/>
      <c r="E56" s="49"/>
    </row>
    <row r="57" spans="2:5">
      <c r="B57" s="237"/>
      <c r="C57" s="49"/>
      <c r="D57" s="49"/>
      <c r="E57" s="49"/>
    </row>
    <row r="58" spans="2:5">
      <c r="B58" s="238" t="s">
        <v>270</v>
      </c>
      <c r="C58" s="49"/>
      <c r="D58" s="223"/>
      <c r="E58" s="223"/>
    </row>
    <row r="59" spans="2:5">
      <c r="B59" s="238" t="s">
        <v>794</v>
      </c>
      <c r="C59" s="368" t="str">
        <f>IF(C60*0.1&lt;C58,"Exceed 10% Rule","")</f>
        <v/>
      </c>
      <c r="D59" s="253" t="str">
        <f>IF(D60*0.1&lt;D58,"Exceed 10% Rule","")</f>
        <v/>
      </c>
      <c r="E59" s="253" t="str">
        <f>IF(E60*0.1&lt;E58,"Exceed 10% Rule","")</f>
        <v/>
      </c>
    </row>
    <row r="60" spans="2:5">
      <c r="B60" s="231" t="s">
        <v>39</v>
      </c>
      <c r="C60" s="257">
        <f>SUM(C50:C58)</f>
        <v>0</v>
      </c>
      <c r="D60" s="257">
        <f>SUM(D50:D58)</f>
        <v>0</v>
      </c>
      <c r="E60" s="257">
        <f>SUM(E50:E58)</f>
        <v>0</v>
      </c>
    </row>
    <row r="61" spans="2:5">
      <c r="B61" s="130" t="s">
        <v>147</v>
      </c>
      <c r="C61" s="191">
        <f>C48-C60</f>
        <v>0</v>
      </c>
      <c r="D61" s="191">
        <f>D48-D60</f>
        <v>0</v>
      </c>
      <c r="E61" s="191">
        <f>E48-E60</f>
        <v>0</v>
      </c>
    </row>
    <row r="62" spans="2:5">
      <c r="B62" s="118" t="str">
        <f>CONCATENATE("",E1-2,"/",E1-1," Budget Authority Amount:")</f>
        <v>2012/2013 Budget Authority Amount:</v>
      </c>
      <c r="C62" s="181">
        <f>inputOth!B81</f>
        <v>0</v>
      </c>
      <c r="D62" s="181">
        <f>inputPrYr!D41</f>
        <v>0</v>
      </c>
      <c r="E62" s="409" t="str">
        <f>IF(E61&lt;0,"See Tab E","")</f>
        <v/>
      </c>
    </row>
    <row r="63" spans="2:5">
      <c r="B63" s="118"/>
      <c r="C63" s="242" t="str">
        <f>IF(C60&gt;C62,"See Tab A","")</f>
        <v/>
      </c>
      <c r="D63" s="242" t="str">
        <f>IF(D60&gt;D62,"See Tab C","")</f>
        <v/>
      </c>
      <c r="E63" s="57"/>
    </row>
    <row r="64" spans="2:5">
      <c r="B64" s="118"/>
      <c r="C64" s="242" t="str">
        <f>IF(C61&lt;0,"See Tab B","")</f>
        <v/>
      </c>
      <c r="D64" s="242" t="str">
        <f>IF(D61&lt;0,"See Tab D","")</f>
        <v/>
      </c>
      <c r="E64" s="57"/>
    </row>
    <row r="65" spans="2:5">
      <c r="B65" s="21"/>
      <c r="C65" s="21"/>
      <c r="D65" s="21"/>
      <c r="E65" s="21"/>
    </row>
    <row r="66" spans="2:5">
      <c r="B66" s="118" t="s">
        <v>42</v>
      </c>
      <c r="C66" s="248">
        <v>15</v>
      </c>
      <c r="D66" s="21"/>
      <c r="E66" s="21"/>
    </row>
  </sheetData>
  <sheetProtection sheet="1"/>
  <phoneticPr fontId="0" type="noConversion"/>
  <conditionalFormatting sqref="C13">
    <cfRule type="cellIs" dxfId="58" priority="3" stopIfTrue="1" operator="greaterThan">
      <formula>$C$15*0.1</formula>
    </cfRule>
  </conditionalFormatting>
  <conditionalFormatting sqref="D13">
    <cfRule type="cellIs" dxfId="57" priority="4" stopIfTrue="1" operator="greaterThan">
      <formula>$D$15*0.1</formula>
    </cfRule>
  </conditionalFormatting>
  <conditionalFormatting sqref="E13">
    <cfRule type="cellIs" dxfId="56" priority="5" stopIfTrue="1" operator="greaterThan">
      <formula>$E$15*0.1</formula>
    </cfRule>
  </conditionalFormatting>
  <conditionalFormatting sqref="C26">
    <cfRule type="cellIs" dxfId="55" priority="6" stopIfTrue="1" operator="greaterThan">
      <formula>$C$28*0.1</formula>
    </cfRule>
  </conditionalFormatting>
  <conditionalFormatting sqref="D26">
    <cfRule type="cellIs" dxfId="54" priority="7" stopIfTrue="1" operator="greaterThan">
      <formula>$D$28*0.1</formula>
    </cfRule>
  </conditionalFormatting>
  <conditionalFormatting sqref="E26">
    <cfRule type="cellIs" dxfId="53" priority="8" stopIfTrue="1" operator="greaterThan">
      <formula>$E$28*0.1</formula>
    </cfRule>
  </conditionalFormatting>
  <conditionalFormatting sqref="C45">
    <cfRule type="cellIs" dxfId="52" priority="9" stopIfTrue="1" operator="greaterThan">
      <formula>$C$47*0.1</formula>
    </cfRule>
  </conditionalFormatting>
  <conditionalFormatting sqref="D45">
    <cfRule type="cellIs" dxfId="51" priority="10" stopIfTrue="1" operator="greaterThan">
      <formula>$D$47*0.1</formula>
    </cfRule>
  </conditionalFormatting>
  <conditionalFormatting sqref="E45">
    <cfRule type="cellIs" dxfId="50" priority="11" stopIfTrue="1" operator="greaterThan">
      <formula>$E$47*0.1</formula>
    </cfRule>
  </conditionalFormatting>
  <conditionalFormatting sqref="C58">
    <cfRule type="cellIs" dxfId="49" priority="12" stopIfTrue="1" operator="greaterThan">
      <formula>$C$60*0.1</formula>
    </cfRule>
  </conditionalFormatting>
  <conditionalFormatting sqref="D58">
    <cfRule type="cellIs" dxfId="48" priority="13" stopIfTrue="1" operator="greaterThan">
      <formula>$D$60*0.1</formula>
    </cfRule>
  </conditionalFormatting>
  <conditionalFormatting sqref="E58">
    <cfRule type="cellIs" dxfId="47" priority="14" stopIfTrue="1" operator="greaterThan">
      <formula>$E$60*0.1</formula>
    </cfRule>
  </conditionalFormatting>
  <conditionalFormatting sqref="E29 C29 E61 C61">
    <cfRule type="cellIs" dxfId="46" priority="15" stopIfTrue="1" operator="lessThan">
      <formula>0</formula>
    </cfRule>
  </conditionalFormatting>
  <conditionalFormatting sqref="D28">
    <cfRule type="cellIs" dxfId="45" priority="16" stopIfTrue="1" operator="greaterThan">
      <formula>$D$30</formula>
    </cfRule>
  </conditionalFormatting>
  <conditionalFormatting sqref="C28">
    <cfRule type="cellIs" dxfId="44" priority="17" stopIfTrue="1" operator="greaterThan">
      <formula>$C$30</formula>
    </cfRule>
  </conditionalFormatting>
  <conditionalFormatting sqref="D60">
    <cfRule type="cellIs" dxfId="43" priority="18" stopIfTrue="1" operator="greaterThan">
      <formula>$D$62</formula>
    </cfRule>
  </conditionalFormatting>
  <conditionalFormatting sqref="C60">
    <cfRule type="cellIs" dxfId="42" priority="19" stopIfTrue="1" operator="greaterThan">
      <formula>$C$62</formula>
    </cfRule>
  </conditionalFormatting>
  <conditionalFormatting sqref="D61">
    <cfRule type="cellIs" dxfId="41" priority="2" stopIfTrue="1" operator="lessThan">
      <formula>0</formula>
    </cfRule>
  </conditionalFormatting>
  <conditionalFormatting sqref="D29">
    <cfRule type="cellIs" dxfId="40" priority="1" stopIfTrue="1" operator="lessThan">
      <formula>0</formula>
    </cfRule>
  </conditionalFormatting>
  <pageMargins left="0.5" right="0.5" top="1" bottom="0.5" header="0.5" footer="0.5"/>
  <pageSetup scale="71" orientation="portrait" blackAndWhite="1" r:id="rId1"/>
  <headerFooter alignWithMargins="0">
    <oddHeader xml:space="preserve">&amp;RState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3"/>
  <sheetViews>
    <sheetView topLeftCell="A52" workbookViewId="0">
      <selection activeCell="C42" sqref="C42:E42"/>
    </sheetView>
  </sheetViews>
  <sheetFormatPr defaultRowHeight="15"/>
  <cols>
    <col min="1" max="1" width="2.44140625" style="82" customWidth="1"/>
    <col min="2" max="2" width="31.109375" style="82" customWidth="1"/>
    <col min="3" max="4" width="15.77734375" style="82" customWidth="1"/>
    <col min="5" max="5" width="16.109375" style="82" customWidth="1"/>
    <col min="6" max="16384" width="8.88671875" style="82"/>
  </cols>
  <sheetData>
    <row r="1" spans="2:5" ht="15.75">
      <c r="B1" s="150" t="str">
        <f>inputPrYr!D2</f>
        <v>CITY OF HOXIE</v>
      </c>
      <c r="C1" s="21"/>
      <c r="D1" s="21"/>
      <c r="E1" s="183">
        <f>inputPrYr!$C$5</f>
        <v>2014</v>
      </c>
    </row>
    <row r="2" spans="2:5" ht="15.75">
      <c r="B2" s="21"/>
      <c r="C2" s="21"/>
      <c r="D2" s="21"/>
      <c r="E2" s="146"/>
    </row>
    <row r="3" spans="2:5" ht="15.75">
      <c r="B3" s="40" t="s">
        <v>92</v>
      </c>
      <c r="C3" s="263"/>
      <c r="D3" s="263"/>
      <c r="E3" s="264"/>
    </row>
    <row r="4" spans="2:5" ht="15.75">
      <c r="B4" s="28" t="s">
        <v>24</v>
      </c>
      <c r="C4" s="658" t="s">
        <v>810</v>
      </c>
      <c r="D4" s="659" t="s">
        <v>811</v>
      </c>
      <c r="E4" s="124" t="s">
        <v>812</v>
      </c>
    </row>
    <row r="5" spans="2:5" ht="15.75">
      <c r="B5" s="367">
        <f>inputPrYr!B44</f>
        <v>0</v>
      </c>
      <c r="C5" s="350" t="str">
        <f>CONCATENATE("Actual for ",E1-2,"")</f>
        <v>Actual for 2012</v>
      </c>
      <c r="D5" s="350" t="str">
        <f>CONCATENATE("Estimate for ",E1-1,"")</f>
        <v>Estimate for 2013</v>
      </c>
      <c r="E5" s="220" t="str">
        <f>CONCATENATE("Year for ",E1,"")</f>
        <v>Year for 2014</v>
      </c>
    </row>
    <row r="6" spans="2:5" ht="15.75">
      <c r="B6" s="130" t="s">
        <v>146</v>
      </c>
      <c r="C6" s="49"/>
      <c r="D6" s="191">
        <f>C48</f>
        <v>0</v>
      </c>
      <c r="E6" s="191">
        <f>D48</f>
        <v>0</v>
      </c>
    </row>
    <row r="7" spans="2:5" ht="15.75">
      <c r="B7" s="130" t="s">
        <v>148</v>
      </c>
      <c r="C7" s="67"/>
      <c r="D7" s="67"/>
      <c r="E7" s="67"/>
    </row>
    <row r="8" spans="2:5" ht="15.75">
      <c r="B8" s="261"/>
      <c r="C8" s="228"/>
      <c r="D8" s="228"/>
      <c r="E8" s="228"/>
    </row>
    <row r="9" spans="2:5" ht="15.75">
      <c r="B9" s="237"/>
      <c r="C9" s="228"/>
      <c r="D9" s="228"/>
      <c r="E9" s="228"/>
    </row>
    <row r="10" spans="2:5" ht="15.75">
      <c r="B10" s="237"/>
      <c r="C10" s="228"/>
      <c r="D10" s="228"/>
      <c r="E10" s="228"/>
    </row>
    <row r="11" spans="2:5" ht="15.75">
      <c r="B11" s="237"/>
      <c r="C11" s="228"/>
      <c r="D11" s="228"/>
      <c r="E11" s="228"/>
    </row>
    <row r="12" spans="2:5" ht="15.75">
      <c r="B12" s="237"/>
      <c r="C12" s="228"/>
      <c r="D12" s="228"/>
      <c r="E12" s="228"/>
    </row>
    <row r="13" spans="2:5" ht="15.75">
      <c r="B13" s="237"/>
      <c r="C13" s="228"/>
      <c r="D13" s="228"/>
      <c r="E13" s="228"/>
    </row>
    <row r="14" spans="2:5" ht="15.75">
      <c r="B14" s="260"/>
      <c r="C14" s="87"/>
      <c r="D14" s="87"/>
      <c r="E14" s="87"/>
    </row>
    <row r="15" spans="2:5" ht="15.75">
      <c r="B15" s="237"/>
      <c r="C15" s="228"/>
      <c r="D15" s="228"/>
      <c r="E15" s="228"/>
    </row>
    <row r="16" spans="2:5" ht="15.75">
      <c r="B16" s="265" t="s">
        <v>31</v>
      </c>
      <c r="C16" s="228"/>
      <c r="D16" s="228"/>
      <c r="E16" s="228"/>
    </row>
    <row r="17" spans="2:5" ht="15.75">
      <c r="B17" s="138" t="s">
        <v>270</v>
      </c>
      <c r="C17" s="228"/>
      <c r="D17" s="226"/>
      <c r="E17" s="226"/>
    </row>
    <row r="18" spans="2:5" ht="15.75">
      <c r="B18" s="221" t="s">
        <v>793</v>
      </c>
      <c r="C18" s="368" t="str">
        <f>IF(C19*0.1&lt;C17,"Exceed 10% Rule","")</f>
        <v/>
      </c>
      <c r="D18" s="253" t="str">
        <f>IF(D19*0.1&lt;D17,"Exceed 10% Rule","")</f>
        <v/>
      </c>
      <c r="E18" s="253" t="str">
        <f>IF(E19*0.1&lt;E17,"Exceed 10% Rule","")</f>
        <v/>
      </c>
    </row>
    <row r="19" spans="2:5" ht="15.75">
      <c r="B19" s="231" t="s">
        <v>32</v>
      </c>
      <c r="C19" s="257">
        <f>SUM(C8:C17)</f>
        <v>0</v>
      </c>
      <c r="D19" s="257">
        <f>SUM(D8:D17)</f>
        <v>0</v>
      </c>
      <c r="E19" s="257">
        <f>SUM(E8:E17)</f>
        <v>0</v>
      </c>
    </row>
    <row r="20" spans="2:5" ht="15.75">
      <c r="B20" s="231" t="s">
        <v>33</v>
      </c>
      <c r="C20" s="257">
        <f>C6+C19</f>
        <v>0</v>
      </c>
      <c r="D20" s="257">
        <f>D6+D19</f>
        <v>0</v>
      </c>
      <c r="E20" s="257">
        <f>E6+E19</f>
        <v>0</v>
      </c>
    </row>
    <row r="21" spans="2:5" ht="15.75">
      <c r="B21" s="130" t="s">
        <v>35</v>
      </c>
      <c r="C21" s="67"/>
      <c r="D21" s="67"/>
      <c r="E21" s="67"/>
    </row>
    <row r="22" spans="2:5" ht="15.75">
      <c r="B22" s="237" t="s">
        <v>182</v>
      </c>
      <c r="C22" s="228"/>
      <c r="D22" s="228"/>
      <c r="E22" s="228"/>
    </row>
    <row r="23" spans="2:5" ht="15.75">
      <c r="B23" s="237" t="s">
        <v>280</v>
      </c>
      <c r="C23" s="228"/>
      <c r="D23" s="228"/>
      <c r="E23" s="228"/>
    </row>
    <row r="24" spans="2:5" ht="15.75">
      <c r="B24" s="237"/>
      <c r="C24" s="87"/>
      <c r="D24" s="87"/>
      <c r="E24" s="87"/>
    </row>
    <row r="25" spans="2:5" ht="15.75">
      <c r="B25" s="237"/>
      <c r="C25" s="87"/>
      <c r="D25" s="87"/>
      <c r="E25" s="87"/>
    </row>
    <row r="26" spans="2:5" ht="15.75">
      <c r="B26" s="237"/>
      <c r="C26" s="87"/>
      <c r="D26" s="87"/>
      <c r="E26" s="87"/>
    </row>
    <row r="27" spans="2:5" ht="15.75">
      <c r="B27" s="237"/>
      <c r="C27" s="87"/>
      <c r="D27" s="87"/>
      <c r="E27" s="87"/>
    </row>
    <row r="28" spans="2:5" ht="15.75">
      <c r="B28" s="237"/>
      <c r="C28" s="87"/>
      <c r="D28" s="87"/>
      <c r="E28" s="87"/>
    </row>
    <row r="29" spans="2:5" ht="15.75">
      <c r="B29" s="237"/>
      <c r="C29" s="87"/>
      <c r="D29" s="87"/>
      <c r="E29" s="87"/>
    </row>
    <row r="30" spans="2:5" ht="15.75">
      <c r="B30" s="237"/>
      <c r="C30" s="87"/>
      <c r="D30" s="87"/>
      <c r="E30" s="87"/>
    </row>
    <row r="31" spans="2:5" ht="15.75">
      <c r="B31" s="237"/>
      <c r="C31" s="87"/>
      <c r="D31" s="87"/>
      <c r="E31" s="87"/>
    </row>
    <row r="32" spans="2:5" ht="15.75">
      <c r="B32" s="237"/>
      <c r="C32" s="87"/>
      <c r="D32" s="87"/>
      <c r="E32" s="87"/>
    </row>
    <row r="33" spans="2:5" ht="15.75">
      <c r="B33" s="237"/>
      <c r="C33" s="87"/>
      <c r="D33" s="87"/>
      <c r="E33" s="87"/>
    </row>
    <row r="34" spans="2:5" ht="15.75">
      <c r="B34" s="237"/>
      <c r="C34" s="87"/>
      <c r="D34" s="87"/>
      <c r="E34" s="87"/>
    </row>
    <row r="35" spans="2:5" ht="15.75">
      <c r="B35" s="237"/>
      <c r="C35" s="228"/>
      <c r="D35" s="228"/>
      <c r="E35" s="228"/>
    </row>
    <row r="36" spans="2:5" ht="15.75">
      <c r="B36" s="237"/>
      <c r="C36" s="228"/>
      <c r="D36" s="228"/>
      <c r="E36" s="228"/>
    </row>
    <row r="37" spans="2:5" ht="15.75">
      <c r="B37" s="237"/>
      <c r="C37" s="228"/>
      <c r="D37" s="228"/>
      <c r="E37" s="228"/>
    </row>
    <row r="38" spans="2:5" ht="15.75">
      <c r="B38" s="237"/>
      <c r="C38" s="228"/>
      <c r="D38" s="228"/>
      <c r="E38" s="228"/>
    </row>
    <row r="39" spans="2:5" ht="15.75">
      <c r="B39" s="237"/>
      <c r="C39" s="228"/>
      <c r="D39" s="228"/>
      <c r="E39" s="228"/>
    </row>
    <row r="40" spans="2:5" ht="15.75">
      <c r="B40" s="237"/>
      <c r="C40" s="228"/>
      <c r="D40" s="228"/>
      <c r="E40" s="228"/>
    </row>
    <row r="41" spans="2:5" ht="15.75">
      <c r="B41" s="237"/>
      <c r="C41" s="228"/>
      <c r="D41" s="228"/>
      <c r="E41" s="228"/>
    </row>
    <row r="42" spans="2:5" ht="15.75">
      <c r="B42" s="237"/>
      <c r="C42" s="228"/>
      <c r="D42" s="228"/>
      <c r="E42" s="228"/>
    </row>
    <row r="43" spans="2:5" ht="15.75">
      <c r="B43" s="237"/>
      <c r="C43" s="228"/>
      <c r="D43" s="228"/>
      <c r="E43" s="228"/>
    </row>
    <row r="44" spans="2:5" ht="15.75">
      <c r="B44" s="237"/>
      <c r="C44" s="228"/>
      <c r="D44" s="228"/>
      <c r="E44" s="228"/>
    </row>
    <row r="45" spans="2:5" ht="15.75">
      <c r="B45" s="238" t="s">
        <v>270</v>
      </c>
      <c r="C45" s="228"/>
      <c r="D45" s="226"/>
      <c r="E45" s="226"/>
    </row>
    <row r="46" spans="2:5" ht="15.75">
      <c r="B46" s="238" t="s">
        <v>794</v>
      </c>
      <c r="C46" s="368" t="str">
        <f>IF(C47*0.1&lt;C45,"Exceed 10% Rule","")</f>
        <v/>
      </c>
      <c r="D46" s="253" t="str">
        <f>IF(D47*0.1&lt;D45,"Exceed 10% Rule","")</f>
        <v/>
      </c>
      <c r="E46" s="253" t="str">
        <f>IF(E47*0.1&lt;E45,"Exceed 10% Rule","")</f>
        <v/>
      </c>
    </row>
    <row r="47" spans="2:5" ht="15.75">
      <c r="B47" s="231" t="s">
        <v>39</v>
      </c>
      <c r="C47" s="257">
        <f>SUM(C22:C45)</f>
        <v>0</v>
      </c>
      <c r="D47" s="257">
        <f>SUM(D22:D45)</f>
        <v>0</v>
      </c>
      <c r="E47" s="257">
        <f>SUM(E22:E45)</f>
        <v>0</v>
      </c>
    </row>
    <row r="48" spans="2:5" ht="15.75">
      <c r="B48" s="130" t="s">
        <v>147</v>
      </c>
      <c r="C48" s="191">
        <f>C20-C47</f>
        <v>0</v>
      </c>
      <c r="D48" s="191">
        <f>D20-D47</f>
        <v>0</v>
      </c>
      <c r="E48" s="191">
        <f>E20-E47</f>
        <v>0</v>
      </c>
    </row>
    <row r="49" spans="2:5" ht="15.75">
      <c r="B49" s="118" t="str">
        <f>CONCATENATE("",E1-2,"/",E1-1," Budget Authority Amount:")</f>
        <v>2012/2013 Budget Authority Amount:</v>
      </c>
      <c r="C49" s="181">
        <f>inputOth!B82</f>
        <v>0</v>
      </c>
      <c r="D49" s="181">
        <f>inputPrYr!D44</f>
        <v>0</v>
      </c>
      <c r="E49" s="409" t="str">
        <f>IF(E48&lt;0,"See Tab E","")</f>
        <v/>
      </c>
    </row>
    <row r="50" spans="2:5" ht="15.75">
      <c r="B50" s="118"/>
      <c r="C50" s="242" t="str">
        <f>IF(C47&gt;C49,"See Tab A","")</f>
        <v/>
      </c>
      <c r="D50" s="242" t="str">
        <f>IF(D47&gt;D49,"See Tab C","")</f>
        <v/>
      </c>
      <c r="E50" s="170"/>
    </row>
    <row r="51" spans="2:5" ht="15.75">
      <c r="B51" s="118"/>
      <c r="C51" s="242" t="str">
        <f>IF(C48&lt;0,"See Tab B","")</f>
        <v/>
      </c>
      <c r="D51" s="242" t="str">
        <f>IF(D48&lt;0,"See Tab D","")</f>
        <v/>
      </c>
      <c r="E51" s="170"/>
    </row>
    <row r="52" spans="2:5">
      <c r="B52" s="84"/>
      <c r="C52" s="84"/>
      <c r="D52" s="84"/>
      <c r="E52" s="84"/>
    </row>
    <row r="53" spans="2:5" ht="15.75">
      <c r="B53" s="118" t="s">
        <v>42</v>
      </c>
      <c r="C53" s="248"/>
      <c r="D53" s="84"/>
      <c r="E53" s="84"/>
    </row>
  </sheetData>
  <sheetProtection sheet="1"/>
  <phoneticPr fontId="11" type="noConversion"/>
  <conditionalFormatting sqref="C17">
    <cfRule type="cellIs" dxfId="39" priority="2" stopIfTrue="1" operator="greaterThan">
      <formula>$C$19*0.1</formula>
    </cfRule>
  </conditionalFormatting>
  <conditionalFormatting sqref="D17">
    <cfRule type="cellIs" dxfId="38" priority="3" stopIfTrue="1" operator="greaterThan">
      <formula>$D$19*0.1</formula>
    </cfRule>
  </conditionalFormatting>
  <conditionalFormatting sqref="E17">
    <cfRule type="cellIs" dxfId="37" priority="4" stopIfTrue="1" operator="greaterThan">
      <formula>$E$19*0.1</formula>
    </cfRule>
  </conditionalFormatting>
  <conditionalFormatting sqref="C45">
    <cfRule type="cellIs" dxfId="36" priority="5" stopIfTrue="1" operator="greaterThan">
      <formula>$C$47*0.1</formula>
    </cfRule>
  </conditionalFormatting>
  <conditionalFormatting sqref="D45">
    <cfRule type="cellIs" dxfId="35" priority="6" stopIfTrue="1" operator="greaterThan">
      <formula>$D$47*0.1</formula>
    </cfRule>
  </conditionalFormatting>
  <conditionalFormatting sqref="E45">
    <cfRule type="cellIs" dxfId="34" priority="7" stopIfTrue="1" operator="greaterThan">
      <formula>$E$47*0.1</formula>
    </cfRule>
  </conditionalFormatting>
  <conditionalFormatting sqref="D47">
    <cfRule type="cellIs" dxfId="33" priority="8" stopIfTrue="1" operator="greaterThan">
      <formula>$D$49</formula>
    </cfRule>
  </conditionalFormatting>
  <conditionalFormatting sqref="C47">
    <cfRule type="cellIs" dxfId="32" priority="9" stopIfTrue="1" operator="greaterThan">
      <formula>$C$49</formula>
    </cfRule>
  </conditionalFormatting>
  <conditionalFormatting sqref="C48 E48">
    <cfRule type="cellIs" dxfId="31" priority="10" stopIfTrue="1" operator="lessThan">
      <formula>0</formula>
    </cfRule>
  </conditionalFormatting>
  <conditionalFormatting sqref="D48">
    <cfRule type="cellIs" dxfId="30" priority="1" stopIfTrue="1" operator="lessThan">
      <formula>0</formula>
    </cfRule>
  </conditionalFormatting>
  <pageMargins left="0.75" right="0.75" top="1" bottom="1" header="0.5" footer="0.5"/>
  <pageSetup scale="83" orientation="portrait" blackAndWhite="1"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53"/>
  <sheetViews>
    <sheetView workbookViewId="0">
      <selection activeCell="C53" sqref="C53"/>
    </sheetView>
  </sheetViews>
  <sheetFormatPr defaultRowHeight="15"/>
  <cols>
    <col min="1" max="1" width="2.44140625" style="82" customWidth="1"/>
    <col min="2" max="2" width="31.109375" style="82" customWidth="1"/>
    <col min="3" max="4" width="15.77734375" style="82" customWidth="1"/>
    <col min="5" max="5" width="16.21875" style="82" customWidth="1"/>
    <col min="6" max="16384" width="8.88671875" style="82"/>
  </cols>
  <sheetData>
    <row r="1" spans="2:5" ht="15.75">
      <c r="B1" s="150" t="str">
        <f>inputPrYr!D2</f>
        <v>CITY OF HOXIE</v>
      </c>
      <c r="C1" s="21"/>
      <c r="D1" s="21"/>
      <c r="E1" s="183">
        <f>inputPrYr!$C$5</f>
        <v>2014</v>
      </c>
    </row>
    <row r="2" spans="2:5" ht="15.75">
      <c r="B2" s="21"/>
      <c r="C2" s="21"/>
      <c r="D2" s="21"/>
      <c r="E2" s="146"/>
    </row>
    <row r="3" spans="2:5" ht="15.75">
      <c r="B3" s="40" t="s">
        <v>92</v>
      </c>
      <c r="C3" s="263"/>
      <c r="D3" s="263"/>
      <c r="E3" s="264"/>
    </row>
    <row r="4" spans="2:5" ht="15.75">
      <c r="B4" s="28" t="s">
        <v>24</v>
      </c>
      <c r="C4" s="658" t="s">
        <v>810</v>
      </c>
      <c r="D4" s="659" t="s">
        <v>811</v>
      </c>
      <c r="E4" s="124" t="s">
        <v>812</v>
      </c>
    </row>
    <row r="5" spans="2:5" ht="15.75">
      <c r="B5" s="367">
        <f>inputPrYr!B45</f>
        <v>0</v>
      </c>
      <c r="C5" s="350" t="str">
        <f>CONCATENATE("Actual for ",E1-2,"")</f>
        <v>Actual for 2012</v>
      </c>
      <c r="D5" s="350" t="str">
        <f>CONCATENATE("Estimate for ",E1-1,"")</f>
        <v>Estimate for 2013</v>
      </c>
      <c r="E5" s="220" t="str">
        <f>CONCATENATE("Year for ",E1,"")</f>
        <v>Year for 2014</v>
      </c>
    </row>
    <row r="6" spans="2:5" ht="15.75">
      <c r="B6" s="130" t="s">
        <v>146</v>
      </c>
      <c r="C6" s="49"/>
      <c r="D6" s="191">
        <f>C48</f>
        <v>0</v>
      </c>
      <c r="E6" s="191">
        <f>D48</f>
        <v>0</v>
      </c>
    </row>
    <row r="7" spans="2:5" ht="15.75">
      <c r="B7" s="130" t="s">
        <v>148</v>
      </c>
      <c r="C7" s="67"/>
      <c r="D7" s="67"/>
      <c r="E7" s="67"/>
    </row>
    <row r="8" spans="2:5" ht="15.75">
      <c r="B8" s="261"/>
      <c r="C8" s="228"/>
      <c r="D8" s="228"/>
      <c r="E8" s="228"/>
    </row>
    <row r="9" spans="2:5" ht="15.75">
      <c r="B9" s="237"/>
      <c r="C9" s="228"/>
      <c r="D9" s="228"/>
      <c r="E9" s="228"/>
    </row>
    <row r="10" spans="2:5" ht="15.75">
      <c r="B10" s="237"/>
      <c r="C10" s="228"/>
      <c r="D10" s="228"/>
      <c r="E10" s="228"/>
    </row>
    <row r="11" spans="2:5" ht="15.75">
      <c r="B11" s="237"/>
      <c r="C11" s="228"/>
      <c r="D11" s="228"/>
      <c r="E11" s="228"/>
    </row>
    <row r="12" spans="2:5" ht="15.75">
      <c r="B12" s="237"/>
      <c r="C12" s="228"/>
      <c r="D12" s="228"/>
      <c r="E12" s="228"/>
    </row>
    <row r="13" spans="2:5" ht="15.75">
      <c r="B13" s="237"/>
      <c r="C13" s="228"/>
      <c r="D13" s="228"/>
      <c r="E13" s="228"/>
    </row>
    <row r="14" spans="2:5" ht="15.75">
      <c r="B14" s="260"/>
      <c r="C14" s="87"/>
      <c r="D14" s="87"/>
      <c r="E14" s="87"/>
    </row>
    <row r="15" spans="2:5" ht="15.75">
      <c r="B15" s="237"/>
      <c r="C15" s="228"/>
      <c r="D15" s="228"/>
      <c r="E15" s="228"/>
    </row>
    <row r="16" spans="2:5" ht="15.75">
      <c r="B16" s="265" t="s">
        <v>31</v>
      </c>
      <c r="C16" s="228"/>
      <c r="D16" s="228"/>
      <c r="E16" s="228"/>
    </row>
    <row r="17" spans="2:5" ht="15.75">
      <c r="B17" s="138" t="s">
        <v>270</v>
      </c>
      <c r="C17" s="228"/>
      <c r="D17" s="226"/>
      <c r="E17" s="226"/>
    </row>
    <row r="18" spans="2:5" ht="15.75">
      <c r="B18" s="221" t="s">
        <v>793</v>
      </c>
      <c r="C18" s="368" t="str">
        <f>IF(C19*0.1&lt;C17,"Exceed 10% Rule","")</f>
        <v/>
      </c>
      <c r="D18" s="253" t="str">
        <f>IF(D19*0.1&lt;D17,"Exceed 10% Rule","")</f>
        <v/>
      </c>
      <c r="E18" s="253" t="str">
        <f>IF(E19*0.1&lt;E17,"Exceed 10% Rule","")</f>
        <v/>
      </c>
    </row>
    <row r="19" spans="2:5" ht="15.75">
      <c r="B19" s="231" t="s">
        <v>32</v>
      </c>
      <c r="C19" s="257">
        <f>SUM(C8:C17)</f>
        <v>0</v>
      </c>
      <c r="D19" s="257">
        <f>SUM(D8:D17)</f>
        <v>0</v>
      </c>
      <c r="E19" s="257">
        <f>SUM(E8:E17)</f>
        <v>0</v>
      </c>
    </row>
    <row r="20" spans="2:5" ht="15.75">
      <c r="B20" s="231" t="s">
        <v>33</v>
      </c>
      <c r="C20" s="257">
        <f>C6+C19</f>
        <v>0</v>
      </c>
      <c r="D20" s="257">
        <f>D6+D19</f>
        <v>0</v>
      </c>
      <c r="E20" s="257">
        <f>E6+E19</f>
        <v>0</v>
      </c>
    </row>
    <row r="21" spans="2:5" ht="15.75">
      <c r="B21" s="130" t="s">
        <v>35</v>
      </c>
      <c r="C21" s="67"/>
      <c r="D21" s="67"/>
      <c r="E21" s="67"/>
    </row>
    <row r="22" spans="2:5" ht="15.75">
      <c r="B22" s="237" t="s">
        <v>182</v>
      </c>
      <c r="C22" s="228"/>
      <c r="D22" s="228"/>
      <c r="E22" s="228"/>
    </row>
    <row r="23" spans="2:5" ht="15.75">
      <c r="B23" s="237" t="s">
        <v>280</v>
      </c>
      <c r="C23" s="228"/>
      <c r="D23" s="228"/>
      <c r="E23" s="228"/>
    </row>
    <row r="24" spans="2:5" ht="15.75">
      <c r="B24" s="237"/>
      <c r="C24" s="87"/>
      <c r="D24" s="87"/>
      <c r="E24" s="87"/>
    </row>
    <row r="25" spans="2:5" ht="15.75">
      <c r="B25" s="237"/>
      <c r="C25" s="87"/>
      <c r="D25" s="87"/>
      <c r="E25" s="87"/>
    </row>
    <row r="26" spans="2:5" ht="15.75">
      <c r="B26" s="237"/>
      <c r="C26" s="87"/>
      <c r="D26" s="87"/>
      <c r="E26" s="87"/>
    </row>
    <row r="27" spans="2:5" ht="15.75">
      <c r="B27" s="237"/>
      <c r="C27" s="87"/>
      <c r="D27" s="87"/>
      <c r="E27" s="87"/>
    </row>
    <row r="28" spans="2:5" ht="15.75">
      <c r="B28" s="237"/>
      <c r="C28" s="87"/>
      <c r="D28" s="87"/>
      <c r="E28" s="87"/>
    </row>
    <row r="29" spans="2:5" ht="15.75">
      <c r="B29" s="237"/>
      <c r="C29" s="87"/>
      <c r="D29" s="87"/>
      <c r="E29" s="87"/>
    </row>
    <row r="30" spans="2:5" ht="15.75">
      <c r="B30" s="237"/>
      <c r="C30" s="87"/>
      <c r="D30" s="87"/>
      <c r="E30" s="87"/>
    </row>
    <row r="31" spans="2:5" ht="15.75">
      <c r="B31" s="237"/>
      <c r="C31" s="87"/>
      <c r="D31" s="87"/>
      <c r="E31" s="87"/>
    </row>
    <row r="32" spans="2:5" ht="15.75">
      <c r="B32" s="237"/>
      <c r="C32" s="87"/>
      <c r="D32" s="87"/>
      <c r="E32" s="87"/>
    </row>
    <row r="33" spans="2:5" ht="15.75">
      <c r="B33" s="237"/>
      <c r="C33" s="87"/>
      <c r="D33" s="87"/>
      <c r="E33" s="87"/>
    </row>
    <row r="34" spans="2:5" ht="15.75">
      <c r="B34" s="237"/>
      <c r="C34" s="87"/>
      <c r="D34" s="87"/>
      <c r="E34" s="87"/>
    </row>
    <row r="35" spans="2:5" ht="15.75">
      <c r="B35" s="237"/>
      <c r="C35" s="228"/>
      <c r="D35" s="228"/>
      <c r="E35" s="228"/>
    </row>
    <row r="36" spans="2:5" ht="15.75">
      <c r="B36" s="237"/>
      <c r="C36" s="228"/>
      <c r="D36" s="228"/>
      <c r="E36" s="228"/>
    </row>
    <row r="37" spans="2:5" ht="15.75">
      <c r="B37" s="237"/>
      <c r="C37" s="228"/>
      <c r="D37" s="228"/>
      <c r="E37" s="228"/>
    </row>
    <row r="38" spans="2:5" ht="15.75">
      <c r="B38" s="237"/>
      <c r="C38" s="228"/>
      <c r="D38" s="228"/>
      <c r="E38" s="228"/>
    </row>
    <row r="39" spans="2:5" ht="15.75">
      <c r="B39" s="237"/>
      <c r="C39" s="228"/>
      <c r="D39" s="228"/>
      <c r="E39" s="228"/>
    </row>
    <row r="40" spans="2:5" ht="15.75">
      <c r="B40" s="237"/>
      <c r="C40" s="228"/>
      <c r="D40" s="228"/>
      <c r="E40" s="228"/>
    </row>
    <row r="41" spans="2:5" ht="15.75">
      <c r="B41" s="237"/>
      <c r="C41" s="228"/>
      <c r="D41" s="228"/>
      <c r="E41" s="228"/>
    </row>
    <row r="42" spans="2:5" ht="15.75">
      <c r="B42" s="237"/>
      <c r="C42" s="228"/>
      <c r="D42" s="228"/>
      <c r="E42" s="228"/>
    </row>
    <row r="43" spans="2:5" ht="15.75">
      <c r="B43" s="237"/>
      <c r="C43" s="228"/>
      <c r="D43" s="228"/>
      <c r="E43" s="228"/>
    </row>
    <row r="44" spans="2:5" ht="15.75">
      <c r="B44" s="237"/>
      <c r="C44" s="228"/>
      <c r="D44" s="228"/>
      <c r="E44" s="228"/>
    </row>
    <row r="45" spans="2:5" ht="15.75">
      <c r="B45" s="238" t="s">
        <v>270</v>
      </c>
      <c r="C45" s="228"/>
      <c r="D45" s="226"/>
      <c r="E45" s="226"/>
    </row>
    <row r="46" spans="2:5" ht="15.75">
      <c r="B46" s="238" t="s">
        <v>794</v>
      </c>
      <c r="C46" s="368" t="str">
        <f>IF(C47*0.1&lt;C45,"Exceed 10% Rule","")</f>
        <v/>
      </c>
      <c r="D46" s="253" t="str">
        <f>IF(D47*0.1&lt;D45,"Exceed 10% Rule","")</f>
        <v/>
      </c>
      <c r="E46" s="253" t="str">
        <f>IF(E47*0.1&lt;E45,"Exceed 10% Rule","")</f>
        <v/>
      </c>
    </row>
    <row r="47" spans="2:5" ht="15.75">
      <c r="B47" s="231" t="s">
        <v>39</v>
      </c>
      <c r="C47" s="257">
        <f>SUM(C22:C45)</f>
        <v>0</v>
      </c>
      <c r="D47" s="257">
        <f>SUM(D22:D45)</f>
        <v>0</v>
      </c>
      <c r="E47" s="257">
        <f>SUM(E22:E45)</f>
        <v>0</v>
      </c>
    </row>
    <row r="48" spans="2:5" ht="15.75">
      <c r="B48" s="130" t="s">
        <v>147</v>
      </c>
      <c r="C48" s="191">
        <f>C20-C47</f>
        <v>0</v>
      </c>
      <c r="D48" s="191">
        <f>D20-D47</f>
        <v>0</v>
      </c>
      <c r="E48" s="191">
        <f>E20-E47</f>
        <v>0</v>
      </c>
    </row>
    <row r="49" spans="2:5" ht="15.75">
      <c r="B49" s="118" t="str">
        <f>CONCATENATE("",E1-2,"/",E1-1," Budget Authority Amount:")</f>
        <v>2012/2013 Budget Authority Amount:</v>
      </c>
      <c r="C49" s="181">
        <f>inputOth!B83</f>
        <v>0</v>
      </c>
      <c r="D49" s="181">
        <f>inputPrYr!D45</f>
        <v>0</v>
      </c>
      <c r="E49" s="409" t="str">
        <f>IF(E48&lt;0,"See Tab E","")</f>
        <v/>
      </c>
    </row>
    <row r="50" spans="2:5" ht="15.75">
      <c r="B50" s="118"/>
      <c r="C50" s="242" t="str">
        <f>IF(C47&gt;C49,"See Tab A","")</f>
        <v/>
      </c>
      <c r="D50" s="242" t="str">
        <f>IF(D47&gt;D49,"See Tab C","")</f>
        <v/>
      </c>
      <c r="E50" s="170"/>
    </row>
    <row r="51" spans="2:5" ht="15.75">
      <c r="B51" s="118"/>
      <c r="C51" s="242" t="str">
        <f>IF(C48&lt;0,"See Tab B","")</f>
        <v/>
      </c>
      <c r="D51" s="242" t="str">
        <f>IF(D48&lt;0,"See Tab D","")</f>
        <v/>
      </c>
      <c r="E51" s="170"/>
    </row>
    <row r="52" spans="2:5">
      <c r="B52" s="84"/>
      <c r="C52" s="84"/>
      <c r="D52" s="84"/>
      <c r="E52" s="84"/>
    </row>
    <row r="53" spans="2:5" ht="15.75">
      <c r="B53" s="118" t="s">
        <v>42</v>
      </c>
      <c r="C53" s="248"/>
      <c r="D53" s="84"/>
      <c r="E53" s="84"/>
    </row>
  </sheetData>
  <sheetProtection sheet="1"/>
  <phoneticPr fontId="11" type="noConversion"/>
  <conditionalFormatting sqref="C17">
    <cfRule type="cellIs" dxfId="29" priority="2" stopIfTrue="1" operator="greaterThan">
      <formula>$C$19*0.1</formula>
    </cfRule>
  </conditionalFormatting>
  <conditionalFormatting sqref="D17">
    <cfRule type="cellIs" dxfId="28" priority="3" stopIfTrue="1" operator="greaterThan">
      <formula>$D$19*0.1</formula>
    </cfRule>
  </conditionalFormatting>
  <conditionalFormatting sqref="E17">
    <cfRule type="cellIs" dxfId="27" priority="4" stopIfTrue="1" operator="greaterThan">
      <formula>$E$19*0.1</formula>
    </cfRule>
  </conditionalFormatting>
  <conditionalFormatting sqref="C45">
    <cfRule type="cellIs" dxfId="26" priority="5" stopIfTrue="1" operator="greaterThan">
      <formula>$C$47*0.1</formula>
    </cfRule>
  </conditionalFormatting>
  <conditionalFormatting sqref="D45">
    <cfRule type="cellIs" dxfId="25" priority="6" stopIfTrue="1" operator="greaterThan">
      <formula>$D$47*0.1</formula>
    </cfRule>
  </conditionalFormatting>
  <conditionalFormatting sqref="E45">
    <cfRule type="cellIs" dxfId="24" priority="7" stopIfTrue="1" operator="greaterThan">
      <formula>$E$47*0.1</formula>
    </cfRule>
  </conditionalFormatting>
  <conditionalFormatting sqref="D47">
    <cfRule type="cellIs" dxfId="23" priority="8" stopIfTrue="1" operator="greaterThan">
      <formula>$D$49</formula>
    </cfRule>
  </conditionalFormatting>
  <conditionalFormatting sqref="C47">
    <cfRule type="cellIs" dxfId="22" priority="9" stopIfTrue="1" operator="greaterThan">
      <formula>$C$49</formula>
    </cfRule>
  </conditionalFormatting>
  <conditionalFormatting sqref="C48 E48">
    <cfRule type="cellIs" dxfId="21" priority="10" stopIfTrue="1" operator="lessThan">
      <formula>0</formula>
    </cfRule>
  </conditionalFormatting>
  <conditionalFormatting sqref="D48">
    <cfRule type="cellIs" dxfId="20" priority="1" stopIfTrue="1" operator="lessThan">
      <formula>0</formula>
    </cfRule>
  </conditionalFormatting>
  <pageMargins left="0.75" right="0.75" top="1" bottom="1" header="0.5" footer="0.5"/>
  <pageSetup scale="83" orientation="portrait" blackAndWhite="1"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workbookViewId="0">
      <selection activeCell="C41" sqref="C41:E41"/>
    </sheetView>
  </sheetViews>
  <sheetFormatPr defaultRowHeight="15"/>
  <cols>
    <col min="1" max="1" width="2.44140625" style="82" customWidth="1"/>
    <col min="2" max="2" width="31.109375" style="82" customWidth="1"/>
    <col min="3" max="4" width="15.77734375" style="82" customWidth="1"/>
    <col min="5" max="5" width="16.44140625" style="82" customWidth="1"/>
    <col min="6" max="16384" width="8.88671875" style="82"/>
  </cols>
  <sheetData>
    <row r="1" spans="2:5" ht="15.75">
      <c r="B1" s="150" t="str">
        <f>inputPrYr!D2</f>
        <v>CITY OF HOXIE</v>
      </c>
      <c r="C1" s="21"/>
      <c r="D1" s="21"/>
      <c r="E1" s="183">
        <f>inputPrYr!$C$5</f>
        <v>2014</v>
      </c>
    </row>
    <row r="2" spans="2:5" ht="15.75">
      <c r="B2" s="21"/>
      <c r="C2" s="21"/>
      <c r="D2" s="21"/>
      <c r="E2" s="146"/>
    </row>
    <row r="3" spans="2:5" ht="15.75">
      <c r="B3" s="40" t="s">
        <v>92</v>
      </c>
      <c r="C3" s="263"/>
      <c r="D3" s="263"/>
      <c r="E3" s="264"/>
    </row>
    <row r="4" spans="2:5" ht="15.75">
      <c r="B4" s="28" t="s">
        <v>24</v>
      </c>
      <c r="C4" s="658" t="s">
        <v>810</v>
      </c>
      <c r="D4" s="659" t="s">
        <v>811</v>
      </c>
      <c r="E4" s="124" t="s">
        <v>812</v>
      </c>
    </row>
    <row r="5" spans="2:5" ht="15.75">
      <c r="B5" s="367">
        <f>inputPrYr!B46</f>
        <v>0</v>
      </c>
      <c r="C5" s="350" t="str">
        <f>CONCATENATE("Actual for ",E1-2,"")</f>
        <v>Actual for 2012</v>
      </c>
      <c r="D5" s="350" t="str">
        <f>CONCATENATE("Estimate for ",E1-1,"")</f>
        <v>Estimate for 2013</v>
      </c>
      <c r="E5" s="220" t="str">
        <f>CONCATENATE("Year for ",E1,"")</f>
        <v>Year for 2014</v>
      </c>
    </row>
    <row r="6" spans="2:5" ht="15.75">
      <c r="B6" s="130" t="s">
        <v>146</v>
      </c>
      <c r="C6" s="49"/>
      <c r="D6" s="191">
        <f>C48</f>
        <v>0</v>
      </c>
      <c r="E6" s="191">
        <f>D48</f>
        <v>0</v>
      </c>
    </row>
    <row r="7" spans="2:5" ht="15.75">
      <c r="B7" s="130" t="s">
        <v>148</v>
      </c>
      <c r="C7" s="67"/>
      <c r="D7" s="67"/>
      <c r="E7" s="67"/>
    </row>
    <row r="8" spans="2:5" ht="15.75">
      <c r="B8" s="261"/>
      <c r="C8" s="228"/>
      <c r="D8" s="228"/>
      <c r="E8" s="228"/>
    </row>
    <row r="9" spans="2:5" ht="15.75">
      <c r="B9" s="237"/>
      <c r="C9" s="228"/>
      <c r="D9" s="228"/>
      <c r="E9" s="228"/>
    </row>
    <row r="10" spans="2:5" ht="15.75">
      <c r="B10" s="237"/>
      <c r="C10" s="228"/>
      <c r="D10" s="228"/>
      <c r="E10" s="228"/>
    </row>
    <row r="11" spans="2:5" ht="15.75">
      <c r="B11" s="237"/>
      <c r="C11" s="228"/>
      <c r="D11" s="228"/>
      <c r="E11" s="228"/>
    </row>
    <row r="12" spans="2:5" ht="15.75">
      <c r="B12" s="237"/>
      <c r="C12" s="228"/>
      <c r="D12" s="228"/>
      <c r="E12" s="228"/>
    </row>
    <row r="13" spans="2:5" ht="15.75">
      <c r="B13" s="237"/>
      <c r="C13" s="228"/>
      <c r="D13" s="228"/>
      <c r="E13" s="228"/>
    </row>
    <row r="14" spans="2:5" ht="15.75">
      <c r="B14" s="260"/>
      <c r="C14" s="87"/>
      <c r="D14" s="87"/>
      <c r="E14" s="87"/>
    </row>
    <row r="15" spans="2:5" ht="15.75">
      <c r="B15" s="237"/>
      <c r="C15" s="228"/>
      <c r="D15" s="228"/>
      <c r="E15" s="228"/>
    </row>
    <row r="16" spans="2:5" ht="15.75">
      <c r="B16" s="265" t="s">
        <v>31</v>
      </c>
      <c r="C16" s="228"/>
      <c r="D16" s="228"/>
      <c r="E16" s="228"/>
    </row>
    <row r="17" spans="2:5" ht="15.75">
      <c r="B17" s="138" t="s">
        <v>270</v>
      </c>
      <c r="C17" s="228"/>
      <c r="D17" s="226"/>
      <c r="E17" s="226"/>
    </row>
    <row r="18" spans="2:5" ht="15.75">
      <c r="B18" s="221" t="s">
        <v>793</v>
      </c>
      <c r="C18" s="368" t="str">
        <f>IF(C19*0.1&lt;C17,"Exceed 10% Rule","")</f>
        <v/>
      </c>
      <c r="D18" s="253" t="str">
        <f>IF(D19*0.1&lt;D17,"Exceed 10% Rule","")</f>
        <v/>
      </c>
      <c r="E18" s="253" t="str">
        <f>IF(E19*0.1&lt;E17,"Exceed 10% Rule","")</f>
        <v/>
      </c>
    </row>
    <row r="19" spans="2:5" ht="15.75">
      <c r="B19" s="231" t="s">
        <v>32</v>
      </c>
      <c r="C19" s="257">
        <f>SUM(C8:C17)</f>
        <v>0</v>
      </c>
      <c r="D19" s="257">
        <f>SUM(D8:D17)</f>
        <v>0</v>
      </c>
      <c r="E19" s="257">
        <f>SUM(E8:E17)</f>
        <v>0</v>
      </c>
    </row>
    <row r="20" spans="2:5" ht="15.75">
      <c r="B20" s="231" t="s">
        <v>33</v>
      </c>
      <c r="C20" s="257">
        <f>C6+C19</f>
        <v>0</v>
      </c>
      <c r="D20" s="257">
        <f>D6+D19</f>
        <v>0</v>
      </c>
      <c r="E20" s="257">
        <f>E6+E19</f>
        <v>0</v>
      </c>
    </row>
    <row r="21" spans="2:5" ht="15.75">
      <c r="B21" s="130" t="s">
        <v>35</v>
      </c>
      <c r="C21" s="67"/>
      <c r="D21" s="67"/>
      <c r="E21" s="67"/>
    </row>
    <row r="22" spans="2:5" ht="15.75">
      <c r="B22" s="237" t="s">
        <v>182</v>
      </c>
      <c r="C22" s="228"/>
      <c r="D22" s="228"/>
      <c r="E22" s="228"/>
    </row>
    <row r="23" spans="2:5" ht="15.75">
      <c r="B23" s="237" t="s">
        <v>280</v>
      </c>
      <c r="C23" s="228"/>
      <c r="D23" s="228"/>
      <c r="E23" s="228"/>
    </row>
    <row r="24" spans="2:5" ht="15.75">
      <c r="B24" s="237"/>
      <c r="C24" s="87"/>
      <c r="D24" s="87"/>
      <c r="E24" s="87"/>
    </row>
    <row r="25" spans="2:5" ht="15.75">
      <c r="B25" s="237"/>
      <c r="C25" s="87"/>
      <c r="D25" s="87"/>
      <c r="E25" s="87"/>
    </row>
    <row r="26" spans="2:5" ht="15.75">
      <c r="B26" s="237"/>
      <c r="C26" s="87"/>
      <c r="D26" s="87"/>
      <c r="E26" s="87"/>
    </row>
    <row r="27" spans="2:5" ht="15.75">
      <c r="B27" s="237"/>
      <c r="C27" s="87"/>
      <c r="D27" s="87"/>
      <c r="E27" s="87"/>
    </row>
    <row r="28" spans="2:5" ht="15.75">
      <c r="B28" s="237"/>
      <c r="C28" s="87"/>
      <c r="D28" s="87"/>
      <c r="E28" s="87"/>
    </row>
    <row r="29" spans="2:5" ht="15.75">
      <c r="B29" s="237"/>
      <c r="C29" s="87"/>
      <c r="D29" s="87"/>
      <c r="E29" s="87"/>
    </row>
    <row r="30" spans="2:5" ht="15.75">
      <c r="B30" s="237"/>
      <c r="C30" s="87"/>
      <c r="D30" s="87"/>
      <c r="E30" s="87"/>
    </row>
    <row r="31" spans="2:5" ht="15.75">
      <c r="B31" s="237"/>
      <c r="C31" s="87"/>
      <c r="D31" s="87"/>
      <c r="E31" s="87"/>
    </row>
    <row r="32" spans="2:5" ht="15.75">
      <c r="B32" s="237"/>
      <c r="C32" s="87"/>
      <c r="D32" s="87"/>
      <c r="E32" s="87"/>
    </row>
    <row r="33" spans="2:5" ht="15.75">
      <c r="B33" s="237"/>
      <c r="C33" s="87"/>
      <c r="D33" s="87"/>
      <c r="E33" s="87"/>
    </row>
    <row r="34" spans="2:5" ht="15.75">
      <c r="B34" s="237"/>
      <c r="C34" s="87"/>
      <c r="D34" s="87"/>
      <c r="E34" s="87"/>
    </row>
    <row r="35" spans="2:5" ht="15.75">
      <c r="B35" s="237"/>
      <c r="C35" s="228"/>
      <c r="D35" s="228"/>
      <c r="E35" s="228"/>
    </row>
    <row r="36" spans="2:5" ht="15.75">
      <c r="B36" s="237"/>
      <c r="C36" s="228"/>
      <c r="D36" s="228"/>
      <c r="E36" s="228"/>
    </row>
    <row r="37" spans="2:5" ht="15.75">
      <c r="B37" s="237"/>
      <c r="C37" s="228"/>
      <c r="D37" s="228"/>
      <c r="E37" s="228"/>
    </row>
    <row r="38" spans="2:5" ht="15.75">
      <c r="B38" s="237"/>
      <c r="C38" s="228"/>
      <c r="D38" s="228"/>
      <c r="E38" s="228"/>
    </row>
    <row r="39" spans="2:5" ht="15.75">
      <c r="B39" s="237"/>
      <c r="C39" s="228"/>
      <c r="D39" s="228"/>
      <c r="E39" s="228"/>
    </row>
    <row r="40" spans="2:5" ht="15.75">
      <c r="B40" s="237"/>
      <c r="C40" s="228"/>
      <c r="D40" s="228"/>
      <c r="E40" s="228"/>
    </row>
    <row r="41" spans="2:5" ht="15.75">
      <c r="B41" s="237"/>
      <c r="C41" s="228"/>
      <c r="D41" s="228"/>
      <c r="E41" s="228"/>
    </row>
    <row r="42" spans="2:5" ht="15.75">
      <c r="B42" s="237"/>
      <c r="C42" s="228"/>
      <c r="D42" s="228"/>
      <c r="E42" s="228"/>
    </row>
    <row r="43" spans="2:5" ht="15.75">
      <c r="B43" s="237"/>
      <c r="C43" s="228"/>
      <c r="D43" s="228"/>
      <c r="E43" s="228"/>
    </row>
    <row r="44" spans="2:5" ht="15.75">
      <c r="B44" s="237"/>
      <c r="C44" s="228"/>
      <c r="D44" s="228"/>
      <c r="E44" s="228"/>
    </row>
    <row r="45" spans="2:5" ht="15.75">
      <c r="B45" s="238" t="s">
        <v>270</v>
      </c>
      <c r="C45" s="228"/>
      <c r="D45" s="226"/>
      <c r="E45" s="226"/>
    </row>
    <row r="46" spans="2:5" ht="15.75">
      <c r="B46" s="238" t="s">
        <v>794</v>
      </c>
      <c r="C46" s="368" t="str">
        <f>IF(C47*0.1&lt;C45,"Exceed 10% Rule","")</f>
        <v/>
      </c>
      <c r="D46" s="253" t="str">
        <f>IF(D47*0.1&lt;D45,"Exceed 10% Rule","")</f>
        <v/>
      </c>
      <c r="E46" s="253" t="str">
        <f>IF(E47*0.1&lt;E45,"Exceed 10% Rule","")</f>
        <v/>
      </c>
    </row>
    <row r="47" spans="2:5" ht="15.75">
      <c r="B47" s="231" t="s">
        <v>39</v>
      </c>
      <c r="C47" s="257">
        <f>SUM(C22:C45)</f>
        <v>0</v>
      </c>
      <c r="D47" s="257">
        <f>SUM(D22:D45)</f>
        <v>0</v>
      </c>
      <c r="E47" s="257">
        <f>SUM(E22:E45)</f>
        <v>0</v>
      </c>
    </row>
    <row r="48" spans="2:5" ht="15.75">
      <c r="B48" s="130" t="s">
        <v>147</v>
      </c>
      <c r="C48" s="191">
        <f>C20-C47</f>
        <v>0</v>
      </c>
      <c r="D48" s="191">
        <f>D20-D47</f>
        <v>0</v>
      </c>
      <c r="E48" s="191">
        <f>E20-E47</f>
        <v>0</v>
      </c>
    </row>
    <row r="49" spans="2:5" ht="15.75">
      <c r="B49" s="118" t="str">
        <f>CONCATENATE("",E1-2,"/",E1-1," Budget Authority Amount:")</f>
        <v>2012/2013 Budget Authority Amount:</v>
      </c>
      <c r="C49" s="181">
        <f>inputOth!B84</f>
        <v>0</v>
      </c>
      <c r="D49" s="181">
        <f>inputPrYr!D46</f>
        <v>0</v>
      </c>
      <c r="E49" s="409" t="str">
        <f>IF(E48&lt;0,"See Tab E","")</f>
        <v/>
      </c>
    </row>
    <row r="50" spans="2:5" ht="15.75">
      <c r="B50" s="118"/>
      <c r="C50" s="242" t="str">
        <f>IF(C47&gt;C49,"See Tab A","")</f>
        <v/>
      </c>
      <c r="D50" s="242" t="str">
        <f>IF(D47&gt;D49,"See Tab C","")</f>
        <v/>
      </c>
      <c r="E50" s="84"/>
    </row>
    <row r="51" spans="2:5" ht="15.75">
      <c r="B51" s="118"/>
      <c r="C51" s="242" t="str">
        <f>IF(C48&lt;0,"See Tab B","")</f>
        <v/>
      </c>
      <c r="D51" s="242" t="str">
        <f>IF(D48&lt;0,"See Tab D","")</f>
        <v/>
      </c>
      <c r="E51" s="84"/>
    </row>
    <row r="52" spans="2:5">
      <c r="B52" s="84"/>
      <c r="C52" s="84"/>
      <c r="D52" s="84"/>
      <c r="E52" s="84"/>
    </row>
    <row r="53" spans="2:5" ht="15.75">
      <c r="B53" s="118" t="s">
        <v>42</v>
      </c>
      <c r="C53" s="248"/>
      <c r="D53" s="84"/>
      <c r="E53" s="84"/>
    </row>
  </sheetData>
  <sheetProtection sheet="1"/>
  <phoneticPr fontId="11" type="noConversion"/>
  <conditionalFormatting sqref="C17">
    <cfRule type="cellIs" dxfId="19" priority="2" stopIfTrue="1" operator="greaterThan">
      <formula>$C$19*0.1</formula>
    </cfRule>
  </conditionalFormatting>
  <conditionalFormatting sqref="D17">
    <cfRule type="cellIs" dxfId="18" priority="3" stopIfTrue="1" operator="greaterThan">
      <formula>$D$19*0.1</formula>
    </cfRule>
  </conditionalFormatting>
  <conditionalFormatting sqref="E17">
    <cfRule type="cellIs" dxfId="17" priority="4" stopIfTrue="1" operator="greaterThan">
      <formula>$E$19*0.1</formula>
    </cfRule>
  </conditionalFormatting>
  <conditionalFormatting sqref="C45">
    <cfRule type="cellIs" dxfId="16" priority="5" stopIfTrue="1" operator="greaterThan">
      <formula>$C$47*0.1</formula>
    </cfRule>
  </conditionalFormatting>
  <conditionalFormatting sqref="D45">
    <cfRule type="cellIs" dxfId="15" priority="6" stopIfTrue="1" operator="greaterThan">
      <formula>$D$47*0.1</formula>
    </cfRule>
  </conditionalFormatting>
  <conditionalFormatting sqref="E45">
    <cfRule type="cellIs" dxfId="14" priority="7" stopIfTrue="1" operator="greaterThan">
      <formula>$E$47*0.1</formula>
    </cfRule>
  </conditionalFormatting>
  <conditionalFormatting sqref="E48 C48">
    <cfRule type="cellIs" dxfId="13" priority="8" stopIfTrue="1" operator="lessThan">
      <formula>0</formula>
    </cfRule>
  </conditionalFormatting>
  <conditionalFormatting sqref="D47">
    <cfRule type="cellIs" dxfId="12" priority="9" stopIfTrue="1" operator="greaterThan">
      <formula>$D$49</formula>
    </cfRule>
  </conditionalFormatting>
  <conditionalFormatting sqref="C47">
    <cfRule type="cellIs" dxfId="11" priority="10" stopIfTrue="1" operator="greaterThan">
      <formula>$C$49</formula>
    </cfRule>
  </conditionalFormatting>
  <conditionalFormatting sqref="D48">
    <cfRule type="cellIs" dxfId="10" priority="1" stopIfTrue="1" operator="lessThan">
      <formula>0</formula>
    </cfRule>
  </conditionalFormatting>
  <pageMargins left="0.75" right="0.75" top="1" bottom="1" header="0.5" footer="0.5"/>
  <pageSetup scale="83" orientation="portrait" blackAndWhite="1"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workbookViewId="0">
      <selection activeCell="C42" sqref="C42:E42"/>
    </sheetView>
  </sheetViews>
  <sheetFormatPr defaultRowHeight="15"/>
  <cols>
    <col min="1" max="1" width="2.44140625" style="82" customWidth="1"/>
    <col min="2" max="2" width="31.109375" style="82" customWidth="1"/>
    <col min="3" max="4" width="15.77734375" style="82" customWidth="1"/>
    <col min="5" max="5" width="16.21875" style="82" customWidth="1"/>
    <col min="6" max="16384" width="8.88671875" style="82"/>
  </cols>
  <sheetData>
    <row r="1" spans="2:5" ht="15.75">
      <c r="B1" s="150" t="str">
        <f>inputPrYr!D2</f>
        <v>CITY OF HOXIE</v>
      </c>
      <c r="C1" s="21"/>
      <c r="D1" s="21"/>
      <c r="E1" s="183">
        <f>inputPrYr!$C$5</f>
        <v>2014</v>
      </c>
    </row>
    <row r="2" spans="2:5" ht="15.75">
      <c r="B2" s="21"/>
      <c r="C2" s="21"/>
      <c r="D2" s="21"/>
      <c r="E2" s="146"/>
    </row>
    <row r="3" spans="2:5" ht="15.75">
      <c r="B3" s="40" t="s">
        <v>92</v>
      </c>
      <c r="C3" s="263"/>
      <c r="D3" s="263"/>
      <c r="E3" s="264"/>
    </row>
    <row r="4" spans="2:5" ht="15.75">
      <c r="B4" s="28" t="s">
        <v>24</v>
      </c>
      <c r="C4" s="658" t="s">
        <v>810</v>
      </c>
      <c r="D4" s="659" t="s">
        <v>811</v>
      </c>
      <c r="E4" s="124" t="s">
        <v>812</v>
      </c>
    </row>
    <row r="5" spans="2:5" ht="15.75">
      <c r="B5" s="366">
        <f>inputPrYr!B47</f>
        <v>0</v>
      </c>
      <c r="C5" s="350" t="str">
        <f>CONCATENATE("Actual for ",E1-2,"")</f>
        <v>Actual for 2012</v>
      </c>
      <c r="D5" s="350" t="str">
        <f>CONCATENATE("Estimate for ",E1-1,"")</f>
        <v>Estimate for 2013</v>
      </c>
      <c r="E5" s="220" t="str">
        <f>CONCATENATE("Year for ",E1,"")</f>
        <v>Year for 2014</v>
      </c>
    </row>
    <row r="6" spans="2:5" ht="15.75">
      <c r="B6" s="130" t="s">
        <v>146</v>
      </c>
      <c r="C6" s="49"/>
      <c r="D6" s="191">
        <f>C48</f>
        <v>0</v>
      </c>
      <c r="E6" s="191">
        <f>D48</f>
        <v>0</v>
      </c>
    </row>
    <row r="7" spans="2:5" ht="15.75">
      <c r="B7" s="130" t="s">
        <v>148</v>
      </c>
      <c r="C7" s="67"/>
      <c r="D7" s="67"/>
      <c r="E7" s="67"/>
    </row>
    <row r="8" spans="2:5" ht="15.75">
      <c r="B8" s="261"/>
      <c r="C8" s="228"/>
      <c r="D8" s="228"/>
      <c r="E8" s="228"/>
    </row>
    <row r="9" spans="2:5" ht="15.75">
      <c r="B9" s="237"/>
      <c r="C9" s="228"/>
      <c r="D9" s="228"/>
      <c r="E9" s="228"/>
    </row>
    <row r="10" spans="2:5" ht="15.75">
      <c r="B10" s="237"/>
      <c r="C10" s="228"/>
      <c r="D10" s="228"/>
      <c r="E10" s="228"/>
    </row>
    <row r="11" spans="2:5" ht="15.75">
      <c r="B11" s="237"/>
      <c r="C11" s="228"/>
      <c r="D11" s="228"/>
      <c r="E11" s="228"/>
    </row>
    <row r="12" spans="2:5" ht="15.75">
      <c r="B12" s="237"/>
      <c r="C12" s="228"/>
      <c r="D12" s="228"/>
      <c r="E12" s="228"/>
    </row>
    <row r="13" spans="2:5" ht="15.75">
      <c r="B13" s="237"/>
      <c r="C13" s="228"/>
      <c r="D13" s="228"/>
      <c r="E13" s="228"/>
    </row>
    <row r="14" spans="2:5" ht="15.75">
      <c r="B14" s="260"/>
      <c r="C14" s="87"/>
      <c r="D14" s="87"/>
      <c r="E14" s="87"/>
    </row>
    <row r="15" spans="2:5" ht="15.75">
      <c r="B15" s="237"/>
      <c r="C15" s="228"/>
      <c r="D15" s="228"/>
      <c r="E15" s="228"/>
    </row>
    <row r="16" spans="2:5" ht="15.75">
      <c r="B16" s="265" t="s">
        <v>31</v>
      </c>
      <c r="C16" s="228"/>
      <c r="D16" s="228"/>
      <c r="E16" s="228"/>
    </row>
    <row r="17" spans="2:5" ht="15.75">
      <c r="B17" s="138" t="s">
        <v>270</v>
      </c>
      <c r="C17" s="228"/>
      <c r="D17" s="226"/>
      <c r="E17" s="226"/>
    </row>
    <row r="18" spans="2:5" ht="15.75">
      <c r="B18" s="221" t="s">
        <v>793</v>
      </c>
      <c r="C18" s="368" t="str">
        <f>IF(C19*0.1&lt;C17,"Exceed 10% Rule","")</f>
        <v/>
      </c>
      <c r="D18" s="253" t="str">
        <f>IF(D19*0.1&lt;D17,"Exceed 10% Rule","")</f>
        <v/>
      </c>
      <c r="E18" s="253" t="str">
        <f>IF(E19*0.1&lt;E17,"Exceed 10% Rule","")</f>
        <v/>
      </c>
    </row>
    <row r="19" spans="2:5" ht="15.75">
      <c r="B19" s="231" t="s">
        <v>32</v>
      </c>
      <c r="C19" s="257">
        <f>SUM(C8:C17)</f>
        <v>0</v>
      </c>
      <c r="D19" s="257">
        <f>SUM(D8:D17)</f>
        <v>0</v>
      </c>
      <c r="E19" s="257">
        <f>SUM(E8:E17)</f>
        <v>0</v>
      </c>
    </row>
    <row r="20" spans="2:5" ht="15.75">
      <c r="B20" s="231" t="s">
        <v>33</v>
      </c>
      <c r="C20" s="257">
        <f>C6+C19</f>
        <v>0</v>
      </c>
      <c r="D20" s="257">
        <f>D6+D19</f>
        <v>0</v>
      </c>
      <c r="E20" s="257">
        <f>E6+E19</f>
        <v>0</v>
      </c>
    </row>
    <row r="21" spans="2:5" ht="15.75">
      <c r="B21" s="130" t="s">
        <v>35</v>
      </c>
      <c r="C21" s="67"/>
      <c r="D21" s="67"/>
      <c r="E21" s="67"/>
    </row>
    <row r="22" spans="2:5" ht="15.75">
      <c r="B22" s="237" t="s">
        <v>182</v>
      </c>
      <c r="C22" s="228"/>
      <c r="D22" s="228"/>
      <c r="E22" s="228"/>
    </row>
    <row r="23" spans="2:5" ht="15.75">
      <c r="B23" s="261" t="s">
        <v>280</v>
      </c>
      <c r="C23" s="228"/>
      <c r="D23" s="228"/>
      <c r="E23" s="228"/>
    </row>
    <row r="24" spans="2:5" ht="15.75">
      <c r="B24" s="237"/>
      <c r="C24" s="87"/>
      <c r="D24" s="87"/>
      <c r="E24" s="87"/>
    </row>
    <row r="25" spans="2:5" ht="15.75">
      <c r="B25" s="237"/>
      <c r="C25" s="87"/>
      <c r="D25" s="87"/>
      <c r="E25" s="87"/>
    </row>
    <row r="26" spans="2:5" ht="15.75">
      <c r="B26" s="237"/>
      <c r="C26" s="87"/>
      <c r="D26" s="87"/>
      <c r="E26" s="87"/>
    </row>
    <row r="27" spans="2:5" ht="15.75">
      <c r="B27" s="237"/>
      <c r="C27" s="87"/>
      <c r="D27" s="87"/>
      <c r="E27" s="87"/>
    </row>
    <row r="28" spans="2:5" ht="15.75">
      <c r="B28" s="237"/>
      <c r="C28" s="87"/>
      <c r="D28" s="87"/>
      <c r="E28" s="87"/>
    </row>
    <row r="29" spans="2:5" ht="15.75">
      <c r="B29" s="237"/>
      <c r="C29" s="87"/>
      <c r="D29" s="87"/>
      <c r="E29" s="87"/>
    </row>
    <row r="30" spans="2:5" ht="15.75">
      <c r="B30" s="237"/>
      <c r="C30" s="87"/>
      <c r="D30" s="87"/>
      <c r="E30" s="87"/>
    </row>
    <row r="31" spans="2:5" ht="15.75">
      <c r="B31" s="237"/>
      <c r="C31" s="87"/>
      <c r="D31" s="87"/>
      <c r="E31" s="87"/>
    </row>
    <row r="32" spans="2:5" ht="15.75">
      <c r="B32" s="237"/>
      <c r="C32" s="87"/>
      <c r="D32" s="87"/>
      <c r="E32" s="87"/>
    </row>
    <row r="33" spans="2:5" ht="15.75">
      <c r="B33" s="237"/>
      <c r="C33" s="87"/>
      <c r="D33" s="87"/>
      <c r="E33" s="87"/>
    </row>
    <row r="34" spans="2:5" ht="15.75">
      <c r="B34" s="237"/>
      <c r="C34" s="87"/>
      <c r="D34" s="87"/>
      <c r="E34" s="87"/>
    </row>
    <row r="35" spans="2:5" ht="15.75">
      <c r="B35" s="237"/>
      <c r="C35" s="228"/>
      <c r="D35" s="228"/>
      <c r="E35" s="228"/>
    </row>
    <row r="36" spans="2:5" ht="15.75">
      <c r="B36" s="237"/>
      <c r="C36" s="228"/>
      <c r="D36" s="228"/>
      <c r="E36" s="228"/>
    </row>
    <row r="37" spans="2:5" ht="15.75">
      <c r="B37" s="237"/>
      <c r="C37" s="228"/>
      <c r="D37" s="228"/>
      <c r="E37" s="228"/>
    </row>
    <row r="38" spans="2:5" ht="15.75">
      <c r="B38" s="237"/>
      <c r="C38" s="228"/>
      <c r="D38" s="228"/>
      <c r="E38" s="228"/>
    </row>
    <row r="39" spans="2:5" ht="15.75">
      <c r="B39" s="237"/>
      <c r="C39" s="228"/>
      <c r="D39" s="228"/>
      <c r="E39" s="228"/>
    </row>
    <row r="40" spans="2:5" ht="15.75">
      <c r="B40" s="237"/>
      <c r="C40" s="228"/>
      <c r="D40" s="228"/>
      <c r="E40" s="228"/>
    </row>
    <row r="41" spans="2:5" ht="15.75">
      <c r="B41" s="237"/>
      <c r="C41" s="228"/>
      <c r="D41" s="228"/>
      <c r="E41" s="228"/>
    </row>
    <row r="42" spans="2:5" ht="15.75">
      <c r="B42" s="237"/>
      <c r="C42" s="228"/>
      <c r="D42" s="228"/>
      <c r="E42" s="228"/>
    </row>
    <row r="43" spans="2:5" ht="15.75">
      <c r="B43" s="237"/>
      <c r="C43" s="228"/>
      <c r="D43" s="228"/>
      <c r="E43" s="228"/>
    </row>
    <row r="44" spans="2:5" ht="15.75">
      <c r="B44" s="237"/>
      <c r="C44" s="228"/>
      <c r="D44" s="228"/>
      <c r="E44" s="228"/>
    </row>
    <row r="45" spans="2:5" ht="15.75">
      <c r="B45" s="238" t="s">
        <v>270</v>
      </c>
      <c r="C45" s="228"/>
      <c r="D45" s="226"/>
      <c r="E45" s="226"/>
    </row>
    <row r="46" spans="2:5" ht="15.75">
      <c r="B46" s="238" t="s">
        <v>794</v>
      </c>
      <c r="C46" s="368" t="str">
        <f>IF(C47*0.1&lt;C45,"Exceed 10% Rule","")</f>
        <v/>
      </c>
      <c r="D46" s="253" t="str">
        <f>IF(D47*0.1&lt;D45,"Exceed 10% Rule","")</f>
        <v/>
      </c>
      <c r="E46" s="253" t="str">
        <f>IF(E47*0.1&lt;E45,"Exceed 10% Rule","")</f>
        <v/>
      </c>
    </row>
    <row r="47" spans="2:5" ht="15.75">
      <c r="B47" s="231" t="s">
        <v>39</v>
      </c>
      <c r="C47" s="257">
        <f>SUM(C22:C45)</f>
        <v>0</v>
      </c>
      <c r="D47" s="257">
        <f>SUM(D22:D45)</f>
        <v>0</v>
      </c>
      <c r="E47" s="257">
        <f>SUM(E22:E45)</f>
        <v>0</v>
      </c>
    </row>
    <row r="48" spans="2:5" ht="15.75">
      <c r="B48" s="130" t="s">
        <v>147</v>
      </c>
      <c r="C48" s="191">
        <f>C20-C47</f>
        <v>0</v>
      </c>
      <c r="D48" s="191">
        <f>D20-D47</f>
        <v>0</v>
      </c>
      <c r="E48" s="191">
        <f>E20-E47</f>
        <v>0</v>
      </c>
    </row>
    <row r="49" spans="2:5" ht="15.75">
      <c r="B49" s="118" t="str">
        <f>CONCATENATE("",E1-2,"/",E1-1," Budget Authority Amount:")</f>
        <v>2012/2013 Budget Authority Amount:</v>
      </c>
      <c r="C49" s="181">
        <f>inputOth!B85</f>
        <v>0</v>
      </c>
      <c r="D49" s="181">
        <f>inputPrYr!D47</f>
        <v>0</v>
      </c>
      <c r="E49" s="409" t="str">
        <f>IF(E48&lt;0,"See Tab E","")</f>
        <v/>
      </c>
    </row>
    <row r="50" spans="2:5" ht="15.75">
      <c r="B50" s="118"/>
      <c r="C50" s="242" t="str">
        <f>IF(C47&gt;C49,"See Tab A","")</f>
        <v/>
      </c>
      <c r="D50" s="242" t="str">
        <f>IF(D47&gt;D49,"See Tab C","")</f>
        <v/>
      </c>
      <c r="E50" s="170"/>
    </row>
    <row r="51" spans="2:5" ht="15.75">
      <c r="B51" s="118"/>
      <c r="C51" s="242" t="str">
        <f>IF(C48&lt;0,"See Tab B","")</f>
        <v/>
      </c>
      <c r="D51" s="242" t="str">
        <f>IF(D48&lt;0,"See Tab D","")</f>
        <v/>
      </c>
      <c r="E51" s="170"/>
    </row>
    <row r="52" spans="2:5">
      <c r="B52" s="84"/>
      <c r="C52" s="84"/>
      <c r="D52" s="84"/>
      <c r="E52" s="84"/>
    </row>
    <row r="53" spans="2:5" ht="15.75">
      <c r="B53" s="118" t="s">
        <v>42</v>
      </c>
      <c r="C53" s="248"/>
      <c r="D53" s="84"/>
      <c r="E53" s="84"/>
    </row>
  </sheetData>
  <sheetProtection sheet="1"/>
  <phoneticPr fontId="11" type="noConversion"/>
  <conditionalFormatting sqref="C17">
    <cfRule type="cellIs" dxfId="9" priority="2" stopIfTrue="1" operator="greaterThan">
      <formula>$C$19*0.1</formula>
    </cfRule>
  </conditionalFormatting>
  <conditionalFormatting sqref="D17">
    <cfRule type="cellIs" dxfId="8" priority="3" stopIfTrue="1" operator="greaterThan">
      <formula>$D$19*0.1</formula>
    </cfRule>
  </conditionalFormatting>
  <conditionalFormatting sqref="E17">
    <cfRule type="cellIs" dxfId="7" priority="4" stopIfTrue="1" operator="greaterThan">
      <formula>$E$19*0.1</formula>
    </cfRule>
  </conditionalFormatting>
  <conditionalFormatting sqref="C45">
    <cfRule type="cellIs" dxfId="6" priority="5" stopIfTrue="1" operator="greaterThan">
      <formula>$C$47*0.1</formula>
    </cfRule>
  </conditionalFormatting>
  <conditionalFormatting sqref="D45">
    <cfRule type="cellIs" dxfId="5" priority="6" stopIfTrue="1" operator="greaterThan">
      <formula>$D$47*0.1</formula>
    </cfRule>
  </conditionalFormatting>
  <conditionalFormatting sqref="E45">
    <cfRule type="cellIs" dxfId="4" priority="7" stopIfTrue="1" operator="greaterThan">
      <formula>$E$47*0.1</formula>
    </cfRule>
  </conditionalFormatting>
  <conditionalFormatting sqref="C48 E48">
    <cfRule type="cellIs" dxfId="3" priority="8" stopIfTrue="1" operator="lessThan">
      <formula>0</formula>
    </cfRule>
  </conditionalFormatting>
  <conditionalFormatting sqref="C47">
    <cfRule type="cellIs" dxfId="2" priority="9" stopIfTrue="1" operator="greaterThan">
      <formula>$C$49</formula>
    </cfRule>
  </conditionalFormatting>
  <conditionalFormatting sqref="D47">
    <cfRule type="cellIs" dxfId="1" priority="10" stopIfTrue="1" operator="greaterThan">
      <formula>$D$49</formula>
    </cfRule>
  </conditionalFormatting>
  <conditionalFormatting sqref="D48">
    <cfRule type="cellIs" dxfId="0" priority="1" stopIfTrue="1" operator="lessThan">
      <formula>0</formula>
    </cfRule>
  </conditionalFormatting>
  <pageMargins left="0.75" right="0.75" top="1" bottom="1" header="0.5" footer="0.5"/>
  <pageSetup scale="83" orientation="portrait" blackAndWhite="1"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topLeftCell="A7" workbookViewId="0">
      <selection activeCell="F33" sqref="F33"/>
    </sheetView>
  </sheetViews>
  <sheetFormatPr defaultRowHeight="15.75"/>
  <cols>
    <col min="1" max="1" width="11.5546875" style="8" customWidth="1"/>
    <col min="2" max="2" width="7.44140625" style="8" customWidth="1"/>
    <col min="3" max="3" width="11.5546875" style="8" customWidth="1"/>
    <col min="4" max="4" width="7.44140625" style="8" customWidth="1"/>
    <col min="5" max="5" width="11.5546875" style="8" customWidth="1"/>
    <col min="6" max="6" width="7.44140625" style="8" customWidth="1"/>
    <col min="7" max="7" width="11.5546875" style="8" customWidth="1"/>
    <col min="8" max="8" width="7.44140625" style="8" customWidth="1"/>
    <col min="9" max="9" width="11.5546875" style="8" customWidth="1"/>
    <col min="10" max="16384" width="8.88671875" style="8"/>
  </cols>
  <sheetData>
    <row r="1" spans="1:11">
      <c r="A1" s="85">
        <f>inputPrYr!$C$2</f>
        <v>0</v>
      </c>
      <c r="B1" s="266"/>
      <c r="C1" s="85"/>
      <c r="D1" s="85"/>
      <c r="E1" s="85"/>
      <c r="F1" s="267" t="s">
        <v>185</v>
      </c>
      <c r="G1" s="85"/>
      <c r="H1" s="85"/>
      <c r="I1" s="85"/>
      <c r="J1" s="85"/>
      <c r="K1" s="85">
        <f>inputPrYr!$C$5</f>
        <v>2014</v>
      </c>
    </row>
    <row r="2" spans="1:11">
      <c r="A2" s="85"/>
      <c r="B2" s="85"/>
      <c r="C2" s="85"/>
      <c r="D2" s="85"/>
      <c r="E2" s="85"/>
      <c r="F2" s="268" t="str">
        <f>CONCATENATE("(Only the actual budget year for ",K1-2," is to be shown)")</f>
        <v>(Only the actual budget year for 2012 is to be shown)</v>
      </c>
      <c r="G2" s="85"/>
      <c r="H2" s="85"/>
      <c r="I2" s="85"/>
      <c r="J2" s="85"/>
      <c r="K2" s="85"/>
    </row>
    <row r="3" spans="1:11">
      <c r="A3" s="85" t="s">
        <v>216</v>
      </c>
      <c r="B3" s="85"/>
      <c r="C3" s="85"/>
      <c r="D3" s="85"/>
      <c r="E3" s="85"/>
      <c r="F3" s="266"/>
      <c r="G3" s="85"/>
      <c r="H3" s="85"/>
      <c r="I3" s="85"/>
      <c r="J3" s="85"/>
      <c r="K3" s="85"/>
    </row>
    <row r="4" spans="1:11">
      <c r="A4" s="85" t="s">
        <v>193</v>
      </c>
      <c r="B4" s="85"/>
      <c r="C4" s="85" t="s">
        <v>194</v>
      </c>
      <c r="D4" s="85"/>
      <c r="E4" s="85" t="s">
        <v>195</v>
      </c>
      <c r="F4" s="266"/>
      <c r="G4" s="85" t="s">
        <v>196</v>
      </c>
      <c r="H4" s="85"/>
      <c r="I4" s="85" t="s">
        <v>197</v>
      </c>
      <c r="J4" s="85"/>
      <c r="K4" s="85"/>
    </row>
    <row r="5" spans="1:11">
      <c r="A5" s="858" t="str">
        <f>inputPrYr!$B51</f>
        <v>Capital Improvement</v>
      </c>
      <c r="B5" s="859"/>
      <c r="C5" s="858" t="str">
        <f>inputPrYr!$B52</f>
        <v>Equipment Reserve</v>
      </c>
      <c r="D5" s="859"/>
      <c r="E5" s="858" t="str">
        <f>inputPrYr!$B53</f>
        <v>Capital Project - Streets</v>
      </c>
      <c r="F5" s="859"/>
      <c r="G5" s="858">
        <f>inputPrYr!$B54</f>
        <v>0</v>
      </c>
      <c r="H5" s="859"/>
      <c r="I5" s="858">
        <f>inputPrYr!$B55</f>
        <v>0</v>
      </c>
      <c r="J5" s="859"/>
      <c r="K5" s="106"/>
    </row>
    <row r="6" spans="1:11">
      <c r="A6" s="270" t="s">
        <v>181</v>
      </c>
      <c r="B6" s="271"/>
      <c r="C6" s="272" t="s">
        <v>181</v>
      </c>
      <c r="D6" s="273"/>
      <c r="E6" s="272" t="s">
        <v>181</v>
      </c>
      <c r="F6" s="274"/>
      <c r="G6" s="272" t="s">
        <v>181</v>
      </c>
      <c r="H6" s="269"/>
      <c r="I6" s="272" t="s">
        <v>181</v>
      </c>
      <c r="J6" s="85"/>
      <c r="K6" s="275" t="s">
        <v>335</v>
      </c>
    </row>
    <row r="7" spans="1:11">
      <c r="A7" s="276" t="s">
        <v>278</v>
      </c>
      <c r="B7" s="277">
        <v>16608</v>
      </c>
      <c r="C7" s="278" t="s">
        <v>278</v>
      </c>
      <c r="D7" s="277">
        <v>45141</v>
      </c>
      <c r="E7" s="278" t="s">
        <v>278</v>
      </c>
      <c r="F7" s="277"/>
      <c r="G7" s="278" t="s">
        <v>278</v>
      </c>
      <c r="H7" s="277"/>
      <c r="I7" s="278" t="s">
        <v>278</v>
      </c>
      <c r="J7" s="277"/>
      <c r="K7" s="279">
        <f>SUM(B7+D7+F7+H7+J7)</f>
        <v>61749</v>
      </c>
    </row>
    <row r="8" spans="1:11">
      <c r="A8" s="280" t="s">
        <v>148</v>
      </c>
      <c r="B8" s="281"/>
      <c r="C8" s="280" t="s">
        <v>148</v>
      </c>
      <c r="D8" s="282"/>
      <c r="E8" s="280" t="s">
        <v>148</v>
      </c>
      <c r="F8" s="266"/>
      <c r="G8" s="280" t="s">
        <v>148</v>
      </c>
      <c r="H8" s="85"/>
      <c r="I8" s="280" t="s">
        <v>148</v>
      </c>
      <c r="J8" s="85"/>
      <c r="K8" s="266"/>
    </row>
    <row r="9" spans="1:11">
      <c r="A9" s="283" t="s">
        <v>1017</v>
      </c>
      <c r="B9" s="277">
        <v>10000</v>
      </c>
      <c r="C9" s="283" t="s">
        <v>1017</v>
      </c>
      <c r="D9" s="277">
        <v>12500</v>
      </c>
      <c r="E9" s="283"/>
      <c r="F9" s="277"/>
      <c r="G9" s="283"/>
      <c r="H9" s="277"/>
      <c r="I9" s="283"/>
      <c r="J9" s="277"/>
      <c r="K9" s="266"/>
    </row>
    <row r="10" spans="1:11">
      <c r="A10" s="283"/>
      <c r="B10" s="277"/>
      <c r="C10" s="283" t="s">
        <v>1063</v>
      </c>
      <c r="D10" s="277">
        <v>12500</v>
      </c>
      <c r="E10" s="283"/>
      <c r="F10" s="277"/>
      <c r="G10" s="283"/>
      <c r="H10" s="277"/>
      <c r="I10" s="283"/>
      <c r="J10" s="277"/>
      <c r="K10" s="266"/>
    </row>
    <row r="11" spans="1:11">
      <c r="A11" s="283"/>
      <c r="B11" s="277"/>
      <c r="C11" s="284" t="s">
        <v>1018</v>
      </c>
      <c r="D11" s="285">
        <v>10000</v>
      </c>
      <c r="E11" s="284"/>
      <c r="F11" s="285"/>
      <c r="G11" s="284"/>
      <c r="H11" s="285"/>
      <c r="I11" s="286"/>
      <c r="J11" s="277"/>
      <c r="K11" s="266"/>
    </row>
    <row r="12" spans="1:11">
      <c r="A12" s="283"/>
      <c r="B12" s="287"/>
      <c r="C12" s="283" t="s">
        <v>1015</v>
      </c>
      <c r="D12" s="288">
        <v>8125</v>
      </c>
      <c r="E12" s="289"/>
      <c r="F12" s="288"/>
      <c r="G12" s="289"/>
      <c r="H12" s="288"/>
      <c r="I12" s="289"/>
      <c r="J12" s="277"/>
      <c r="K12" s="266"/>
    </row>
    <row r="13" spans="1:11">
      <c r="A13" s="290"/>
      <c r="B13" s="291"/>
      <c r="C13" s="292"/>
      <c r="D13" s="291"/>
      <c r="E13" s="292"/>
      <c r="F13" s="291"/>
      <c r="G13" s="292"/>
      <c r="H13" s="291"/>
      <c r="I13" s="286"/>
      <c r="J13" s="277"/>
      <c r="K13" s="266"/>
    </row>
    <row r="14" spans="1:11">
      <c r="A14" s="283"/>
      <c r="B14" s="277"/>
      <c r="C14" s="289"/>
      <c r="D14" s="288"/>
      <c r="E14" s="289"/>
      <c r="F14" s="288"/>
      <c r="G14" s="289"/>
      <c r="H14" s="288"/>
      <c r="I14" s="289"/>
      <c r="J14" s="277"/>
      <c r="K14" s="266"/>
    </row>
    <row r="15" spans="1:11">
      <c r="A15" s="283"/>
      <c r="B15" s="277"/>
      <c r="C15" s="289"/>
      <c r="D15" s="288"/>
      <c r="E15" s="289"/>
      <c r="F15" s="288"/>
      <c r="G15" s="289"/>
      <c r="H15" s="288"/>
      <c r="I15" s="289"/>
      <c r="J15" s="277"/>
      <c r="K15" s="266"/>
    </row>
    <row r="16" spans="1:11">
      <c r="A16" s="283"/>
      <c r="B16" s="291"/>
      <c r="C16" s="283"/>
      <c r="D16" s="291"/>
      <c r="E16" s="283"/>
      <c r="F16" s="277"/>
      <c r="G16" s="289"/>
      <c r="H16" s="291"/>
      <c r="I16" s="283"/>
      <c r="J16" s="288"/>
      <c r="K16" s="266"/>
    </row>
    <row r="17" spans="1:12">
      <c r="A17" s="280" t="s">
        <v>32</v>
      </c>
      <c r="B17" s="279">
        <f>SUM(B9:B16)</f>
        <v>10000</v>
      </c>
      <c r="C17" s="280" t="s">
        <v>32</v>
      </c>
      <c r="D17" s="293">
        <f>SUM(D9:D16)</f>
        <v>43125</v>
      </c>
      <c r="E17" s="280" t="s">
        <v>32</v>
      </c>
      <c r="F17" s="294">
        <f>SUM(F9:F16)</f>
        <v>0</v>
      </c>
      <c r="G17" s="280" t="s">
        <v>32</v>
      </c>
      <c r="H17" s="293">
        <f>SUM(H9:H16)</f>
        <v>0</v>
      </c>
      <c r="I17" s="280" t="s">
        <v>32</v>
      </c>
      <c r="J17" s="293">
        <f>SUM(J9:J16)</f>
        <v>0</v>
      </c>
      <c r="K17" s="279">
        <f>SUM(B17+D17+F17+H17+J17)</f>
        <v>53125</v>
      </c>
    </row>
    <row r="18" spans="1:12">
      <c r="A18" s="280" t="s">
        <v>33</v>
      </c>
      <c r="B18" s="279">
        <f>SUM(B7+B17)</f>
        <v>26608</v>
      </c>
      <c r="C18" s="280" t="s">
        <v>33</v>
      </c>
      <c r="D18" s="279">
        <f>SUM(D7+D17)</f>
        <v>88266</v>
      </c>
      <c r="E18" s="280" t="s">
        <v>33</v>
      </c>
      <c r="F18" s="279">
        <f>SUM(F7+F17)</f>
        <v>0</v>
      </c>
      <c r="G18" s="280" t="s">
        <v>33</v>
      </c>
      <c r="H18" s="279">
        <f>SUM(H7+H17)</f>
        <v>0</v>
      </c>
      <c r="I18" s="280" t="s">
        <v>33</v>
      </c>
      <c r="J18" s="279">
        <f>SUM(J7+J17)</f>
        <v>0</v>
      </c>
      <c r="K18" s="279">
        <f>SUM(B18+D18+F18+H18+J18)</f>
        <v>114874</v>
      </c>
    </row>
    <row r="19" spans="1:12">
      <c r="A19" s="280" t="s">
        <v>35</v>
      </c>
      <c r="B19" s="281"/>
      <c r="C19" s="280" t="s">
        <v>35</v>
      </c>
      <c r="D19" s="282"/>
      <c r="E19" s="280" t="s">
        <v>35</v>
      </c>
      <c r="F19" s="266"/>
      <c r="G19" s="280" t="s">
        <v>35</v>
      </c>
      <c r="H19" s="85"/>
      <c r="I19" s="280" t="s">
        <v>35</v>
      </c>
      <c r="J19" s="85"/>
      <c r="K19" s="266"/>
    </row>
    <row r="20" spans="1:12">
      <c r="A20" s="283"/>
      <c r="B20" s="277"/>
      <c r="C20" s="289" t="s">
        <v>1064</v>
      </c>
      <c r="D20" s="277">
        <v>29973</v>
      </c>
      <c r="E20" s="289"/>
      <c r="F20" s="277"/>
      <c r="G20" s="289"/>
      <c r="H20" s="277"/>
      <c r="I20" s="289"/>
      <c r="J20" s="277"/>
      <c r="K20" s="266"/>
    </row>
    <row r="21" spans="1:12">
      <c r="A21" s="283"/>
      <c r="B21" s="277"/>
      <c r="C21" s="289"/>
      <c r="D21" s="288"/>
      <c r="E21" s="289"/>
      <c r="F21" s="288"/>
      <c r="G21" s="289"/>
      <c r="H21" s="288"/>
      <c r="I21" s="289"/>
      <c r="J21" s="295"/>
      <c r="K21" s="266"/>
    </row>
    <row r="22" spans="1:12">
      <c r="A22" s="283"/>
      <c r="B22" s="296"/>
      <c r="C22" s="292"/>
      <c r="D22" s="291"/>
      <c r="E22" s="292"/>
      <c r="F22" s="291"/>
      <c r="G22" s="292"/>
      <c r="H22" s="291"/>
      <c r="I22" s="286"/>
      <c r="J22" s="277"/>
      <c r="K22" s="266"/>
    </row>
    <row r="23" spans="1:12">
      <c r="A23" s="283"/>
      <c r="B23" s="277"/>
      <c r="C23" s="289"/>
      <c r="D23" s="288"/>
      <c r="E23" s="289"/>
      <c r="F23" s="288"/>
      <c r="G23" s="289"/>
      <c r="H23" s="288"/>
      <c r="I23" s="289"/>
      <c r="J23" s="277"/>
      <c r="K23" s="266"/>
    </row>
    <row r="24" spans="1:12">
      <c r="A24" s="283"/>
      <c r="B24" s="296"/>
      <c r="C24" s="292"/>
      <c r="D24" s="291"/>
      <c r="E24" s="292"/>
      <c r="F24" s="291"/>
      <c r="G24" s="292"/>
      <c r="H24" s="291"/>
      <c r="I24" s="286"/>
      <c r="J24" s="277"/>
      <c r="K24" s="266"/>
    </row>
    <row r="25" spans="1:12">
      <c r="A25" s="283"/>
      <c r="B25" s="277"/>
      <c r="C25" s="289"/>
      <c r="D25" s="288"/>
      <c r="E25" s="289"/>
      <c r="F25" s="288"/>
      <c r="G25" s="289"/>
      <c r="H25" s="288"/>
      <c r="I25" s="289"/>
      <c r="J25" s="277"/>
      <c r="K25" s="266"/>
    </row>
    <row r="26" spans="1:12">
      <c r="A26" s="283"/>
      <c r="B26" s="277"/>
      <c r="C26" s="289"/>
      <c r="D26" s="288"/>
      <c r="E26" s="289"/>
      <c r="F26" s="288"/>
      <c r="G26" s="289"/>
      <c r="H26" s="288"/>
      <c r="I26" s="289"/>
      <c r="J26" s="277"/>
      <c r="K26" s="266"/>
    </row>
    <row r="27" spans="1:12">
      <c r="A27" s="283"/>
      <c r="B27" s="295"/>
      <c r="C27" s="283"/>
      <c r="D27" s="287"/>
      <c r="E27" s="283"/>
      <c r="F27" s="288"/>
      <c r="G27" s="289"/>
      <c r="H27" s="288"/>
      <c r="I27" s="289"/>
      <c r="J27" s="277"/>
      <c r="K27" s="266"/>
    </row>
    <row r="28" spans="1:12">
      <c r="A28" s="280" t="s">
        <v>39</v>
      </c>
      <c r="B28" s="279">
        <f>SUM(B20:B27)</f>
        <v>0</v>
      </c>
      <c r="C28" s="280" t="s">
        <v>39</v>
      </c>
      <c r="D28" s="279">
        <f>SUM(D20:D27)</f>
        <v>29973</v>
      </c>
      <c r="E28" s="280" t="s">
        <v>39</v>
      </c>
      <c r="F28" s="382">
        <f>SUM(F20:F27)</f>
        <v>0</v>
      </c>
      <c r="G28" s="280" t="s">
        <v>39</v>
      </c>
      <c r="H28" s="382">
        <f>SUM(H20:H27)</f>
        <v>0</v>
      </c>
      <c r="I28" s="280" t="s">
        <v>39</v>
      </c>
      <c r="J28" s="279">
        <f>SUM(J20:J27)</f>
        <v>0</v>
      </c>
      <c r="K28" s="279">
        <f>SUM(B28+D28+F28+H28+J28)</f>
        <v>29973</v>
      </c>
    </row>
    <row r="29" spans="1:12">
      <c r="A29" s="280" t="s">
        <v>180</v>
      </c>
      <c r="B29" s="279">
        <f>SUM(B18-B28)</f>
        <v>26608</v>
      </c>
      <c r="C29" s="280" t="s">
        <v>180</v>
      </c>
      <c r="D29" s="279">
        <f>SUM(D18-D28)</f>
        <v>58293</v>
      </c>
      <c r="E29" s="280" t="s">
        <v>180</v>
      </c>
      <c r="F29" s="279">
        <f>SUM(F18-F28)</f>
        <v>0</v>
      </c>
      <c r="G29" s="280" t="s">
        <v>180</v>
      </c>
      <c r="H29" s="279">
        <f>SUM(H18-H28)</f>
        <v>0</v>
      </c>
      <c r="I29" s="280" t="s">
        <v>180</v>
      </c>
      <c r="J29" s="279">
        <f>SUM(J18-J28)</f>
        <v>0</v>
      </c>
      <c r="K29" s="297">
        <f>SUM(B29+D29+F29+H29+J29)</f>
        <v>84901</v>
      </c>
      <c r="L29" s="298" t="s">
        <v>252</v>
      </c>
    </row>
    <row r="30" spans="1:12">
      <c r="A30" s="280"/>
      <c r="B30" s="321" t="str">
        <f>IF(B29&lt;0,"See Tab B","")</f>
        <v/>
      </c>
      <c r="C30" s="280"/>
      <c r="D30" s="321" t="str">
        <f>IF(D29&lt;0,"See Tab B","")</f>
        <v/>
      </c>
      <c r="E30" s="280"/>
      <c r="F30" s="321" t="str">
        <f>IF(F29&lt;0,"See Tab B","")</f>
        <v/>
      </c>
      <c r="G30" s="85"/>
      <c r="H30" s="321" t="str">
        <f>IF(H29&lt;0,"See Tab B","")</f>
        <v/>
      </c>
      <c r="I30" s="85"/>
      <c r="J30" s="321" t="str">
        <f>IF(J29&lt;0,"See Tab B","")</f>
        <v/>
      </c>
      <c r="K30" s="297">
        <f>SUM(K7+K17-K28)</f>
        <v>84901</v>
      </c>
      <c r="L30" s="298" t="s">
        <v>252</v>
      </c>
    </row>
    <row r="31" spans="1:12">
      <c r="A31" s="85"/>
      <c r="B31" s="299"/>
      <c r="C31" s="85"/>
      <c r="D31" s="266"/>
      <c r="E31" s="85"/>
      <c r="F31" s="85"/>
      <c r="G31" s="18" t="s">
        <v>253</v>
      </c>
      <c r="H31" s="18"/>
      <c r="I31" s="18"/>
      <c r="J31" s="18"/>
      <c r="K31" s="85"/>
    </row>
    <row r="32" spans="1:12">
      <c r="A32" s="85"/>
      <c r="B32" s="299"/>
      <c r="C32" s="85"/>
      <c r="D32" s="85"/>
      <c r="E32" s="85"/>
      <c r="F32" s="85"/>
      <c r="G32" s="85"/>
      <c r="H32" s="85"/>
      <c r="I32" s="85"/>
      <c r="J32" s="85"/>
      <c r="K32" s="85"/>
    </row>
    <row r="33" spans="1:11">
      <c r="A33" s="85"/>
      <c r="B33" s="299"/>
      <c r="C33" s="85"/>
      <c r="D33" s="85"/>
      <c r="E33" s="243" t="s">
        <v>42</v>
      </c>
      <c r="F33" s="248">
        <v>16</v>
      </c>
      <c r="G33" s="85"/>
      <c r="H33" s="85"/>
      <c r="I33" s="85"/>
      <c r="J33" s="85"/>
      <c r="K33" s="85"/>
    </row>
    <row r="34" spans="1:11">
      <c r="B34" s="300"/>
    </row>
    <row r="35" spans="1:11">
      <c r="B35" s="300"/>
    </row>
    <row r="36" spans="1:11">
      <c r="B36" s="300"/>
    </row>
    <row r="37" spans="1:11">
      <c r="B37" s="300"/>
    </row>
    <row r="38" spans="1:11">
      <c r="B38" s="300"/>
    </row>
    <row r="39" spans="1:11">
      <c r="B39" s="300"/>
    </row>
    <row r="40" spans="1:11">
      <c r="B40" s="300"/>
    </row>
    <row r="41" spans="1:11">
      <c r="B41" s="300"/>
    </row>
  </sheetData>
  <sheetProtection sheet="1"/>
  <mergeCells count="5">
    <mergeCell ref="I5:J5"/>
    <mergeCell ref="A5:B5"/>
    <mergeCell ref="C5:D5"/>
    <mergeCell ref="E5:F5"/>
    <mergeCell ref="G5:H5"/>
  </mergeCells>
  <phoneticPr fontId="11" type="noConversion"/>
  <pageMargins left="0" right="0" top="1" bottom="1" header="0.5" footer="0.5"/>
  <pageSetup scale="92" orientation="landscape" blackAndWhite="1"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5"/>
  <sheetViews>
    <sheetView topLeftCell="A55" workbookViewId="0">
      <selection activeCell="E48" sqref="E48"/>
    </sheetView>
  </sheetViews>
  <sheetFormatPr defaultRowHeight="15"/>
  <cols>
    <col min="1" max="1" width="15.77734375" style="82" customWidth="1"/>
    <col min="2" max="2" width="20.77734375" style="82" customWidth="1"/>
    <col min="3" max="3" width="9.77734375" style="82" customWidth="1"/>
    <col min="4" max="4" width="15.109375" style="82" customWidth="1"/>
    <col min="5" max="5" width="15.77734375" style="82" customWidth="1"/>
    <col min="6" max="16384" width="8.88671875" style="82"/>
  </cols>
  <sheetData>
    <row r="1" spans="1:5" ht="15.75">
      <c r="A1" s="83" t="str">
        <f>inputPrYr!$D$2</f>
        <v>CITY OF HOXIE</v>
      </c>
      <c r="B1" s="84"/>
      <c r="C1" s="84"/>
      <c r="D1" s="84"/>
      <c r="E1" s="85">
        <f>inputPrYr!C5</f>
        <v>2014</v>
      </c>
    </row>
    <row r="2" spans="1:5">
      <c r="A2" s="84"/>
      <c r="B2" s="84"/>
      <c r="C2" s="84"/>
      <c r="D2" s="84"/>
      <c r="E2" s="84"/>
    </row>
    <row r="3" spans="1:5" ht="15.75">
      <c r="A3" s="792" t="s">
        <v>244</v>
      </c>
      <c r="B3" s="793"/>
      <c r="C3" s="793"/>
      <c r="D3" s="793"/>
      <c r="E3" s="793"/>
    </row>
    <row r="4" spans="1:5" ht="15.75">
      <c r="A4" s="34"/>
      <c r="B4" s="34"/>
      <c r="C4" s="34"/>
      <c r="D4" s="34"/>
      <c r="E4" s="34"/>
    </row>
    <row r="5" spans="1:5" ht="15.75">
      <c r="A5" s="34"/>
      <c r="B5" s="34"/>
      <c r="C5" s="34"/>
      <c r="D5" s="34"/>
      <c r="E5" s="34"/>
    </row>
    <row r="6" spans="1:5" ht="15.75">
      <c r="A6" s="37" t="str">
        <f>CONCATENATE("From the County Clerks ",E1," Budget Information:")</f>
        <v>From the County Clerks 2014 Budget Information:</v>
      </c>
      <c r="B6" s="38"/>
      <c r="C6" s="38"/>
      <c r="D6" s="21"/>
      <c r="E6" s="50"/>
    </row>
    <row r="7" spans="1:5" ht="15.75">
      <c r="A7" s="86" t="str">
        <f>CONCATENATE("Total Assessed Valuation for ",E1-1,"")</f>
        <v>Total Assessed Valuation for 2013</v>
      </c>
      <c r="B7" s="75"/>
      <c r="C7" s="75"/>
      <c r="D7" s="75"/>
      <c r="E7" s="49">
        <v>6475812</v>
      </c>
    </row>
    <row r="8" spans="1:5" ht="15.75">
      <c r="A8" s="86" t="str">
        <f>CONCATENATE("New Improvements for ",E1-1,"")</f>
        <v>New Improvements for 2013</v>
      </c>
      <c r="B8" s="75"/>
      <c r="C8" s="75"/>
      <c r="D8" s="75"/>
      <c r="E8" s="87">
        <v>40242</v>
      </c>
    </row>
    <row r="9" spans="1:5" ht="15.75">
      <c r="A9" s="86" t="str">
        <f>CONCATENATE("Personal Property  excluding oil, gas, and mobile homes - ",E1-1,"")</f>
        <v>Personal Property  excluding oil, gas, and mobile homes - 2013</v>
      </c>
      <c r="B9" s="75"/>
      <c r="C9" s="75"/>
      <c r="D9" s="75"/>
      <c r="E9" s="87">
        <v>310333</v>
      </c>
    </row>
    <row r="10" spans="1:5" ht="15.75">
      <c r="A10" s="88" t="s">
        <v>167</v>
      </c>
      <c r="B10" s="75"/>
      <c r="C10" s="75"/>
      <c r="D10" s="75"/>
      <c r="E10" s="67"/>
    </row>
    <row r="11" spans="1:5" ht="15.75">
      <c r="A11" s="86" t="s">
        <v>139</v>
      </c>
      <c r="B11" s="75"/>
      <c r="C11" s="75"/>
      <c r="D11" s="75"/>
      <c r="E11" s="87"/>
    </row>
    <row r="12" spans="1:5" ht="15.75">
      <c r="A12" s="86" t="s">
        <v>140</v>
      </c>
      <c r="B12" s="75"/>
      <c r="C12" s="75"/>
      <c r="D12" s="75"/>
      <c r="E12" s="87"/>
    </row>
    <row r="13" spans="1:5" ht="15.75">
      <c r="A13" s="86" t="s">
        <v>141</v>
      </c>
      <c r="B13" s="75"/>
      <c r="C13" s="75"/>
      <c r="D13" s="75"/>
      <c r="E13" s="87"/>
    </row>
    <row r="14" spans="1:5" ht="15.75">
      <c r="A14" s="86" t="str">
        <f>CONCATENATE("Property that has changed in use for ",E1-1,"")</f>
        <v>Property that has changed in use for 2013</v>
      </c>
      <c r="B14" s="75"/>
      <c r="C14" s="75"/>
      <c r="D14" s="75"/>
      <c r="E14" s="87">
        <v>9506</v>
      </c>
    </row>
    <row r="15" spans="1:5" ht="15.75">
      <c r="A15" s="86" t="str">
        <f>CONCATENATE("Personal Property excluding oil, gas, and mobile homes - ",E1-2,"")</f>
        <v>Personal Property excluding oil, gas, and mobile homes - 2012</v>
      </c>
      <c r="B15" s="75"/>
      <c r="C15" s="75"/>
      <c r="D15" s="75"/>
      <c r="E15" s="87">
        <v>312253</v>
      </c>
    </row>
    <row r="16" spans="1:5" ht="15.75">
      <c r="A16" s="86" t="str">
        <f>CONCATENATE("Gross earnings (intangible) tax estimate for ",E1,"")</f>
        <v>Gross earnings (intangible) tax estimate for 2014</v>
      </c>
      <c r="B16" s="75"/>
      <c r="C16" s="75"/>
      <c r="D16" s="76"/>
      <c r="E16" s="49">
        <v>0</v>
      </c>
    </row>
    <row r="17" spans="1:5" ht="15.75">
      <c r="A17" s="86" t="s">
        <v>168</v>
      </c>
      <c r="B17" s="75"/>
      <c r="C17" s="75"/>
      <c r="D17" s="75"/>
      <c r="E17" s="48">
        <v>125278</v>
      </c>
    </row>
    <row r="18" spans="1:5" ht="15.75">
      <c r="A18" s="60"/>
      <c r="B18" s="59"/>
      <c r="C18" s="59"/>
      <c r="D18" s="59"/>
      <c r="E18" s="62"/>
    </row>
    <row r="19" spans="1:5" ht="15.75">
      <c r="A19" s="60" t="str">
        <f>CONCATENATE("Actual Tax Rates for the ",E1-1," Budget:")</f>
        <v>Actual Tax Rates for the 2013 Budget:</v>
      </c>
      <c r="B19" s="59"/>
      <c r="C19" s="59"/>
      <c r="D19" s="59"/>
      <c r="E19" s="57"/>
    </row>
    <row r="20" spans="1:5" ht="15.75">
      <c r="A20" s="799" t="s">
        <v>10</v>
      </c>
      <c r="B20" s="800"/>
      <c r="C20" s="89"/>
      <c r="D20" s="90" t="s">
        <v>64</v>
      </c>
      <c r="E20" s="57"/>
    </row>
    <row r="21" spans="1:5" ht="15.75">
      <c r="A21" s="53" t="str">
        <f>inputPrYr!B17</f>
        <v>General</v>
      </c>
      <c r="B21" s="54"/>
      <c r="C21" s="59"/>
      <c r="D21" s="91">
        <v>11.91</v>
      </c>
      <c r="E21" s="62"/>
    </row>
    <row r="22" spans="1:5" ht="15.75">
      <c r="A22" s="86" t="str">
        <f>inputPrYr!B18</f>
        <v>Debt Service</v>
      </c>
      <c r="B22" s="75"/>
      <c r="C22" s="59"/>
      <c r="D22" s="92">
        <v>3.9449999999999998</v>
      </c>
      <c r="E22" s="62"/>
    </row>
    <row r="23" spans="1:5" ht="15.75">
      <c r="A23" s="86" t="str">
        <f>inputPrYr!B19</f>
        <v>Library</v>
      </c>
      <c r="B23" s="75"/>
      <c r="C23" s="59"/>
      <c r="D23" s="92">
        <v>4.5179999999999998</v>
      </c>
      <c r="E23" s="62"/>
    </row>
    <row r="24" spans="1:5" ht="15.75">
      <c r="A24" s="86" t="str">
        <f>inputPrYr!B21</f>
        <v>Employee Benefits</v>
      </c>
      <c r="B24" s="75"/>
      <c r="C24" s="59"/>
      <c r="D24" s="92">
        <v>18.867999999999999</v>
      </c>
      <c r="E24" s="62"/>
    </row>
    <row r="25" spans="1:5" ht="15.75">
      <c r="A25" s="86" t="str">
        <f>inputPrYr!B22</f>
        <v>Street Resurfacing</v>
      </c>
      <c r="B25" s="75"/>
      <c r="C25" s="59"/>
      <c r="D25" s="92">
        <v>8.8650000000000002</v>
      </c>
      <c r="E25" s="62"/>
    </row>
    <row r="26" spans="1:5" ht="15.75">
      <c r="A26" s="86" t="str">
        <f>inputPrYr!B23</f>
        <v>Airport</v>
      </c>
      <c r="B26" s="93"/>
      <c r="C26" s="59"/>
      <c r="D26" s="94">
        <v>0.504</v>
      </c>
      <c r="E26" s="62"/>
    </row>
    <row r="27" spans="1:5" ht="15.75">
      <c r="A27" s="86">
        <f>inputPrYr!B24</f>
        <v>0</v>
      </c>
      <c r="B27" s="93"/>
      <c r="C27" s="59"/>
      <c r="D27" s="94"/>
      <c r="E27" s="62"/>
    </row>
    <row r="28" spans="1:5" ht="15.75">
      <c r="A28" s="86">
        <f>inputPrYr!B25</f>
        <v>0</v>
      </c>
      <c r="B28" s="93"/>
      <c r="C28" s="59"/>
      <c r="D28" s="94"/>
      <c r="E28" s="62"/>
    </row>
    <row r="29" spans="1:5" ht="15.75">
      <c r="A29" s="86">
        <f>inputPrYr!B26</f>
        <v>0</v>
      </c>
      <c r="B29" s="93"/>
      <c r="C29" s="59"/>
      <c r="D29" s="94"/>
      <c r="E29" s="62"/>
    </row>
    <row r="30" spans="1:5" ht="15.75">
      <c r="A30" s="86">
        <f>inputPrYr!B27</f>
        <v>0</v>
      </c>
      <c r="B30" s="93"/>
      <c r="C30" s="59"/>
      <c r="D30" s="94"/>
      <c r="E30" s="62"/>
    </row>
    <row r="31" spans="1:5" ht="15.75">
      <c r="A31" s="86">
        <f>inputPrYr!B28</f>
        <v>0</v>
      </c>
      <c r="B31" s="93"/>
      <c r="C31" s="59"/>
      <c r="D31" s="94"/>
      <c r="E31" s="62"/>
    </row>
    <row r="32" spans="1:5" ht="15.75">
      <c r="A32" s="86">
        <f>inputPrYr!B29</f>
        <v>0</v>
      </c>
      <c r="B32" s="75"/>
      <c r="C32" s="59"/>
      <c r="D32" s="94"/>
      <c r="E32" s="62"/>
    </row>
    <row r="33" spans="1:5" ht="15.75">
      <c r="A33" s="86">
        <f>inputPrYr!B30</f>
        <v>0</v>
      </c>
      <c r="B33" s="54"/>
      <c r="C33" s="59"/>
      <c r="D33" s="94"/>
      <c r="E33" s="62"/>
    </row>
    <row r="34" spans="1:5" ht="15.75">
      <c r="A34" s="89"/>
      <c r="B34" s="54" t="s">
        <v>335</v>
      </c>
      <c r="C34" s="95"/>
      <c r="D34" s="70">
        <f>SUM(D21:D33)</f>
        <v>48.61</v>
      </c>
      <c r="E34" s="89"/>
    </row>
    <row r="35" spans="1:5">
      <c r="A35" s="89"/>
      <c r="B35" s="89"/>
      <c r="C35" s="89"/>
      <c r="D35" s="89"/>
      <c r="E35" s="89"/>
    </row>
    <row r="36" spans="1:5" ht="15.75">
      <c r="A36" s="54" t="str">
        <f>CONCATENATE("Final Assessed Valuation from the November 1, ",E1-2," Abstract")</f>
        <v>Final Assessed Valuation from the November 1, 2012 Abstract</v>
      </c>
      <c r="B36" s="96"/>
      <c r="C36" s="96"/>
      <c r="D36" s="96"/>
      <c r="E36" s="48">
        <v>6264345</v>
      </c>
    </row>
    <row r="37" spans="1:5">
      <c r="A37" s="89"/>
      <c r="B37" s="89"/>
      <c r="C37" s="89"/>
      <c r="D37" s="89"/>
      <c r="E37" s="89"/>
    </row>
    <row r="38" spans="1:5" ht="15.75">
      <c r="A38" s="65" t="str">
        <f>CONCATENATE("From the County Treasurer's Budget Information - ",E1," Budget Year Estimates:")</f>
        <v>From the County Treasurer's Budget Information - 2014 Budget Year Estimates:</v>
      </c>
      <c r="B38" s="36"/>
      <c r="C38" s="36"/>
      <c r="D38" s="97"/>
      <c r="E38" s="50"/>
    </row>
    <row r="39" spans="1:5" ht="15.75">
      <c r="A39" s="53" t="s">
        <v>336</v>
      </c>
      <c r="B39" s="54"/>
      <c r="C39" s="54"/>
      <c r="D39" s="98"/>
      <c r="E39" s="49">
        <v>74916</v>
      </c>
    </row>
    <row r="40" spans="1:5" ht="15.75">
      <c r="A40" s="86" t="s">
        <v>337</v>
      </c>
      <c r="B40" s="75"/>
      <c r="C40" s="75"/>
      <c r="D40" s="99"/>
      <c r="E40" s="49">
        <v>1081</v>
      </c>
    </row>
    <row r="41" spans="1:5" ht="15.75">
      <c r="A41" s="86" t="s">
        <v>169</v>
      </c>
      <c r="B41" s="75"/>
      <c r="C41" s="75"/>
      <c r="D41" s="99"/>
      <c r="E41" s="49">
        <v>1682</v>
      </c>
    </row>
    <row r="42" spans="1:5" ht="15.75">
      <c r="A42" s="86" t="s">
        <v>170</v>
      </c>
      <c r="B42" s="75"/>
      <c r="C42" s="75"/>
      <c r="D42" s="99"/>
      <c r="E42" s="49"/>
    </row>
    <row r="43" spans="1:5" ht="15.75">
      <c r="A43" s="86" t="s">
        <v>171</v>
      </c>
      <c r="B43" s="75"/>
      <c r="C43" s="75"/>
      <c r="D43" s="99"/>
      <c r="E43" s="49"/>
    </row>
    <row r="44" spans="1:5" ht="15.75">
      <c r="A44" s="21" t="s">
        <v>172</v>
      </c>
      <c r="B44" s="21"/>
      <c r="C44" s="21"/>
      <c r="D44" s="21"/>
      <c r="E44" s="21"/>
    </row>
    <row r="45" spans="1:5" ht="15.75">
      <c r="A45" s="23" t="s">
        <v>18</v>
      </c>
      <c r="B45" s="32"/>
      <c r="C45" s="32"/>
      <c r="D45" s="21"/>
      <c r="E45" s="21"/>
    </row>
    <row r="46" spans="1:5" ht="15.75">
      <c r="A46" s="60" t="str">
        <f>CONCATENATE("Actual Delinquency for ",E1-3," Tax - (rate .01213 = 1.213%, key in 1.2)")</f>
        <v>Actual Delinquency for 2011 Tax - (rate .01213 = 1.213%, key in 1.2)</v>
      </c>
      <c r="B46" s="59"/>
      <c r="C46" s="21"/>
      <c r="D46" s="21"/>
      <c r="E46" s="587">
        <v>0.01</v>
      </c>
    </row>
    <row r="47" spans="1:5" ht="15.75">
      <c r="A47" s="376" t="s">
        <v>816</v>
      </c>
      <c r="B47" s="60"/>
      <c r="C47" s="59"/>
      <c r="D47" s="59"/>
      <c r="E47" s="588">
        <v>0.01</v>
      </c>
    </row>
    <row r="48" spans="1:5" ht="15.75">
      <c r="A48" s="100" t="s">
        <v>218</v>
      </c>
      <c r="B48" s="100"/>
      <c r="C48" s="101"/>
      <c r="D48" s="101"/>
      <c r="E48" s="102"/>
    </row>
    <row r="49" spans="1:5" ht="15.75">
      <c r="A49" s="21"/>
      <c r="B49" s="21"/>
      <c r="C49" s="21"/>
      <c r="D49" s="21"/>
      <c r="E49" s="21"/>
    </row>
    <row r="50" spans="1:5" ht="15.75">
      <c r="A50" s="103" t="s">
        <v>262</v>
      </c>
      <c r="B50" s="104"/>
      <c r="C50" s="105"/>
      <c r="D50" s="105"/>
      <c r="E50" s="105"/>
    </row>
    <row r="51" spans="1:5" ht="15.75">
      <c r="A51" s="106" t="str">
        <f>CONCATENATE("",E1," State Distribution for Kansas Gas Tax")</f>
        <v>2014 State Distribution for Kansas Gas Tax</v>
      </c>
      <c r="B51" s="107"/>
      <c r="C51" s="107"/>
      <c r="D51" s="108"/>
      <c r="E51" s="48">
        <v>31230</v>
      </c>
    </row>
    <row r="52" spans="1:5" ht="15.75">
      <c r="A52" s="109" t="str">
        <f>CONCATENATE("",E1," County Transfers for Gas***")</f>
        <v>2014 County Transfers for Gas***</v>
      </c>
      <c r="B52" s="110"/>
      <c r="C52" s="110"/>
      <c r="D52" s="111"/>
      <c r="E52" s="48"/>
    </row>
    <row r="53" spans="1:5" ht="15.75">
      <c r="A53" s="109" t="str">
        <f>CONCATENATE("Adjusted ",E1-1," State Distribution for Kansas Gas Tax")</f>
        <v>Adjusted 2013 State Distribution for Kansas Gas Tax</v>
      </c>
      <c r="B53" s="110"/>
      <c r="C53" s="110"/>
      <c r="D53" s="111"/>
      <c r="E53" s="48">
        <v>30150</v>
      </c>
    </row>
    <row r="54" spans="1:5" ht="15.75">
      <c r="A54" s="109" t="str">
        <f>CONCATENATE("Adjusted ",E1-1," County Transfers for Gas***")</f>
        <v>Adjusted 2013 County Transfers for Gas***</v>
      </c>
      <c r="B54" s="110"/>
      <c r="C54" s="110"/>
      <c r="D54" s="111"/>
      <c r="E54" s="48"/>
    </row>
    <row r="55" spans="1:5">
      <c r="A55" s="801" t="s">
        <v>238</v>
      </c>
      <c r="B55" s="802"/>
      <c r="C55" s="802"/>
      <c r="D55" s="802"/>
      <c r="E55" s="802"/>
    </row>
    <row r="56" spans="1:5">
      <c r="A56" s="112" t="s">
        <v>239</v>
      </c>
      <c r="B56" s="112"/>
      <c r="C56" s="112"/>
      <c r="D56" s="112"/>
      <c r="E56" s="112"/>
    </row>
    <row r="57" spans="1:5">
      <c r="A57" s="84"/>
      <c r="B57" s="84"/>
      <c r="C57" s="84"/>
      <c r="D57" s="84"/>
      <c r="E57" s="84"/>
    </row>
    <row r="58" spans="1:5" ht="15.75">
      <c r="A58" s="803" t="str">
        <f>CONCATENATE("From the ",E1-2," Budget Certificate Page")</f>
        <v>From the 2012 Budget Certificate Page</v>
      </c>
      <c r="B58" s="804"/>
      <c r="C58" s="84"/>
      <c r="D58" s="84"/>
      <c r="E58" s="84"/>
    </row>
    <row r="59" spans="1:5" ht="15.75">
      <c r="A59" s="113"/>
      <c r="B59" s="113" t="str">
        <f>CONCATENATE("",E1-2," Expenditure Amounts")</f>
        <v>2012 Expenditure Amounts</v>
      </c>
      <c r="C59" s="797" t="str">
        <f>CONCATENATE("Note: If the ",E1-2," budget was amended, then the")</f>
        <v>Note: If the 2012 budget was amended, then the</v>
      </c>
      <c r="D59" s="798"/>
      <c r="E59" s="798"/>
    </row>
    <row r="60" spans="1:5" ht="15.75">
      <c r="A60" s="114" t="s">
        <v>266</v>
      </c>
      <c r="B60" s="114" t="s">
        <v>267</v>
      </c>
      <c r="C60" s="115" t="s">
        <v>268</v>
      </c>
      <c r="D60" s="116"/>
      <c r="E60" s="116"/>
    </row>
    <row r="61" spans="1:5" ht="15.75">
      <c r="A61" s="117" t="str">
        <f>inputPrYr!B17</f>
        <v>General</v>
      </c>
      <c r="B61" s="48">
        <v>468801</v>
      </c>
      <c r="C61" s="115" t="s">
        <v>269</v>
      </c>
      <c r="D61" s="116"/>
      <c r="E61" s="116"/>
    </row>
    <row r="62" spans="1:5" ht="15.75">
      <c r="A62" s="117" t="str">
        <f>inputPrYr!B18</f>
        <v>Debt Service</v>
      </c>
      <c r="B62" s="48">
        <v>69360</v>
      </c>
      <c r="C62" s="115"/>
      <c r="D62" s="116"/>
      <c r="E62" s="116"/>
    </row>
    <row r="63" spans="1:5" ht="15.75">
      <c r="A63" s="117" t="str">
        <f>inputPrYr!B19</f>
        <v>Library</v>
      </c>
      <c r="B63" s="48">
        <v>37053</v>
      </c>
      <c r="C63" s="84"/>
      <c r="D63" s="84"/>
      <c r="E63" s="84"/>
    </row>
    <row r="64" spans="1:5" ht="15.75">
      <c r="A64" s="117" t="str">
        <f>inputPrYr!B21</f>
        <v>Employee Benefits</v>
      </c>
      <c r="B64" s="48">
        <v>165000</v>
      </c>
      <c r="C64" s="84"/>
      <c r="D64" s="84"/>
      <c r="E64" s="84"/>
    </row>
    <row r="65" spans="1:5" ht="15.75">
      <c r="A65" s="117" t="str">
        <f>inputPrYr!B22</f>
        <v>Street Resurfacing</v>
      </c>
      <c r="B65" s="48">
        <v>59558</v>
      </c>
      <c r="C65" s="84"/>
      <c r="D65" s="84"/>
      <c r="E65" s="84"/>
    </row>
    <row r="66" spans="1:5" ht="15.75">
      <c r="A66" s="117" t="str">
        <f>inputPrYr!B23</f>
        <v>Airport</v>
      </c>
      <c r="B66" s="48">
        <v>16818</v>
      </c>
      <c r="C66" s="84"/>
      <c r="D66" s="84"/>
      <c r="E66" s="84"/>
    </row>
    <row r="67" spans="1:5" ht="15.75">
      <c r="A67" s="117">
        <f>inputPrYr!B24</f>
        <v>0</v>
      </c>
      <c r="B67" s="48"/>
      <c r="C67" s="84"/>
      <c r="D67" s="84"/>
      <c r="E67" s="84"/>
    </row>
    <row r="68" spans="1:5" ht="15.75">
      <c r="A68" s="117">
        <f>inputPrYr!B25</f>
        <v>0</v>
      </c>
      <c r="B68" s="48"/>
      <c r="C68" s="84"/>
      <c r="D68" s="84"/>
      <c r="E68" s="84"/>
    </row>
    <row r="69" spans="1:5" ht="15.75">
      <c r="A69" s="117">
        <f>inputPrYr!B26</f>
        <v>0</v>
      </c>
      <c r="B69" s="48"/>
      <c r="C69" s="84"/>
      <c r="D69" s="84"/>
      <c r="E69" s="84"/>
    </row>
    <row r="70" spans="1:5" ht="15.75">
      <c r="A70" s="117">
        <f>inputPrYr!B27</f>
        <v>0</v>
      </c>
      <c r="B70" s="48"/>
      <c r="C70" s="84"/>
      <c r="D70" s="84"/>
      <c r="E70" s="84"/>
    </row>
    <row r="71" spans="1:5" ht="15.75">
      <c r="A71" s="117">
        <f>inputPrYr!B28</f>
        <v>0</v>
      </c>
      <c r="B71" s="48"/>
      <c r="C71" s="84"/>
      <c r="D71" s="84"/>
      <c r="E71" s="84"/>
    </row>
    <row r="72" spans="1:5" ht="15.75">
      <c r="A72" s="117">
        <f>inputPrYr!B29</f>
        <v>0</v>
      </c>
      <c r="B72" s="48"/>
      <c r="C72" s="84"/>
      <c r="D72" s="84"/>
      <c r="E72" s="84"/>
    </row>
    <row r="73" spans="1:5" ht="15.75">
      <c r="A73" s="117">
        <f>inputPrYr!B30</f>
        <v>0</v>
      </c>
      <c r="B73" s="48"/>
      <c r="C73" s="84"/>
      <c r="D73" s="84"/>
      <c r="E73" s="84"/>
    </row>
    <row r="74" spans="1:5" ht="15.75">
      <c r="A74" s="117" t="str">
        <f>inputPrYr!B34</f>
        <v>Special Highway</v>
      </c>
      <c r="B74" s="48">
        <v>35415</v>
      </c>
      <c r="C74" s="84"/>
      <c r="D74" s="84"/>
      <c r="E74" s="84"/>
    </row>
    <row r="75" spans="1:5" ht="15.75">
      <c r="A75" s="117" t="str">
        <f>inputPrYr!B35</f>
        <v>Special Parks &amp; Recreation</v>
      </c>
      <c r="B75" s="48">
        <v>4177</v>
      </c>
      <c r="C75" s="84"/>
      <c r="D75" s="84"/>
      <c r="E75" s="84"/>
    </row>
    <row r="76" spans="1:5" ht="15.75">
      <c r="A76" s="117" t="str">
        <f>inputPrYr!B36</f>
        <v>Fuller Cemetery</v>
      </c>
      <c r="B76" s="48">
        <v>41045</v>
      </c>
      <c r="C76" s="84"/>
      <c r="D76" s="84"/>
      <c r="E76" s="84"/>
    </row>
    <row r="77" spans="1:5" ht="15.75">
      <c r="A77" s="117" t="str">
        <f>inputPrYr!B37</f>
        <v>Refuse Utiltiy</v>
      </c>
      <c r="B77" s="48">
        <v>156239</v>
      </c>
      <c r="C77" s="84"/>
      <c r="D77" s="84"/>
      <c r="E77" s="84"/>
    </row>
    <row r="78" spans="1:5" ht="15.75">
      <c r="A78" s="117">
        <f>inputPrYr!B38</f>
        <v>0</v>
      </c>
      <c r="B78" s="48"/>
      <c r="C78" s="84"/>
      <c r="D78" s="84"/>
      <c r="E78" s="84"/>
    </row>
    <row r="79" spans="1:5" ht="15.75">
      <c r="A79" s="117" t="str">
        <f>inputPrYr!B39</f>
        <v>Bed Tax</v>
      </c>
      <c r="B79" s="48">
        <v>7759</v>
      </c>
      <c r="C79" s="84"/>
      <c r="D79" s="84"/>
      <c r="E79" s="84"/>
    </row>
    <row r="80" spans="1:5" ht="15.75">
      <c r="A80" s="117" t="str">
        <f>inputPrYr!B40</f>
        <v>Water Utiltiy</v>
      </c>
      <c r="B80" s="48">
        <v>255115</v>
      </c>
      <c r="C80" s="84"/>
      <c r="D80" s="84"/>
      <c r="E80" s="84"/>
    </row>
    <row r="81" spans="1:5" ht="15.75">
      <c r="A81" s="117">
        <f>inputPrYr!B41</f>
        <v>0</v>
      </c>
      <c r="B81" s="48"/>
      <c r="C81" s="84"/>
      <c r="D81" s="84"/>
      <c r="E81" s="84"/>
    </row>
    <row r="82" spans="1:5" ht="15.75">
      <c r="A82" s="117">
        <f>inputPrYr!B44</f>
        <v>0</v>
      </c>
      <c r="B82" s="48"/>
      <c r="C82" s="84"/>
      <c r="D82" s="84"/>
      <c r="E82" s="84"/>
    </row>
    <row r="83" spans="1:5" ht="15.75">
      <c r="A83" s="117">
        <f>inputPrYr!B45</f>
        <v>0</v>
      </c>
      <c r="B83" s="48"/>
      <c r="C83" s="84"/>
      <c r="D83" s="84"/>
      <c r="E83" s="84"/>
    </row>
    <row r="84" spans="1:5" ht="15.75">
      <c r="A84" s="117">
        <f>inputPrYr!B46</f>
        <v>0</v>
      </c>
      <c r="B84" s="48"/>
      <c r="C84" s="84"/>
      <c r="D84" s="84"/>
      <c r="E84" s="84"/>
    </row>
    <row r="85" spans="1:5" ht="15.75">
      <c r="A85" s="117">
        <f>inputPrYr!B47</f>
        <v>0</v>
      </c>
      <c r="B85" s="48"/>
      <c r="C85" s="84"/>
      <c r="D85" s="84"/>
      <c r="E85" s="84"/>
    </row>
  </sheetData>
  <sheetProtection sheet="1"/>
  <mergeCells count="5">
    <mergeCell ref="C59:E59"/>
    <mergeCell ref="A20:B20"/>
    <mergeCell ref="A55:E55"/>
    <mergeCell ref="A3:E3"/>
    <mergeCell ref="A58:B58"/>
  </mergeCells>
  <phoneticPr fontId="11" type="noConversion"/>
  <pageMargins left="0.75" right="0.75" top="1" bottom="1" header="0.5" footer="0.5"/>
  <pageSetup scale="52"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RowHeight="15.75"/>
  <cols>
    <col min="1" max="1" width="11.5546875" style="8" customWidth="1"/>
    <col min="2" max="2" width="7.44140625" style="8" customWidth="1"/>
    <col min="3" max="3" width="11.5546875" style="8" customWidth="1"/>
    <col min="4" max="4" width="7.44140625" style="8" customWidth="1"/>
    <col min="5" max="5" width="11.5546875" style="8" customWidth="1"/>
    <col min="6" max="6" width="7.44140625" style="8" customWidth="1"/>
    <col min="7" max="7" width="11.5546875" style="8" customWidth="1"/>
    <col min="8" max="8" width="7.44140625" style="8" customWidth="1"/>
    <col min="9" max="9" width="11.5546875" style="8" customWidth="1"/>
    <col min="10" max="16384" width="8.88671875" style="8"/>
  </cols>
  <sheetData>
    <row r="1" spans="1:11">
      <c r="A1" s="85">
        <f>inputPrYr!$C$2</f>
        <v>0</v>
      </c>
      <c r="B1" s="266"/>
      <c r="C1" s="85"/>
      <c r="D1" s="85"/>
      <c r="E1" s="85"/>
      <c r="F1" s="267" t="s">
        <v>186</v>
      </c>
      <c r="G1" s="85"/>
      <c r="H1" s="85"/>
      <c r="I1" s="85"/>
      <c r="J1" s="85"/>
      <c r="K1" s="85">
        <f>inputPrYr!$C$5</f>
        <v>2014</v>
      </c>
    </row>
    <row r="2" spans="1:11">
      <c r="A2" s="85"/>
      <c r="B2" s="85"/>
      <c r="C2" s="85"/>
      <c r="D2" s="85"/>
      <c r="E2" s="85"/>
      <c r="F2" s="266" t="str">
        <f>CONCATENATE("(Only the actual budget year for ",K1-2," is to be shown)")</f>
        <v>(Only the actual budget year for 2012 is to be shown)</v>
      </c>
      <c r="G2" s="85"/>
      <c r="H2" s="85"/>
      <c r="I2" s="85"/>
      <c r="J2" s="85"/>
      <c r="K2" s="85"/>
    </row>
    <row r="3" spans="1:11">
      <c r="A3" s="85" t="s">
        <v>217</v>
      </c>
      <c r="B3" s="85"/>
      <c r="C3" s="85"/>
      <c r="D3" s="85"/>
      <c r="E3" s="85"/>
      <c r="F3" s="266"/>
      <c r="G3" s="85"/>
      <c r="H3" s="85"/>
      <c r="I3" s="85"/>
      <c r="J3" s="85"/>
      <c r="K3" s="85"/>
    </row>
    <row r="4" spans="1:11">
      <c r="A4" s="85" t="s">
        <v>193</v>
      </c>
      <c r="B4" s="85"/>
      <c r="C4" s="85" t="s">
        <v>194</v>
      </c>
      <c r="D4" s="85"/>
      <c r="E4" s="85" t="s">
        <v>195</v>
      </c>
      <c r="F4" s="266"/>
      <c r="G4" s="85" t="s">
        <v>196</v>
      </c>
      <c r="H4" s="85"/>
      <c r="I4" s="85" t="s">
        <v>197</v>
      </c>
      <c r="J4" s="85"/>
      <c r="K4" s="85"/>
    </row>
    <row r="5" spans="1:11">
      <c r="A5" s="858">
        <f>inputPrYr!$B57</f>
        <v>0</v>
      </c>
      <c r="B5" s="859"/>
      <c r="C5" s="858">
        <f>inputPrYr!$B58</f>
        <v>0</v>
      </c>
      <c r="D5" s="859"/>
      <c r="E5" s="858">
        <f>inputPrYr!$B59</f>
        <v>0</v>
      </c>
      <c r="F5" s="859"/>
      <c r="G5" s="858">
        <f>inputPrYr!$B60</f>
        <v>0</v>
      </c>
      <c r="H5" s="859"/>
      <c r="I5" s="858">
        <f>inputPrYr!$B61</f>
        <v>0</v>
      </c>
      <c r="J5" s="859"/>
      <c r="K5" s="106"/>
    </row>
    <row r="6" spans="1:11">
      <c r="A6" s="270" t="s">
        <v>181</v>
      </c>
      <c r="B6" s="271"/>
      <c r="C6" s="272" t="s">
        <v>181</v>
      </c>
      <c r="D6" s="273"/>
      <c r="E6" s="272" t="s">
        <v>181</v>
      </c>
      <c r="F6" s="274"/>
      <c r="G6" s="272" t="s">
        <v>181</v>
      </c>
      <c r="H6" s="269"/>
      <c r="I6" s="272" t="s">
        <v>181</v>
      </c>
      <c r="J6" s="85"/>
      <c r="K6" s="275" t="s">
        <v>335</v>
      </c>
    </row>
    <row r="7" spans="1:11">
      <c r="A7" s="276" t="s">
        <v>180</v>
      </c>
      <c r="B7" s="277"/>
      <c r="C7" s="278" t="s">
        <v>180</v>
      </c>
      <c r="D7" s="277"/>
      <c r="E7" s="278" t="s">
        <v>180</v>
      </c>
      <c r="F7" s="277"/>
      <c r="G7" s="278" t="s">
        <v>180</v>
      </c>
      <c r="H7" s="277"/>
      <c r="I7" s="278" t="s">
        <v>180</v>
      </c>
      <c r="J7" s="277"/>
      <c r="K7" s="279">
        <f>SUM(B7+D7+F7+H7+J7)</f>
        <v>0</v>
      </c>
    </row>
    <row r="8" spans="1:11">
      <c r="A8" s="280" t="s">
        <v>148</v>
      </c>
      <c r="B8" s="281"/>
      <c r="C8" s="280" t="s">
        <v>148</v>
      </c>
      <c r="D8" s="282"/>
      <c r="E8" s="280" t="s">
        <v>148</v>
      </c>
      <c r="F8" s="266"/>
      <c r="G8" s="280" t="s">
        <v>148</v>
      </c>
      <c r="H8" s="85"/>
      <c r="I8" s="280" t="s">
        <v>148</v>
      </c>
      <c r="J8" s="85"/>
      <c r="K8" s="266"/>
    </row>
    <row r="9" spans="1:11">
      <c r="A9" s="283"/>
      <c r="B9" s="277"/>
      <c r="C9" s="283"/>
      <c r="D9" s="277"/>
      <c r="E9" s="283"/>
      <c r="F9" s="277"/>
      <c r="G9" s="283"/>
      <c r="H9" s="277"/>
      <c r="I9" s="283"/>
      <c r="J9" s="277"/>
      <c r="K9" s="266"/>
    </row>
    <row r="10" spans="1:11">
      <c r="A10" s="283"/>
      <c r="B10" s="277"/>
      <c r="C10" s="283"/>
      <c r="D10" s="277"/>
      <c r="E10" s="283"/>
      <c r="F10" s="277"/>
      <c r="G10" s="283"/>
      <c r="H10" s="277"/>
      <c r="I10" s="283"/>
      <c r="J10" s="277"/>
      <c r="K10" s="266"/>
    </row>
    <row r="11" spans="1:11">
      <c r="A11" s="283"/>
      <c r="B11" s="277"/>
      <c r="C11" s="284"/>
      <c r="D11" s="285"/>
      <c r="E11" s="284"/>
      <c r="F11" s="285"/>
      <c r="G11" s="284"/>
      <c r="H11" s="285"/>
      <c r="I11" s="286"/>
      <c r="J11" s="277"/>
      <c r="K11" s="266"/>
    </row>
    <row r="12" spans="1:11">
      <c r="A12" s="283"/>
      <c r="B12" s="287"/>
      <c r="C12" s="283"/>
      <c r="D12" s="288"/>
      <c r="E12" s="289"/>
      <c r="F12" s="288"/>
      <c r="G12" s="289"/>
      <c r="H12" s="288"/>
      <c r="I12" s="289"/>
      <c r="J12" s="277"/>
      <c r="K12" s="266"/>
    </row>
    <row r="13" spans="1:11">
      <c r="A13" s="290"/>
      <c r="B13" s="291"/>
      <c r="C13" s="292"/>
      <c r="D13" s="291"/>
      <c r="E13" s="292"/>
      <c r="F13" s="291"/>
      <c r="G13" s="292"/>
      <c r="H13" s="291"/>
      <c r="I13" s="286"/>
      <c r="J13" s="277"/>
      <c r="K13" s="266"/>
    </row>
    <row r="14" spans="1:11">
      <c r="A14" s="283"/>
      <c r="B14" s="277"/>
      <c r="C14" s="289"/>
      <c r="D14" s="288"/>
      <c r="E14" s="289"/>
      <c r="F14" s="288"/>
      <c r="G14" s="289"/>
      <c r="H14" s="288"/>
      <c r="I14" s="289"/>
      <c r="J14" s="277"/>
      <c r="K14" s="266"/>
    </row>
    <row r="15" spans="1:11">
      <c r="A15" s="283"/>
      <c r="B15" s="277"/>
      <c r="C15" s="289"/>
      <c r="D15" s="288"/>
      <c r="E15" s="289"/>
      <c r="F15" s="288"/>
      <c r="G15" s="289"/>
      <c r="H15" s="288"/>
      <c r="I15" s="289"/>
      <c r="J15" s="277"/>
      <c r="K15" s="266"/>
    </row>
    <row r="16" spans="1:11">
      <c r="A16" s="283"/>
      <c r="B16" s="291"/>
      <c r="C16" s="283"/>
      <c r="D16" s="291"/>
      <c r="E16" s="283"/>
      <c r="F16" s="277"/>
      <c r="G16" s="289"/>
      <c r="H16" s="291"/>
      <c r="I16" s="283"/>
      <c r="J16" s="288"/>
      <c r="K16" s="266"/>
    </row>
    <row r="17" spans="1:12">
      <c r="A17" s="280" t="s">
        <v>32</v>
      </c>
      <c r="B17" s="279">
        <f>SUM(B9:B16)</f>
        <v>0</v>
      </c>
      <c r="C17" s="280" t="s">
        <v>32</v>
      </c>
      <c r="D17" s="293">
        <f>SUM(D9:D16)</f>
        <v>0</v>
      </c>
      <c r="E17" s="280" t="s">
        <v>32</v>
      </c>
      <c r="F17" s="294">
        <f>SUM(F9:F16)</f>
        <v>0</v>
      </c>
      <c r="G17" s="280" t="s">
        <v>32</v>
      </c>
      <c r="H17" s="293">
        <f>SUM(H9:H16)</f>
        <v>0</v>
      </c>
      <c r="I17" s="280" t="s">
        <v>32</v>
      </c>
      <c r="J17" s="293">
        <f>SUM(J9:J16)</f>
        <v>0</v>
      </c>
      <c r="K17" s="279">
        <f>SUM(B17+D17+F17+H17+J17)</f>
        <v>0</v>
      </c>
    </row>
    <row r="18" spans="1:12">
      <c r="A18" s="280" t="s">
        <v>33</v>
      </c>
      <c r="B18" s="279">
        <f>SUM(B7+B17)</f>
        <v>0</v>
      </c>
      <c r="C18" s="280" t="s">
        <v>33</v>
      </c>
      <c r="D18" s="279">
        <f>SUM(D7+D17)</f>
        <v>0</v>
      </c>
      <c r="E18" s="280" t="s">
        <v>33</v>
      </c>
      <c r="F18" s="279">
        <f>SUM(F7+F17)</f>
        <v>0</v>
      </c>
      <c r="G18" s="280" t="s">
        <v>33</v>
      </c>
      <c r="H18" s="279">
        <f>SUM(H7+H17)</f>
        <v>0</v>
      </c>
      <c r="I18" s="280" t="s">
        <v>33</v>
      </c>
      <c r="J18" s="279">
        <f>SUM(J7+J17)</f>
        <v>0</v>
      </c>
      <c r="K18" s="279">
        <f>SUM(B18+D18+F18+H18+J18)</f>
        <v>0</v>
      </c>
    </row>
    <row r="19" spans="1:12">
      <c r="A19" s="280" t="s">
        <v>35</v>
      </c>
      <c r="B19" s="281"/>
      <c r="C19" s="280" t="s">
        <v>35</v>
      </c>
      <c r="D19" s="282"/>
      <c r="E19" s="280" t="s">
        <v>35</v>
      </c>
      <c r="F19" s="266"/>
      <c r="G19" s="280" t="s">
        <v>35</v>
      </c>
      <c r="H19" s="85"/>
      <c r="I19" s="280" t="s">
        <v>35</v>
      </c>
      <c r="J19" s="85"/>
      <c r="K19" s="266"/>
    </row>
    <row r="20" spans="1:12">
      <c r="A20" s="283"/>
      <c r="B20" s="277"/>
      <c r="C20" s="289"/>
      <c r="D20" s="277"/>
      <c r="E20" s="289"/>
      <c r="F20" s="277"/>
      <c r="G20" s="289"/>
      <c r="H20" s="277"/>
      <c r="I20" s="289"/>
      <c r="J20" s="277"/>
      <c r="K20" s="266"/>
    </row>
    <row r="21" spans="1:12">
      <c r="A21" s="283"/>
      <c r="B21" s="277"/>
      <c r="C21" s="289"/>
      <c r="D21" s="288"/>
      <c r="E21" s="289"/>
      <c r="F21" s="288"/>
      <c r="G21" s="289"/>
      <c r="H21" s="288"/>
      <c r="I21" s="289"/>
      <c r="J21" s="295"/>
      <c r="K21" s="266"/>
    </row>
    <row r="22" spans="1:12">
      <c r="A22" s="283"/>
      <c r="B22" s="296"/>
      <c r="C22" s="292"/>
      <c r="D22" s="291"/>
      <c r="E22" s="292"/>
      <c r="F22" s="291"/>
      <c r="G22" s="292"/>
      <c r="H22" s="291"/>
      <c r="I22" s="286"/>
      <c r="J22" s="277"/>
      <c r="K22" s="266"/>
    </row>
    <row r="23" spans="1:12">
      <c r="A23" s="283"/>
      <c r="B23" s="277"/>
      <c r="C23" s="289"/>
      <c r="D23" s="288"/>
      <c r="E23" s="289"/>
      <c r="F23" s="288"/>
      <c r="G23" s="289"/>
      <c r="H23" s="288"/>
      <c r="I23" s="289"/>
      <c r="J23" s="277"/>
      <c r="K23" s="266"/>
    </row>
    <row r="24" spans="1:12">
      <c r="A24" s="283"/>
      <c r="B24" s="296"/>
      <c r="C24" s="292"/>
      <c r="D24" s="291"/>
      <c r="E24" s="292"/>
      <c r="F24" s="291"/>
      <c r="G24" s="292"/>
      <c r="H24" s="291"/>
      <c r="I24" s="286"/>
      <c r="J24" s="277"/>
      <c r="K24" s="266"/>
    </row>
    <row r="25" spans="1:12">
      <c r="A25" s="283"/>
      <c r="B25" s="277"/>
      <c r="C25" s="289"/>
      <c r="D25" s="288"/>
      <c r="E25" s="289"/>
      <c r="F25" s="288"/>
      <c r="G25" s="289"/>
      <c r="H25" s="288"/>
      <c r="I25" s="289"/>
      <c r="J25" s="277"/>
      <c r="K25" s="266"/>
    </row>
    <row r="26" spans="1:12">
      <c r="A26" s="283"/>
      <c r="B26" s="277"/>
      <c r="C26" s="289"/>
      <c r="D26" s="288"/>
      <c r="E26" s="289"/>
      <c r="F26" s="288"/>
      <c r="G26" s="289"/>
      <c r="H26" s="288"/>
      <c r="I26" s="289"/>
      <c r="J26" s="277"/>
      <c r="K26" s="266"/>
    </row>
    <row r="27" spans="1:12">
      <c r="A27" s="283"/>
      <c r="B27" s="295"/>
      <c r="C27" s="283"/>
      <c r="D27" s="287"/>
      <c r="E27" s="283"/>
      <c r="F27" s="288"/>
      <c r="G27" s="289"/>
      <c r="H27" s="288"/>
      <c r="I27" s="289"/>
      <c r="J27" s="277"/>
      <c r="K27" s="266"/>
    </row>
    <row r="28" spans="1:12">
      <c r="A28" s="280" t="s">
        <v>39</v>
      </c>
      <c r="B28" s="279">
        <f>SUM(B20:B27)</f>
        <v>0</v>
      </c>
      <c r="C28" s="280" t="s">
        <v>39</v>
      </c>
      <c r="D28" s="279">
        <f>SUM(D20:D27)</f>
        <v>0</v>
      </c>
      <c r="E28" s="280" t="s">
        <v>39</v>
      </c>
      <c r="F28" s="382">
        <f>SUM(F20:F27)</f>
        <v>0</v>
      </c>
      <c r="G28" s="280" t="s">
        <v>39</v>
      </c>
      <c r="H28" s="382">
        <f>SUM(H20:H27)</f>
        <v>0</v>
      </c>
      <c r="I28" s="280" t="s">
        <v>39</v>
      </c>
      <c r="J28" s="279">
        <f>SUM(J20:J27)</f>
        <v>0</v>
      </c>
      <c r="K28" s="279">
        <f>SUM(B28+D28+F28+H28+J28)</f>
        <v>0</v>
      </c>
    </row>
    <row r="29" spans="1:12">
      <c r="A29" s="280" t="s">
        <v>180</v>
      </c>
      <c r="B29" s="279">
        <f>SUM(B18-B28)</f>
        <v>0</v>
      </c>
      <c r="C29" s="280" t="s">
        <v>180</v>
      </c>
      <c r="D29" s="279">
        <f>SUM(D18-D28)</f>
        <v>0</v>
      </c>
      <c r="E29" s="280" t="s">
        <v>180</v>
      </c>
      <c r="F29" s="279">
        <f>SUM(F18-F28)</f>
        <v>0</v>
      </c>
      <c r="G29" s="280" t="s">
        <v>180</v>
      </c>
      <c r="H29" s="279">
        <f>SUM(H18-H28)</f>
        <v>0</v>
      </c>
      <c r="I29" s="280" t="s">
        <v>180</v>
      </c>
      <c r="J29" s="279">
        <f>SUM(J18-J28)</f>
        <v>0</v>
      </c>
      <c r="K29" s="297">
        <f>SUM(B29+D29+F29+H29+J29)</f>
        <v>0</v>
      </c>
      <c r="L29" s="298" t="s">
        <v>252</v>
      </c>
    </row>
    <row r="30" spans="1:12">
      <c r="A30" s="280"/>
      <c r="B30" s="321" t="str">
        <f>IF(B29&lt;0,"See Tab B","")</f>
        <v/>
      </c>
      <c r="C30" s="280"/>
      <c r="D30" s="321" t="str">
        <f>IF(D29&lt;0,"See Tab B","")</f>
        <v/>
      </c>
      <c r="E30" s="280"/>
      <c r="F30" s="321" t="str">
        <f>IF(F29&lt;0,"See Tab B","")</f>
        <v/>
      </c>
      <c r="G30" s="85"/>
      <c r="H30" s="321" t="str">
        <f>IF(H29&lt;0,"See Tab B","")</f>
        <v/>
      </c>
      <c r="I30" s="85"/>
      <c r="J30" s="321" t="str">
        <f>IF(J29&lt;0,"See Tab B","")</f>
        <v/>
      </c>
      <c r="K30" s="297">
        <f>SUM(K7+K17-K28)</f>
        <v>0</v>
      </c>
      <c r="L30" s="298" t="s">
        <v>252</v>
      </c>
    </row>
    <row r="31" spans="1:12">
      <c r="A31" s="85"/>
      <c r="B31" s="299"/>
      <c r="C31" s="85"/>
      <c r="D31" s="266"/>
      <c r="E31" s="85"/>
      <c r="F31" s="85"/>
      <c r="G31" s="18" t="s">
        <v>253</v>
      </c>
      <c r="H31" s="18"/>
      <c r="I31" s="18"/>
      <c r="J31" s="18"/>
      <c r="K31" s="85"/>
    </row>
    <row r="32" spans="1:12">
      <c r="A32" s="85"/>
      <c r="B32" s="299"/>
      <c r="C32" s="85"/>
      <c r="D32" s="85"/>
      <c r="E32" s="85"/>
      <c r="F32" s="85"/>
      <c r="G32" s="85"/>
      <c r="H32" s="85"/>
      <c r="I32" s="85"/>
      <c r="J32" s="85"/>
      <c r="K32" s="85"/>
    </row>
    <row r="33" spans="1:11">
      <c r="A33" s="85"/>
      <c r="B33" s="299"/>
      <c r="C33" s="85"/>
      <c r="D33" s="85"/>
      <c r="E33" s="243" t="s">
        <v>42</v>
      </c>
      <c r="F33" s="248"/>
      <c r="G33" s="85"/>
      <c r="H33" s="85"/>
      <c r="I33" s="85"/>
      <c r="J33" s="85"/>
      <c r="K33" s="85"/>
    </row>
    <row r="34" spans="1:11">
      <c r="B34" s="300"/>
    </row>
    <row r="35" spans="1:11">
      <c r="B35" s="300"/>
    </row>
    <row r="36" spans="1:11">
      <c r="B36" s="300"/>
    </row>
    <row r="37" spans="1:11">
      <c r="B37" s="300"/>
    </row>
    <row r="38" spans="1:11">
      <c r="B38" s="300"/>
    </row>
    <row r="39" spans="1:11">
      <c r="B39" s="300"/>
    </row>
    <row r="40" spans="1:11">
      <c r="B40" s="300"/>
    </row>
    <row r="41" spans="1:11">
      <c r="B41" s="300"/>
    </row>
  </sheetData>
  <sheetProtection sheet="1"/>
  <mergeCells count="5">
    <mergeCell ref="I5:J5"/>
    <mergeCell ref="A5:B5"/>
    <mergeCell ref="C5:D5"/>
    <mergeCell ref="E5:F5"/>
    <mergeCell ref="G5:H5"/>
  </mergeCells>
  <phoneticPr fontId="11" type="noConversion"/>
  <pageMargins left="0.75" right="0.75" top="1" bottom="1" header="0.5" footer="0.5"/>
  <pageSetup scale="83" orientation="landscape" blackAndWhite="1"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dimension ref="A1:A66"/>
  <sheetViews>
    <sheetView workbookViewId="0">
      <selection activeCell="B2" sqref="B2"/>
    </sheetView>
  </sheetViews>
  <sheetFormatPr defaultRowHeight="15"/>
  <cols>
    <col min="1" max="1" width="70.5546875" style="82" customWidth="1"/>
    <col min="2" max="16384" width="8.88671875" style="82"/>
  </cols>
  <sheetData>
    <row r="1" spans="1:1" ht="18.75">
      <c r="A1" s="463" t="s">
        <v>372</v>
      </c>
    </row>
    <row r="2" spans="1:1" ht="15.75">
      <c r="A2" s="1"/>
    </row>
    <row r="3" spans="1:1" ht="57" customHeight="1">
      <c r="A3" s="464" t="s">
        <v>721</v>
      </c>
    </row>
    <row r="4" spans="1:1" ht="15.75">
      <c r="A4" s="465"/>
    </row>
    <row r="5" spans="1:1" ht="15.75">
      <c r="A5" s="1"/>
    </row>
    <row r="6" spans="1:1" ht="44.25" customHeight="1">
      <c r="A6" s="464" t="s">
        <v>722</v>
      </c>
    </row>
    <row r="7" spans="1:1" ht="15.75">
      <c r="A7" s="1"/>
    </row>
    <row r="8" spans="1:1" ht="15.75">
      <c r="A8" s="465"/>
    </row>
    <row r="9" spans="1:1" ht="46.5" customHeight="1">
      <c r="A9" s="464" t="s">
        <v>723</v>
      </c>
    </row>
    <row r="10" spans="1:1" ht="15.75">
      <c r="A10" s="1"/>
    </row>
    <row r="11" spans="1:1" ht="15.75">
      <c r="A11" s="465"/>
    </row>
    <row r="12" spans="1:1" ht="60" customHeight="1">
      <c r="A12" s="464" t="s">
        <v>724</v>
      </c>
    </row>
    <row r="13" spans="1:1" ht="15.75">
      <c r="A13" s="1"/>
    </row>
    <row r="14" spans="1:1" ht="15.75">
      <c r="A14" s="1"/>
    </row>
    <row r="15" spans="1:1" ht="61.5" customHeight="1">
      <c r="A15" s="464" t="s">
        <v>725</v>
      </c>
    </row>
    <row r="16" spans="1:1" ht="15.75">
      <c r="A16" s="1"/>
    </row>
    <row r="17" spans="1:1" ht="15.75">
      <c r="A17" s="1"/>
    </row>
    <row r="18" spans="1:1" ht="59.25" customHeight="1">
      <c r="A18" s="464" t="s">
        <v>726</v>
      </c>
    </row>
    <row r="19" spans="1:1" ht="15.75">
      <c r="A19" s="1"/>
    </row>
    <row r="20" spans="1:1" ht="15.75">
      <c r="A20" s="1"/>
    </row>
    <row r="21" spans="1:1" ht="61.5" customHeight="1">
      <c r="A21" s="464" t="s">
        <v>727</v>
      </c>
    </row>
    <row r="22" spans="1:1" ht="15.75">
      <c r="A22" s="465"/>
    </row>
    <row r="23" spans="1:1" ht="15.75">
      <c r="A23" s="465"/>
    </row>
    <row r="24" spans="1:1" ht="63" customHeight="1">
      <c r="A24" s="464" t="s">
        <v>728</v>
      </c>
    </row>
    <row r="25" spans="1:1" ht="15.75">
      <c r="A25" s="1"/>
    </row>
    <row r="26" spans="1:1" ht="15.75">
      <c r="A26" s="1"/>
    </row>
    <row r="27" spans="1:1" ht="52.5" customHeight="1">
      <c r="A27" s="466" t="s">
        <v>729</v>
      </c>
    </row>
    <row r="28" spans="1:1" ht="15.75">
      <c r="A28" s="1"/>
    </row>
    <row r="29" spans="1:1" ht="15.75">
      <c r="A29" s="1"/>
    </row>
    <row r="30" spans="1:1" ht="44.25" customHeight="1">
      <c r="A30" s="464" t="s">
        <v>730</v>
      </c>
    </row>
    <row r="31" spans="1:1" ht="15.75">
      <c r="A31" s="1"/>
    </row>
    <row r="32" spans="1:1" ht="15.75">
      <c r="A32" s="1"/>
    </row>
    <row r="33" spans="1:1" ht="42.75" customHeight="1">
      <c r="A33" s="464" t="s">
        <v>731</v>
      </c>
    </row>
    <row r="34" spans="1:1" ht="15.75">
      <c r="A34" s="465"/>
    </row>
    <row r="35" spans="1:1" ht="15.75">
      <c r="A35" s="465"/>
    </row>
    <row r="36" spans="1:1" ht="38.25" customHeight="1">
      <c r="A36" s="464" t="s">
        <v>732</v>
      </c>
    </row>
    <row r="37" spans="1:1" ht="15.75">
      <c r="A37" s="465"/>
    </row>
    <row r="38" spans="1:1" ht="15.75">
      <c r="A38" s="1"/>
    </row>
    <row r="39" spans="1:1" ht="75.75" customHeight="1">
      <c r="A39" s="464" t="s">
        <v>733</v>
      </c>
    </row>
    <row r="40" spans="1:1" ht="15.75">
      <c r="A40" s="1"/>
    </row>
    <row r="41" spans="1:1" ht="15.75">
      <c r="A41" s="1"/>
    </row>
    <row r="42" spans="1:1" ht="57.75" customHeight="1">
      <c r="A42" s="464" t="s">
        <v>734</v>
      </c>
    </row>
    <row r="43" spans="1:1" ht="15.75">
      <c r="A43" s="465"/>
    </row>
    <row r="44" spans="1:1" ht="15.75">
      <c r="A44" s="1"/>
    </row>
    <row r="45" spans="1:1" ht="57.75" customHeight="1">
      <c r="A45" s="464" t="s">
        <v>735</v>
      </c>
    </row>
    <row r="46" spans="1:1" ht="15.75">
      <c r="A46" s="1"/>
    </row>
    <row r="47" spans="1:1" ht="15.75">
      <c r="A47" s="1"/>
    </row>
    <row r="48" spans="1:1" ht="41.25" customHeight="1">
      <c r="A48" s="464" t="s">
        <v>736</v>
      </c>
    </row>
    <row r="49" spans="1:1" ht="15.75">
      <c r="A49" s="1"/>
    </row>
    <row r="50" spans="1:1" ht="15.75">
      <c r="A50" s="1"/>
    </row>
    <row r="51" spans="1:1" ht="75" customHeight="1">
      <c r="A51" s="464" t="s">
        <v>737</v>
      </c>
    </row>
    <row r="52" spans="1:1" ht="15.75">
      <c r="A52" s="465"/>
    </row>
    <row r="53" spans="1:1" ht="15.75">
      <c r="A53" s="465"/>
    </row>
    <row r="54" spans="1:1" ht="57.75" customHeight="1">
      <c r="A54" s="464" t="s">
        <v>738</v>
      </c>
    </row>
    <row r="55" spans="1:1" ht="15.75">
      <c r="A55" s="1"/>
    </row>
    <row r="56" spans="1:1" ht="15.75">
      <c r="A56" s="1"/>
    </row>
    <row r="57" spans="1:1" ht="44.25" customHeight="1">
      <c r="A57" s="464" t="s">
        <v>739</v>
      </c>
    </row>
    <row r="58" spans="1:1" ht="15.75">
      <c r="A58" s="1"/>
    </row>
    <row r="59" spans="1:1" ht="15.75">
      <c r="A59" s="1"/>
    </row>
    <row r="60" spans="1:1" ht="60" customHeight="1">
      <c r="A60" s="464" t="s">
        <v>740</v>
      </c>
    </row>
    <row r="61" spans="1:1" ht="15.75">
      <c r="A61" s="465"/>
    </row>
    <row r="62" spans="1:1" ht="15.75">
      <c r="A62" s="465"/>
    </row>
    <row r="63" spans="1:1" ht="57.75" customHeight="1">
      <c r="A63" s="464" t="s">
        <v>741</v>
      </c>
    </row>
    <row r="64" spans="1:1" ht="15.75">
      <c r="A64" s="1"/>
    </row>
    <row r="65" spans="1:1" ht="15.75">
      <c r="A65" s="1"/>
    </row>
    <row r="66" spans="1:1" ht="60" customHeight="1">
      <c r="A66" s="464" t="s">
        <v>742</v>
      </c>
    </row>
  </sheetData>
  <sheetProtection sheet="1" objects="1" scenarios="1"/>
  <pageMargins left="0.7" right="0.7" top="0.75" bottom="0.75" header="0.3" footer="0.3"/>
  <pageSetup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M61"/>
  <sheetViews>
    <sheetView zoomScale="75" workbookViewId="0">
      <selection activeCell="C3" sqref="C3"/>
    </sheetView>
  </sheetViews>
  <sheetFormatPr defaultRowHeight="15.75"/>
  <cols>
    <col min="1" max="1" width="20.77734375" style="8" customWidth="1"/>
    <col min="2" max="2" width="15.77734375" style="8" customWidth="1"/>
    <col min="3" max="3" width="10.77734375" style="8" customWidth="1"/>
    <col min="4" max="4" width="15.77734375" style="8" customWidth="1"/>
    <col min="5" max="5" width="10.77734375" style="8" customWidth="1"/>
    <col min="6" max="6" width="15.77734375" style="8" customWidth="1"/>
    <col min="7" max="7" width="12.77734375" style="8" customWidth="1"/>
    <col min="8" max="8" width="10.77734375" style="8" customWidth="1"/>
    <col min="9" max="9" width="8.88671875" style="8" customWidth="1"/>
    <col min="10" max="10" width="12.44140625" style="8" customWidth="1"/>
    <col min="11" max="11" width="12.33203125" style="8" customWidth="1"/>
    <col min="12" max="12" width="10.5546875" style="8" customWidth="1"/>
    <col min="13" max="13" width="12.109375" style="8" customWidth="1"/>
    <col min="14" max="16384" width="8.88671875" style="8"/>
  </cols>
  <sheetData>
    <row r="1" spans="1:9">
      <c r="A1" s="85"/>
      <c r="B1" s="85"/>
      <c r="C1" s="85"/>
      <c r="D1" s="85"/>
      <c r="E1" s="85"/>
      <c r="F1" s="85"/>
      <c r="G1" s="85"/>
      <c r="H1" s="85">
        <f>inputPrYr!$C$5</f>
        <v>2014</v>
      </c>
    </row>
    <row r="2" spans="1:9">
      <c r="A2" s="818" t="s">
        <v>88</v>
      </c>
      <c r="B2" s="818"/>
      <c r="C2" s="818"/>
      <c r="D2" s="818"/>
      <c r="E2" s="818"/>
      <c r="F2" s="818"/>
      <c r="G2" s="818"/>
      <c r="H2" s="818"/>
      <c r="I2" s="301"/>
    </row>
    <row r="3" spans="1:9">
      <c r="A3" s="21"/>
      <c r="B3" s="21"/>
      <c r="C3" s="21"/>
      <c r="D3" s="21"/>
      <c r="E3" s="21"/>
      <c r="F3" s="21"/>
      <c r="G3" s="21"/>
      <c r="H3" s="21"/>
    </row>
    <row r="4" spans="1:9">
      <c r="A4" s="810" t="s">
        <v>45</v>
      </c>
      <c r="B4" s="810"/>
      <c r="C4" s="810"/>
      <c r="D4" s="810"/>
      <c r="E4" s="810"/>
      <c r="F4" s="810"/>
      <c r="G4" s="810"/>
      <c r="H4" s="810"/>
    </row>
    <row r="5" spans="1:9">
      <c r="A5" s="808" t="str">
        <f>inputPrYr!D2</f>
        <v>CITY OF HOXIE</v>
      </c>
      <c r="B5" s="808"/>
      <c r="C5" s="808"/>
      <c r="D5" s="808"/>
      <c r="E5" s="808"/>
      <c r="F5" s="808"/>
      <c r="G5" s="808"/>
      <c r="H5" s="808"/>
    </row>
    <row r="6" spans="1:9">
      <c r="A6" s="870" t="str">
        <f>CONCATENATE("will meet on ",inputBudSum!B7," at ",inputBudSum!B9," at ",inputBudSum!B11," for the purpose of")</f>
        <v>will meet on August 12, 2013 at 7:00 p.m. at The City Office for the purpose of</v>
      </c>
      <c r="B6" s="870"/>
      <c r="C6" s="870"/>
      <c r="D6" s="870"/>
      <c r="E6" s="870"/>
      <c r="F6" s="870"/>
      <c r="G6" s="870"/>
      <c r="H6" s="870"/>
    </row>
    <row r="7" spans="1:9">
      <c r="A7" s="810" t="s">
        <v>612</v>
      </c>
      <c r="B7" s="810"/>
      <c r="C7" s="810"/>
      <c r="D7" s="810"/>
      <c r="E7" s="810"/>
      <c r="F7" s="810"/>
      <c r="G7" s="810"/>
      <c r="H7" s="810"/>
    </row>
    <row r="8" spans="1:9">
      <c r="A8" s="869" t="str">
        <f>CONCATENATE("Detailed budget information is available at ",inputBudSum!B14," and will be available at this hearing.")</f>
        <v>Detailed budget information is available at The City Office, 829 Main St., Hoxie, KS and will be available at this hearing.</v>
      </c>
      <c r="B8" s="869"/>
      <c r="C8" s="869"/>
      <c r="D8" s="869"/>
      <c r="E8" s="869"/>
      <c r="F8" s="869"/>
      <c r="G8" s="869"/>
      <c r="H8" s="869"/>
    </row>
    <row r="9" spans="1:9">
      <c r="A9" s="31" t="s">
        <v>89</v>
      </c>
      <c r="B9" s="32"/>
      <c r="C9" s="32"/>
      <c r="D9" s="32"/>
      <c r="E9" s="32"/>
      <c r="F9" s="32"/>
      <c r="G9" s="32"/>
      <c r="H9" s="32"/>
    </row>
    <row r="10" spans="1:9">
      <c r="A10" s="33" t="str">
        <f>CONCATENATE("Proposed Budget ",H1," Expenditures and Amount of  ",H1-1," Ad Valorem Tax establish the maximum limits of the ",H1," budget.")</f>
        <v>Proposed Budget 2014 Expenditures and Amount of  2013 Ad Valorem Tax establish the maximum limits of the 2014 budget.</v>
      </c>
      <c r="B10" s="32"/>
      <c r="C10" s="32"/>
      <c r="D10" s="32"/>
      <c r="E10" s="32"/>
      <c r="F10" s="32"/>
      <c r="G10" s="32"/>
      <c r="H10" s="32"/>
    </row>
    <row r="11" spans="1:9">
      <c r="A11" s="33" t="s">
        <v>152</v>
      </c>
      <c r="B11" s="32"/>
      <c r="C11" s="32"/>
      <c r="D11" s="32"/>
      <c r="E11" s="32"/>
      <c r="F11" s="32"/>
      <c r="G11" s="32"/>
      <c r="H11" s="32"/>
    </row>
    <row r="12" spans="1:9">
      <c r="A12" s="21"/>
      <c r="B12" s="256"/>
      <c r="C12" s="256"/>
      <c r="D12" s="256"/>
      <c r="E12" s="256"/>
      <c r="F12" s="256"/>
      <c r="G12" s="256"/>
      <c r="H12" s="256"/>
    </row>
    <row r="13" spans="1:9">
      <c r="A13" s="21"/>
      <c r="B13" s="302" t="str">
        <f>CONCATENATE("Prior Year Actual for ",H1-2,"")</f>
        <v>Prior Year Actual for 2012</v>
      </c>
      <c r="C13" s="121"/>
      <c r="D13" s="302" t="str">
        <f>CONCATENATE("Current Year Estimate for ",H1-1,"")</f>
        <v>Current Year Estimate for 2013</v>
      </c>
      <c r="E13" s="121"/>
      <c r="F13" s="119" t="str">
        <f>CONCATENATE("Proposed Budget for ",H1,"")</f>
        <v>Proposed Budget for 2014</v>
      </c>
      <c r="G13" s="120"/>
      <c r="H13" s="121"/>
    </row>
    <row r="14" spans="1:9" ht="21" customHeight="1">
      <c r="A14" s="21"/>
      <c r="B14" s="245"/>
      <c r="C14" s="124" t="s">
        <v>46</v>
      </c>
      <c r="D14" s="124"/>
      <c r="E14" s="124" t="s">
        <v>46</v>
      </c>
      <c r="F14" s="388" t="s">
        <v>267</v>
      </c>
      <c r="G14" s="124" t="str">
        <f>CONCATENATE("Amount of ",H1-1,"")</f>
        <v>Amount of 2013</v>
      </c>
      <c r="H14" s="124" t="s">
        <v>215</v>
      </c>
    </row>
    <row r="15" spans="1:9">
      <c r="A15" s="46" t="s">
        <v>47</v>
      </c>
      <c r="B15" s="128" t="s">
        <v>48</v>
      </c>
      <c r="C15" s="128" t="s">
        <v>49</v>
      </c>
      <c r="D15" s="128" t="s">
        <v>48</v>
      </c>
      <c r="E15" s="128" t="s">
        <v>49</v>
      </c>
      <c r="F15" s="389" t="s">
        <v>636</v>
      </c>
      <c r="G15" s="129" t="s">
        <v>25</v>
      </c>
      <c r="H15" s="128" t="s">
        <v>49</v>
      </c>
    </row>
    <row r="16" spans="1:9">
      <c r="A16" s="67" t="str">
        <f>inputPrYr!B17</f>
        <v>General</v>
      </c>
      <c r="B16" s="191">
        <f>IF(general!$C$111&lt;&gt;0,general!$C$111,"  ")</f>
        <v>414821</v>
      </c>
      <c r="C16" s="58">
        <f>IF(inputPrYr!D64&gt;0,inputPrYr!D64,"  ")</f>
        <v>8.8330000000000002</v>
      </c>
      <c r="D16" s="191">
        <f>IF(general!$D$111&lt;&gt;0,general!$D$111,"  ")</f>
        <v>420100</v>
      </c>
      <c r="E16" s="58">
        <f>IF(inputOth!D21&gt;0,inputOth!D21,"  ")</f>
        <v>11.91</v>
      </c>
      <c r="F16" s="191">
        <f>IF(general!$E$111&lt;&gt;0,general!$E$111,"  ")</f>
        <v>489535</v>
      </c>
      <c r="G16" s="191">
        <f>IF(general!$E$118&lt;&gt;0,general!$E$118,"  ")</f>
        <v>86176</v>
      </c>
      <c r="H16" s="58">
        <f>IF(general!E118&gt;0,ROUND(G16/$F$48*1000,3),"  ")</f>
        <v>13.307</v>
      </c>
    </row>
    <row r="17" spans="1:13">
      <c r="A17" s="67" t="str">
        <f>IF(inputPrYr!$B18&gt;"  ",(inputPrYr!$B18),"  ")</f>
        <v>Debt Service</v>
      </c>
      <c r="B17" s="191">
        <f>IF('DebtSvs-Library'!C33&lt;&gt;0,'DebtSvs-Library'!C33,"  ")</f>
        <v>50861.82</v>
      </c>
      <c r="C17" s="58">
        <f>IF(inputPrYr!D65&gt;0,inputPrYr!D65,"  ")</f>
        <v>3.1389999999999998</v>
      </c>
      <c r="D17" s="191">
        <f>IF('DebtSvs-Library'!D33&lt;&gt;0,'DebtSvs-Library'!D33,"  ")</f>
        <v>53399</v>
      </c>
      <c r="E17" s="58">
        <f>IF(inputOth!D22&gt;0,inputOth!D22,"  ")</f>
        <v>3.9449999999999998</v>
      </c>
      <c r="F17" s="191">
        <f>IF('DebtSvs-Library'!E33&lt;&gt;0,'DebtSvs-Library'!E33,"  ")</f>
        <v>72788</v>
      </c>
      <c r="G17" s="191">
        <f>IF('DebtSvs-Library'!E40&lt;&gt;0,'DebtSvs-Library'!E40," ")</f>
        <v>20181.079999999987</v>
      </c>
      <c r="H17" s="58">
        <f>IF('DebtSvs-Library'!E40&gt;0,ROUND(G17/$F$48*1000,3)," ")</f>
        <v>3.1160000000000001</v>
      </c>
    </row>
    <row r="18" spans="1:13">
      <c r="A18" s="67" t="str">
        <f>IF(inputPrYr!$B19&gt;"  ",(inputPrYr!$B19),"  ")</f>
        <v>Library</v>
      </c>
      <c r="B18" s="191">
        <f>IF('DebtSvs-Library'!C73&lt;&gt;0,'DebtSvs-Library'!C73,"  ")</f>
        <v>35241</v>
      </c>
      <c r="C18" s="58">
        <f>IF(inputPrYr!D66&gt;0,inputPrYr!D66,"  ")</f>
        <v>4.6550000000000002</v>
      </c>
      <c r="D18" s="191">
        <f>IF('DebtSvs-Library'!D73&lt;&gt;0,'DebtSvs-Library'!D73,"  ")</f>
        <v>36000</v>
      </c>
      <c r="E18" s="58">
        <f>IF(inputOth!D23&gt;0,inputOth!D23,"  ")</f>
        <v>4.5179999999999998</v>
      </c>
      <c r="F18" s="191">
        <f>IF('DebtSvs-Library'!E73&lt;&gt;0,'DebtSvs-Library'!E73,"  ")</f>
        <v>37571</v>
      </c>
      <c r="G18" s="191">
        <f>IF('DebtSvs-Library'!E80&lt;&gt;0,'DebtSvs-Library'!E80," ")</f>
        <v>30075</v>
      </c>
      <c r="H18" s="58">
        <f>IF('DebtSvs-Library'!E80&gt;0,ROUND(G18/$F$48*1000,3)," ")</f>
        <v>4.6440000000000001</v>
      </c>
    </row>
    <row r="19" spans="1:13">
      <c r="A19" s="67" t="str">
        <f>IF(inputPrYr!$B21&gt;"  ",(inputPrYr!$B21),"  ")</f>
        <v>Employee Benefits</v>
      </c>
      <c r="B19" s="191">
        <f>IF('Emp Ben-St Res'!$C$33&gt;0,'Emp Ben-St Res'!$C$33,"  ")</f>
        <v>138065</v>
      </c>
      <c r="C19" s="58">
        <f>IF(inputPrYr!D67&gt;0,inputPrYr!D67,"  ")</f>
        <v>16.88</v>
      </c>
      <c r="D19" s="191">
        <f>IF('Emp Ben-St Res'!$D$33&gt;0,'Emp Ben-St Res'!$D$33,"  ")</f>
        <v>148000</v>
      </c>
      <c r="E19" s="58">
        <f>IF(inputOth!D24&gt;0,inputOth!D24,"  ")</f>
        <v>18.867999999999999</v>
      </c>
      <c r="F19" s="191">
        <f>IF('Emp Ben-St Res'!$E$33&gt;0,'Emp Ben-St Res'!$E$33,"  ")</f>
        <v>167017</v>
      </c>
      <c r="G19" s="191">
        <f>IF('Emp Ben-St Res'!$E$40&lt;&gt;0,'Emp Ben-St Res'!$E$40,"  ")</f>
        <v>106313</v>
      </c>
      <c r="H19" s="58">
        <f>IF('Emp Ben-St Res'!E40&lt;&gt;0,ROUND(G19/$F$48*1000,3),"  ")</f>
        <v>16.417000000000002</v>
      </c>
    </row>
    <row r="20" spans="1:13">
      <c r="A20" s="67" t="str">
        <f>IF(inputPrYr!$B22&gt;"  ",(inputPrYr!$B22),"  ")</f>
        <v>Street Resurfacing</v>
      </c>
      <c r="B20" s="191" t="str">
        <f>IF('Emp Ben-St Res'!$C$73&gt;0,'Emp Ben-St Res'!$C$73,"  ")</f>
        <v xml:space="preserve">  </v>
      </c>
      <c r="C20" s="58">
        <f>IF(inputPrYr!D68&gt;0,inputPrYr!D68,"  ")</f>
        <v>8.2080000000000002</v>
      </c>
      <c r="D20" s="191" t="str">
        <f>IF('Emp Ben-St Res'!$D$73&gt;0,'Emp Ben-St Res'!$D$73,"  ")</f>
        <v xml:space="preserve">  </v>
      </c>
      <c r="E20" s="58">
        <f>IF(inputOth!D25&gt;0,inputOth!D25,"  ")</f>
        <v>8.8650000000000002</v>
      </c>
      <c r="F20" s="191">
        <f>IF('Emp Ben-St Res'!$E$73&gt;0,'Emp Ben-St Res'!$E$73,"  ")</f>
        <v>212761</v>
      </c>
      <c r="G20" s="191">
        <f>IF('Emp Ben-St Res'!$E$80&lt;&gt;0,'Emp Ben-St Res'!$E$80,"  ")</f>
        <v>56065</v>
      </c>
      <c r="H20" s="58">
        <f>IF('Emp Ben-St Res'!E80&lt;&gt;0,ROUND(G20/$F$48*1000,3),"  ")</f>
        <v>8.6579999999999995</v>
      </c>
    </row>
    <row r="21" spans="1:13">
      <c r="A21" s="67" t="str">
        <f>IF(inputPrYr!$B23&gt;"  ",(inputPrYr!$B23),"  ")</f>
        <v>Airport</v>
      </c>
      <c r="B21" s="191">
        <f>IF(Airport!$C$33&gt;0,Airport!$C$33,"  ")</f>
        <v>585</v>
      </c>
      <c r="C21" s="58">
        <f>IF(inputPrYr!D69&gt;0,inputPrYr!D69,"  ")</f>
        <v>0.5</v>
      </c>
      <c r="D21" s="191">
        <f>IF(Airport!$D$33&gt;0,Airport!$D$33,"  ")</f>
        <v>480</v>
      </c>
      <c r="E21" s="58">
        <f>IF(inputOth!D26&gt;0,inputOth!D26,"  ")</f>
        <v>0.504</v>
      </c>
      <c r="F21" s="191">
        <f>IF(Airport!$E$33&gt;0,Airport!$E$33,"  ")</f>
        <v>22978</v>
      </c>
      <c r="G21" s="191">
        <f>IF(Airport!$E$40&lt;&gt;0,Airport!$E$40,"  ")</f>
        <v>3302</v>
      </c>
      <c r="H21" s="58">
        <f>IF(Airport!E40&lt;&gt;0,ROUND(G21/$F$48*1000,3),"  ")</f>
        <v>0.51</v>
      </c>
    </row>
    <row r="22" spans="1:13">
      <c r="A22" s="67" t="str">
        <f>IF(inputPrYr!$B24&gt;"  ",(inputPrYr!$B24),"  ")</f>
        <v xml:space="preserve">  </v>
      </c>
      <c r="B22" s="191" t="str">
        <f>IF(Airport!$C$73&gt;0,Airport!$C$73,"  ")</f>
        <v xml:space="preserve">  </v>
      </c>
      <c r="C22" s="58" t="str">
        <f>IF(inputPrYr!D70&gt;0,inputPrYr!D70,"  ")</f>
        <v xml:space="preserve">  </v>
      </c>
      <c r="D22" s="191" t="str">
        <f>IF(Airport!$D$73&gt;0,Airport!$D$73,"  ")</f>
        <v xml:space="preserve">  </v>
      </c>
      <c r="E22" s="58" t="str">
        <f>IF(inputOth!D27&gt;0,inputOth!D27,"  ")</f>
        <v xml:space="preserve">  </v>
      </c>
      <c r="F22" s="191" t="str">
        <f>IF(Airport!$E$73&gt;0,Airport!$E$73,"  ")</f>
        <v xml:space="preserve">  </v>
      </c>
      <c r="G22" s="191" t="str">
        <f>IF(Airport!$E$80&lt;&gt;0,Airport!$E$80,"  ")</f>
        <v xml:space="preserve">  </v>
      </c>
      <c r="H22" s="58" t="str">
        <f>IF(Airport!E80&lt;&gt;0,ROUND(G22/$F$48*1000,3),"  ")</f>
        <v xml:space="preserve">  </v>
      </c>
    </row>
    <row r="23" spans="1:13">
      <c r="A23" s="67" t="str">
        <f>IF(inputPrYr!$B25&gt;"  ",(inputPrYr!$B25),"  ")</f>
        <v xml:space="preserve">  </v>
      </c>
      <c r="B23" s="191" t="str">
        <f>IF('levy page11'!$C$33&gt;0,'levy page11'!$C$33,"  ")</f>
        <v xml:space="preserve">  </v>
      </c>
      <c r="C23" s="58" t="str">
        <f>IF(inputPrYr!D71&gt;0,inputPrYr!D71,"  ")</f>
        <v xml:space="preserve">  </v>
      </c>
      <c r="D23" s="191" t="str">
        <f>IF('levy page11'!$D$33&gt;0,'levy page11'!$D$33,"  ")</f>
        <v xml:space="preserve">  </v>
      </c>
      <c r="E23" s="58" t="str">
        <f>IF(inputOth!D28&gt;0,inputOth!D28,"  ")</f>
        <v xml:space="preserve">  </v>
      </c>
      <c r="F23" s="191" t="str">
        <f>IF('levy page11'!$E$33&gt;0,'levy page11'!$E$33,"  ")</f>
        <v xml:space="preserve">  </v>
      </c>
      <c r="G23" s="191" t="str">
        <f>IF('levy page11'!$E$40&lt;&gt;0,'levy page11'!$E$40,"  ")</f>
        <v xml:space="preserve">  </v>
      </c>
      <c r="H23" s="58" t="str">
        <f>IF('levy page11'!E40&lt;&gt;0,ROUND(G23/$F$48*1000,3),"  ")</f>
        <v xml:space="preserve">  </v>
      </c>
    </row>
    <row r="24" spans="1:13">
      <c r="A24" s="67" t="str">
        <f>IF(inputPrYr!$B26&gt;"  ",(inputPrYr!$B26),"  ")</f>
        <v xml:space="preserve">  </v>
      </c>
      <c r="B24" s="191" t="str">
        <f>IF('levy page11'!$C$73&gt;0,'levy page11'!$C$73,"  ")</f>
        <v xml:space="preserve">  </v>
      </c>
      <c r="C24" s="58" t="str">
        <f>IF(inputPrYr!D72&gt;0,inputPrYr!D72,"  ")</f>
        <v xml:space="preserve">  </v>
      </c>
      <c r="D24" s="191" t="str">
        <f>IF('levy page11'!$D$73&gt;0,'levy page11'!$D$73,"  ")</f>
        <v xml:space="preserve">  </v>
      </c>
      <c r="E24" s="58" t="str">
        <f>IF(inputOth!D29&gt;0,inputOth!D29,"  ")</f>
        <v xml:space="preserve">  </v>
      </c>
      <c r="F24" s="191" t="str">
        <f>IF('levy page11'!$E$73&gt;0,'levy page11'!$E$73,"  ")</f>
        <v xml:space="preserve">  </v>
      </c>
      <c r="G24" s="191" t="str">
        <f>IF('levy page11'!$E$80&lt;&gt;0,'levy page11'!$E$80,"  ")</f>
        <v xml:space="preserve">  </v>
      </c>
      <c r="H24" s="58" t="str">
        <f>IF('levy page11'!E80&lt;&gt;0,ROUND(G24/$F$48*1000,3),"  ")</f>
        <v xml:space="preserve">  </v>
      </c>
    </row>
    <row r="25" spans="1:13">
      <c r="A25" s="67" t="str">
        <f>IF(inputPrYr!$B27&gt;"  ",(inputPrYr!$B27),"  ")</f>
        <v xml:space="preserve">  </v>
      </c>
      <c r="B25" s="191" t="str">
        <f>IF('levy page12'!$C$33&gt;0,'levy page12'!$C$33,"  ")</f>
        <v xml:space="preserve">  </v>
      </c>
      <c r="C25" s="58" t="str">
        <f>IF(inputPrYr!D73&gt;0,inputPrYr!D73,"  ")</f>
        <v xml:space="preserve">  </v>
      </c>
      <c r="D25" s="191" t="str">
        <f>IF('levy page12'!$D$33&gt;0,'levy page12'!$D$33,"  ")</f>
        <v xml:space="preserve">  </v>
      </c>
      <c r="E25" s="58" t="str">
        <f>IF(inputOth!D30&gt;0,inputOth!D30,"  ")</f>
        <v xml:space="preserve">  </v>
      </c>
      <c r="F25" s="191" t="str">
        <f>IF('levy page12'!$E$33&gt;0,'levy page12'!$E$33,"  ")</f>
        <v xml:space="preserve">  </v>
      </c>
      <c r="G25" s="191" t="str">
        <f>IF('levy page12'!$E$40&lt;&gt;0,'levy page12'!$E$40,"  ")</f>
        <v xml:space="preserve">  </v>
      </c>
      <c r="H25" s="58" t="str">
        <f>IF('levy page12'!E40&lt;&gt;0,ROUND(G25/$F$48*1000,3),"  ")</f>
        <v xml:space="preserve">  </v>
      </c>
    </row>
    <row r="26" spans="1:13">
      <c r="A26" s="67" t="str">
        <f>IF(inputPrYr!$B28&gt;"  ",(inputPrYr!$B28),"  ")</f>
        <v xml:space="preserve">  </v>
      </c>
      <c r="B26" s="191" t="str">
        <f>IF('levy page12'!$C$73&gt;0,'levy page12'!$C$73,"  ")</f>
        <v xml:space="preserve">  </v>
      </c>
      <c r="C26" s="58" t="str">
        <f>IF(inputPrYr!D74&gt;0,inputPrYr!D74,"  ")</f>
        <v xml:space="preserve">  </v>
      </c>
      <c r="D26" s="191" t="str">
        <f>IF('levy page12'!$D$73&gt;0,'levy page12'!$D$73,"  ")</f>
        <v xml:space="preserve">  </v>
      </c>
      <c r="E26" s="58" t="str">
        <f>IF(inputOth!D31&gt;0,inputOth!D31,"  ")</f>
        <v xml:space="preserve">  </v>
      </c>
      <c r="F26" s="191" t="str">
        <f>IF('levy page12'!$E$73&gt;0,'levy page12'!$E$73,"  ")</f>
        <v xml:space="preserve">  </v>
      </c>
      <c r="G26" s="191" t="str">
        <f>IF('levy page12'!$E$80&lt;&gt;0,'levy page12'!$E$80,"  ")</f>
        <v xml:space="preserve">  </v>
      </c>
      <c r="H26" s="58" t="str">
        <f>IF('levy page12'!E80&lt;&gt;0,ROUND(G26/$F$48*1000,3),"  ")</f>
        <v xml:space="preserve">  </v>
      </c>
    </row>
    <row r="27" spans="1:13">
      <c r="A27" s="67" t="str">
        <f>IF(inputPrYr!$B29&gt;"  ",(inputPrYr!$B29),"  ")</f>
        <v xml:space="preserve">  </v>
      </c>
      <c r="B27" s="191" t="str">
        <f>IF('levy page13'!$C$33&gt;0,'levy page13'!$C$33,"  ")</f>
        <v xml:space="preserve">  </v>
      </c>
      <c r="C27" s="58" t="str">
        <f>IF(inputPrYr!D75&gt;0,inputPrYr!D75,"  ")</f>
        <v xml:space="preserve">  </v>
      </c>
      <c r="D27" s="191" t="str">
        <f>IF('levy page13'!$D$33&gt;0,'levy page13'!$D$33,"  ")</f>
        <v xml:space="preserve">  </v>
      </c>
      <c r="E27" s="58" t="str">
        <f>IF(inputOth!D32&gt;0,inputOth!D32,"  ")</f>
        <v xml:space="preserve">  </v>
      </c>
      <c r="F27" s="191" t="str">
        <f>IF('levy page13'!$E$33&gt;0,'levy page13'!$E$33,"  ")</f>
        <v xml:space="preserve">  </v>
      </c>
      <c r="G27" s="191" t="str">
        <f>IF('levy page13'!$E$40&lt;&gt;0,'levy page13'!$E$40,"  ")</f>
        <v xml:space="preserve">  </v>
      </c>
      <c r="H27" s="58" t="str">
        <f>IF('levy page13'!E40&lt;&gt;0,ROUND(G27/$F$48*1000,3),"  ")</f>
        <v xml:space="preserve">  </v>
      </c>
    </row>
    <row r="28" spans="1:13">
      <c r="A28" s="67" t="str">
        <f>IF(inputPrYr!$B30&gt;"  ",(inputPrYr!$B30),"  ")</f>
        <v xml:space="preserve">  </v>
      </c>
      <c r="B28" s="191" t="str">
        <f>IF('levy page13'!$C$73&gt;0,'levy page13'!$C$73,"  ")</f>
        <v xml:space="preserve">  </v>
      </c>
      <c r="C28" s="58" t="str">
        <f>IF(inputPrYr!D76&gt;0,inputPrYr!D76,"  ")</f>
        <v xml:space="preserve">  </v>
      </c>
      <c r="D28" s="191" t="str">
        <f>IF('levy page13'!$D$73&gt;0,'levy page13'!$D$73,"  ")</f>
        <v xml:space="preserve">  </v>
      </c>
      <c r="E28" s="58" t="str">
        <f>IF(inputOth!D33&gt;0,inputOth!D33,"  ")</f>
        <v xml:space="preserve">  </v>
      </c>
      <c r="F28" s="191" t="str">
        <f>IF('levy page13'!$E$73&gt;0,'levy page13'!$E$73,"  ")</f>
        <v xml:space="preserve">  </v>
      </c>
      <c r="G28" s="191" t="str">
        <f>IF('levy page13'!$E$80&lt;&gt;0,'levy page13'!$E$80,"  ")</f>
        <v xml:space="preserve">  </v>
      </c>
      <c r="H28" s="58" t="str">
        <f>IF('levy page13'!E80&lt;&gt;0,ROUND(G28/$F$48*1000,3),"  ")</f>
        <v xml:space="preserve">  </v>
      </c>
    </row>
    <row r="29" spans="1:13">
      <c r="A29" s="67" t="str">
        <f>IF(inputPrYr!$B34&gt;"  ",(inputPrYr!$B34),"  ")</f>
        <v>Special Highway</v>
      </c>
      <c r="B29" s="191">
        <f>IF('Sp Hwy-Sp Parks'!$C$28&gt;0,'Sp Hwy-Sp Parks'!$C$28,"  ")</f>
        <v>33112</v>
      </c>
      <c r="C29" s="47"/>
      <c r="D29" s="191">
        <f>IF('Sp Hwy-Sp Parks'!$D$28&gt;0,'Sp Hwy-Sp Parks'!$D$28,"  ")</f>
        <v>33006</v>
      </c>
      <c r="E29" s="47"/>
      <c r="F29" s="191">
        <f>IF('Sp Hwy-Sp Parks'!$E$28&gt;0,'Sp Hwy-Sp Parks'!$E$28,"  ")</f>
        <v>32318</v>
      </c>
      <c r="G29" s="191"/>
      <c r="H29" s="47"/>
    </row>
    <row r="30" spans="1:13">
      <c r="A30" s="67" t="str">
        <f>IF(inputPrYr!$B35&gt;"  ",(inputPrYr!$B35),"  ")</f>
        <v>Special Parks &amp; Recreation</v>
      </c>
      <c r="B30" s="191" t="str">
        <f>IF('Sp Hwy-Sp Parks'!$C$59&gt;0,'Sp Hwy-Sp Parks'!$C$59,"  ")</f>
        <v xml:space="preserve">  </v>
      </c>
      <c r="C30" s="47"/>
      <c r="D30" s="191" t="str">
        <f>IF('Sp Hwy-Sp Parks'!$D$59&gt;0,'Sp Hwy-Sp Parks'!$D$59,"  ")</f>
        <v xml:space="preserve">  </v>
      </c>
      <c r="E30" s="47"/>
      <c r="F30" s="191">
        <f>IF('Sp Hwy-Sp Parks'!$E$59&gt;0,'Sp Hwy-Sp Parks'!$E$59,"  ")</f>
        <v>3851</v>
      </c>
      <c r="G30" s="191"/>
      <c r="H30" s="47"/>
    </row>
    <row r="31" spans="1:13">
      <c r="A31" s="67" t="str">
        <f>IF(inputPrYr!$B36&gt;"  ",(inputPrYr!$B36),"  ")</f>
        <v>Fuller Cemetery</v>
      </c>
      <c r="B31" s="191">
        <f>IF('Fuller-Refuse'!$C$28&gt;0,'Fuller-Refuse'!$C$28,"  ")</f>
        <v>7575</v>
      </c>
      <c r="C31" s="47"/>
      <c r="D31" s="191">
        <f>IF('Fuller-Refuse'!$D$28&gt;0,'Fuller-Refuse'!$D$28,"  ")</f>
        <v>11323</v>
      </c>
      <c r="E31" s="47"/>
      <c r="F31" s="191">
        <f>IF('Fuller-Refuse'!$E$28&gt;0,'Fuller-Refuse'!$E$28,"  ")</f>
        <v>53158</v>
      </c>
      <c r="G31" s="191"/>
      <c r="H31" s="47"/>
    </row>
    <row r="32" spans="1:13">
      <c r="A32" s="67" t="str">
        <f>IF(inputPrYr!$B37&gt;"  ",(inputPrYr!$B37),"  ")</f>
        <v>Refuse Utiltiy</v>
      </c>
      <c r="B32" s="191">
        <f>IF('Fuller-Refuse'!$C$59&gt;0,'Fuller-Refuse'!$C$59,"  ")</f>
        <v>157980</v>
      </c>
      <c r="C32" s="47"/>
      <c r="D32" s="191">
        <f>IF('Fuller-Refuse'!$D$59&gt;0,'Fuller-Refuse'!$D$59,"  ")</f>
        <v>194458</v>
      </c>
      <c r="E32" s="47"/>
      <c r="F32" s="191">
        <f>IF('Fuller-Refuse'!$E$59&gt;0,'Fuller-Refuse'!$E$59,"  ")</f>
        <v>176800</v>
      </c>
      <c r="G32" s="191"/>
      <c r="H32" s="47"/>
      <c r="J32" s="860" t="str">
        <f>CONCATENATE("Estimated Value Of One Mill For ",H1,"")</f>
        <v>Estimated Value Of One Mill For 2014</v>
      </c>
      <c r="K32" s="861"/>
      <c r="L32" s="861"/>
      <c r="M32" s="862"/>
    </row>
    <row r="33" spans="1:13">
      <c r="A33" s="67" t="str">
        <f>IF(inputPrYr!$B38&gt;"  ",(inputPrYr!$B38),"  ")</f>
        <v xml:space="preserve">  </v>
      </c>
      <c r="B33" s="191" t="str">
        <f>IF('Bed Tax'!$C$28&gt;0,'Bed Tax'!$C$28,"  ")</f>
        <v xml:space="preserve">  </v>
      </c>
      <c r="C33" s="47"/>
      <c r="D33" s="191" t="str">
        <f>IF('Bed Tax'!$D$28&gt;0,'Bed Tax'!$D$28,"  ")</f>
        <v xml:space="preserve">  </v>
      </c>
      <c r="E33" s="47"/>
      <c r="F33" s="191" t="str">
        <f>IF('Bed Tax'!$E$28&gt;0,'Bed Tax'!$E$28,"  ")</f>
        <v xml:space="preserve">  </v>
      </c>
      <c r="G33" s="191"/>
      <c r="H33" s="47"/>
      <c r="J33" s="493"/>
      <c r="K33" s="494"/>
      <c r="L33" s="494"/>
      <c r="M33" s="495"/>
    </row>
    <row r="34" spans="1:13">
      <c r="A34" s="67" t="str">
        <f>IF(inputPrYr!$B39&gt;"  ",(inputPrYr!$B39),"  ")</f>
        <v>Bed Tax</v>
      </c>
      <c r="B34" s="191">
        <f>IF('Bed Tax'!$C$59&gt;0,'Bed Tax'!$C$59,"  ")</f>
        <v>4000</v>
      </c>
      <c r="C34" s="47"/>
      <c r="D34" s="191">
        <f>IF('Bed Tax'!$D$59&gt;0,'Bed Tax'!$D$59,"  ")</f>
        <v>5000</v>
      </c>
      <c r="E34" s="47"/>
      <c r="F34" s="191">
        <f>IF('Bed Tax'!$E$59&gt;0,'Bed Tax'!$E$59,"  ")</f>
        <v>5000</v>
      </c>
      <c r="G34" s="191"/>
      <c r="H34" s="47"/>
      <c r="J34" s="496" t="s">
        <v>750</v>
      </c>
      <c r="K34" s="497"/>
      <c r="L34" s="497"/>
      <c r="M34" s="498">
        <f>ROUND(F48/1000,0)</f>
        <v>6476</v>
      </c>
    </row>
    <row r="35" spans="1:13">
      <c r="A35" s="67" t="str">
        <f>IF(inputPrYr!$B40&gt;"  ",(inputPrYr!$B40),"  ")</f>
        <v>Water Utiltiy</v>
      </c>
      <c r="B35" s="191">
        <f>IF(Water!$C$28&gt;0,Water!$C$28,"  ")</f>
        <v>259421</v>
      </c>
      <c r="C35" s="47"/>
      <c r="D35" s="191">
        <f>IF(Water!$D$28&gt;0,Water!$D$28,"  ")</f>
        <v>273808</v>
      </c>
      <c r="E35" s="47"/>
      <c r="F35" s="191">
        <f>IF(Water!$E$28&gt;0,Water!$E$28,"  ")</f>
        <v>354100</v>
      </c>
      <c r="G35" s="191"/>
      <c r="H35" s="47"/>
    </row>
    <row r="36" spans="1:13">
      <c r="A36" s="67" t="str">
        <f>IF(inputPrYr!$B41&gt;"  ",(inputPrYr!$B41),"  ")</f>
        <v xml:space="preserve">  </v>
      </c>
      <c r="B36" s="191" t="str">
        <f>IF(Water!$C$60&gt;0,Water!$C$60,"  ")</f>
        <v xml:space="preserve">  </v>
      </c>
      <c r="C36" s="47"/>
      <c r="D36" s="191" t="str">
        <f>IF(Water!$D$60&gt;0,Water!$D$60,"  ")</f>
        <v xml:space="preserve">  </v>
      </c>
      <c r="E36" s="47"/>
      <c r="F36" s="191" t="str">
        <f>IF(Water!$E$60&gt;0,Water!$E$60,"  ")</f>
        <v xml:space="preserve">  </v>
      </c>
      <c r="G36" s="191"/>
      <c r="H36" s="47"/>
      <c r="J36" s="860" t="str">
        <f>CONCATENATE("Want The Mill Rate The Same As For ",H1-1,"?")</f>
        <v>Want The Mill Rate The Same As For 2013?</v>
      </c>
      <c r="K36" s="861"/>
      <c r="L36" s="861"/>
      <c r="M36" s="862"/>
    </row>
    <row r="37" spans="1:13">
      <c r="A37" s="67" t="str">
        <f>IF(inputPrYr!$B44&gt;"  ",(inputPrYr!$B44),"  ")</f>
        <v xml:space="preserve">  </v>
      </c>
      <c r="B37" s="191" t="str">
        <f>IF(SinNoLevy18!$C$47&gt;0,SinNoLevy18!$C$47,"  ")</f>
        <v xml:space="preserve">  </v>
      </c>
      <c r="C37" s="47"/>
      <c r="D37" s="191" t="str">
        <f>IF(SinNoLevy18!$D$47&gt;0,SinNoLevy18!$D$47,"  ")</f>
        <v xml:space="preserve">  </v>
      </c>
      <c r="E37" s="47"/>
      <c r="F37" s="191" t="str">
        <f>IF(SinNoLevy18!$E$47&gt;0,SinNoLevy18!$E$47,"  ")</f>
        <v xml:space="preserve">  </v>
      </c>
      <c r="G37" s="191"/>
      <c r="H37" s="47"/>
      <c r="J37" s="500"/>
      <c r="K37" s="494"/>
      <c r="L37" s="494"/>
      <c r="M37" s="501"/>
    </row>
    <row r="38" spans="1:13">
      <c r="A38" s="67" t="str">
        <f>IF(inputPrYr!$B45&gt;"  ",(inputPrYr!$B45),"  ")</f>
        <v xml:space="preserve">  </v>
      </c>
      <c r="B38" s="191" t="str">
        <f>IF(SinNoLevy19!$C$47&gt;0,SinNoLevy19!$C$47,"  ")</f>
        <v xml:space="preserve">  </v>
      </c>
      <c r="C38" s="47"/>
      <c r="D38" s="191" t="str">
        <f>IF(SinNoLevy19!$D$47&gt;0,SinNoLevy19!$D$47,"  ")</f>
        <v xml:space="preserve">  </v>
      </c>
      <c r="E38" s="47"/>
      <c r="F38" s="191" t="str">
        <f>IF(SinNoLevy19!$E$47&gt;0,SinNoLevy19!$E$47,"  ")</f>
        <v xml:space="preserve">  </v>
      </c>
      <c r="G38" s="191"/>
      <c r="H38" s="47"/>
      <c r="J38" s="500" t="str">
        <f>CONCATENATE("",H1-1," Mill Rate Was:")</f>
        <v>2013 Mill Rate Was:</v>
      </c>
      <c r="K38" s="494"/>
      <c r="L38" s="494"/>
      <c r="M38" s="502">
        <f>E43</f>
        <v>48.61</v>
      </c>
    </row>
    <row r="39" spans="1:13">
      <c r="A39" s="67" t="str">
        <f>IF(inputPrYr!$B46&gt;"  ",(inputPrYr!$B46),"  ")</f>
        <v xml:space="preserve">  </v>
      </c>
      <c r="B39" s="191" t="str">
        <f>IF(SinNoLevy20!$C$47&gt;0,SinNoLevy20!$C$47,"  ")</f>
        <v xml:space="preserve">  </v>
      </c>
      <c r="C39" s="47"/>
      <c r="D39" s="191" t="str">
        <f>IF(SinNoLevy20!$D$47&gt;0,SinNoLevy20!$D$47,"  ")</f>
        <v xml:space="preserve">  </v>
      </c>
      <c r="E39" s="47"/>
      <c r="F39" s="191" t="str">
        <f>IF(SinNoLevy20!$E$47&gt;0,SinNoLevy20!$E$47,"  ")</f>
        <v xml:space="preserve">  </v>
      </c>
      <c r="G39" s="191"/>
      <c r="H39" s="47"/>
      <c r="J39" s="503" t="str">
        <f>CONCATENATE("",H1," Tax Levy Fund Expenditures Must Be")</f>
        <v>2014 Tax Levy Fund Expenditures Must Be</v>
      </c>
      <c r="K39" s="504"/>
      <c r="L39" s="504"/>
      <c r="M39" s="501"/>
    </row>
    <row r="40" spans="1:13">
      <c r="A40" s="67" t="str">
        <f>IF(inputPrYr!$B47&gt;"  ",(inputPrYr!$B47),"  ")</f>
        <v xml:space="preserve">  </v>
      </c>
      <c r="B40" s="191" t="str">
        <f>IF(SinNoLevy21!$C$47&gt;0,SinNoLevy21!$C$47,"  ")</f>
        <v xml:space="preserve">  </v>
      </c>
      <c r="C40" s="47"/>
      <c r="D40" s="191" t="str">
        <f>IF(SinNoLevy21!$D$47&gt;0,SinNoLevy21!$D$47,"  ")</f>
        <v xml:space="preserve">  </v>
      </c>
      <c r="E40" s="47"/>
      <c r="F40" s="191" t="str">
        <f>IF(SinNoLevy21!$E$47&gt;0,SinNoLevy21!$E$47,"  ")</f>
        <v xml:space="preserve">  </v>
      </c>
      <c r="G40" s="191"/>
      <c r="H40" s="47"/>
      <c r="J40" s="503" t="str">
        <f>IF(M40&gt;0,"Increased By:","")</f>
        <v>Increased By:</v>
      </c>
      <c r="K40" s="504"/>
      <c r="L40" s="504"/>
      <c r="M40" s="544">
        <f>IF(M47&lt;0,M47*-1,0)</f>
        <v>12676.920000000042</v>
      </c>
    </row>
    <row r="41" spans="1:13">
      <c r="A41" s="67" t="str">
        <f>IF(inputPrYr!$B51&gt;" ",('Cap Imp-Eq Res'!$A3),"  ")</f>
        <v>Non-Budgeted Funds-A</v>
      </c>
      <c r="B41" s="191">
        <f>IF('Cap Imp-Eq Res'!$K$28&gt;0,'Cap Imp-Eq Res'!$K$28,"  ")</f>
        <v>29973</v>
      </c>
      <c r="C41" s="47"/>
      <c r="D41" s="191"/>
      <c r="E41" s="47"/>
      <c r="F41" s="191"/>
      <c r="G41" s="191"/>
      <c r="H41" s="47"/>
      <c r="J41" s="545" t="str">
        <f>IF(M41&lt;0,"Reduced By:","")</f>
        <v/>
      </c>
      <c r="K41" s="546"/>
      <c r="L41" s="546"/>
      <c r="M41" s="547">
        <f>IF(M47&gt;0,M47*-1,0)</f>
        <v>0</v>
      </c>
    </row>
    <row r="42" spans="1:13">
      <c r="A42" s="67" t="str">
        <f>IF(inputPrYr!$B57&gt;" ",(NonBudB!$A3),"  ")</f>
        <v xml:space="preserve">  </v>
      </c>
      <c r="B42" s="412" t="str">
        <f>IF(NonBudB!$K$28&gt;0,NonBudB!$K$28,"  ")</f>
        <v xml:space="preserve">  </v>
      </c>
      <c r="C42" s="132"/>
      <c r="D42" s="412"/>
      <c r="E42" s="132"/>
      <c r="F42" s="412"/>
      <c r="G42" s="412"/>
      <c r="H42" s="132"/>
      <c r="J42" s="507"/>
      <c r="K42" s="507"/>
      <c r="L42" s="507"/>
      <c r="M42" s="507"/>
    </row>
    <row r="43" spans="1:13">
      <c r="A43" s="123" t="s">
        <v>758</v>
      </c>
      <c r="B43" s="379">
        <f>SUM(B16:B42)</f>
        <v>1131634.82</v>
      </c>
      <c r="C43" s="383">
        <f>SUM(C16:C28)</f>
        <v>42.214999999999996</v>
      </c>
      <c r="D43" s="379">
        <f>SUM(D16:D42)</f>
        <v>1175574</v>
      </c>
      <c r="E43" s="383">
        <f>SUM(E16:E28)</f>
        <v>48.61</v>
      </c>
      <c r="F43" s="379">
        <f>SUM(F16:F42)</f>
        <v>1627877</v>
      </c>
      <c r="G43" s="379">
        <f>SUM(G16:G42)</f>
        <v>302112.07999999996</v>
      </c>
      <c r="H43" s="405">
        <f>SUM(H16:H28)</f>
        <v>46.652000000000001</v>
      </c>
      <c r="J43" s="860" t="str">
        <f>CONCATENATE("Impact On Keeping The Same Mill Rate As For ",H1-1,"")</f>
        <v>Impact On Keeping The Same Mill Rate As For 2013</v>
      </c>
      <c r="K43" s="865"/>
      <c r="L43" s="865"/>
      <c r="M43" s="866"/>
    </row>
    <row r="44" spans="1:13">
      <c r="A44" s="28" t="s">
        <v>50</v>
      </c>
      <c r="B44" s="411">
        <f>transfers!C28</f>
        <v>92500</v>
      </c>
      <c r="C44" s="516"/>
      <c r="D44" s="411">
        <f>transfers!D28</f>
        <v>95500</v>
      </c>
      <c r="E44" s="516"/>
      <c r="F44" s="411">
        <f>transfers!E28</f>
        <v>170000</v>
      </c>
      <c r="G44" s="57"/>
      <c r="H44" s="51"/>
      <c r="I44" s="491"/>
      <c r="J44" s="500"/>
      <c r="K44" s="494"/>
      <c r="L44" s="494"/>
      <c r="M44" s="501"/>
    </row>
    <row r="45" spans="1:13" ht="16.5" thickBot="1">
      <c r="A45" s="28" t="s">
        <v>51</v>
      </c>
      <c r="B45" s="380">
        <f>B43-B44</f>
        <v>1039134.8200000001</v>
      </c>
      <c r="C45" s="21"/>
      <c r="D45" s="380">
        <f>D43-D44</f>
        <v>1080074</v>
      </c>
      <c r="E45" s="21"/>
      <c r="F45" s="380">
        <f>F43-F44</f>
        <v>1457877</v>
      </c>
      <c r="G45" s="21"/>
      <c r="H45" s="21"/>
      <c r="J45" s="500" t="str">
        <f>CONCATENATE("",H1," Ad Valorem Tax Revenue:")</f>
        <v>2014 Ad Valorem Tax Revenue:</v>
      </c>
      <c r="K45" s="494"/>
      <c r="L45" s="494"/>
      <c r="M45" s="495">
        <f>G43</f>
        <v>302112.07999999996</v>
      </c>
    </row>
    <row r="46" spans="1:13" ht="16.5" thickTop="1">
      <c r="A46" s="28" t="s">
        <v>52</v>
      </c>
      <c r="B46" s="411">
        <f>inputPrYr!E79</f>
        <v>253349</v>
      </c>
      <c r="C46" s="150"/>
      <c r="D46" s="411">
        <f>inputPrYr!E31</f>
        <v>304504</v>
      </c>
      <c r="E46" s="150"/>
      <c r="F46" s="303" t="s">
        <v>13</v>
      </c>
      <c r="G46" s="21"/>
      <c r="H46" s="21"/>
      <c r="J46" s="500" t="str">
        <f>CONCATENATE("",H1-1," Ad Valorem Tax Revenue:")</f>
        <v>2013 Ad Valorem Tax Revenue:</v>
      </c>
      <c r="K46" s="494"/>
      <c r="L46" s="494"/>
      <c r="M46" s="508">
        <f>ROUND(F48*M38/1000,0)</f>
        <v>314789</v>
      </c>
    </row>
    <row r="47" spans="1:13">
      <c r="A47" s="28" t="s">
        <v>53</v>
      </c>
      <c r="B47" s="412"/>
      <c r="C47" s="21"/>
      <c r="D47" s="412"/>
      <c r="E47" s="168"/>
      <c r="F47" s="132"/>
      <c r="G47" s="21"/>
      <c r="H47" s="21"/>
      <c r="J47" s="505" t="s">
        <v>751</v>
      </c>
      <c r="K47" s="506"/>
      <c r="L47" s="506"/>
      <c r="M47" s="498">
        <f>SUM(M45-M46)</f>
        <v>-12676.920000000042</v>
      </c>
    </row>
    <row r="48" spans="1:13">
      <c r="A48" s="28" t="s">
        <v>54</v>
      </c>
      <c r="B48" s="411">
        <f>inputPrYr!E80</f>
        <v>6001675</v>
      </c>
      <c r="C48" s="59"/>
      <c r="D48" s="411">
        <f>inputOth!E36</f>
        <v>6264345</v>
      </c>
      <c r="E48" s="59"/>
      <c r="F48" s="411">
        <f>inputOth!E7</f>
        <v>6475812</v>
      </c>
      <c r="G48" s="21"/>
      <c r="H48" s="21"/>
      <c r="J48" s="499"/>
      <c r="K48" s="499"/>
      <c r="L48" s="499"/>
      <c r="M48" s="507"/>
    </row>
    <row r="49" spans="1:13">
      <c r="A49" s="28" t="s">
        <v>55</v>
      </c>
      <c r="B49" s="21"/>
      <c r="C49" s="21"/>
      <c r="D49" s="21"/>
      <c r="E49" s="21"/>
      <c r="F49" s="21"/>
      <c r="G49" s="21"/>
      <c r="H49" s="21"/>
      <c r="J49" s="860" t="s">
        <v>752</v>
      </c>
      <c r="K49" s="863"/>
      <c r="L49" s="863"/>
      <c r="M49" s="864"/>
    </row>
    <row r="50" spans="1:13">
      <c r="A50" s="28" t="s">
        <v>56</v>
      </c>
      <c r="B50" s="304">
        <f>$H$1-3</f>
        <v>2011</v>
      </c>
      <c r="C50" s="21"/>
      <c r="D50" s="304">
        <f>$H$1-2</f>
        <v>2012</v>
      </c>
      <c r="E50" s="21"/>
      <c r="F50" s="304">
        <f>$H$1-1</f>
        <v>2013</v>
      </c>
      <c r="G50" s="21"/>
      <c r="H50" s="21"/>
      <c r="J50" s="500"/>
      <c r="K50" s="494"/>
      <c r="L50" s="494"/>
      <c r="M50" s="501"/>
    </row>
    <row r="51" spans="1:13">
      <c r="A51" s="28" t="s">
        <v>57</v>
      </c>
      <c r="B51" s="181">
        <f>inputPrYr!D83</f>
        <v>420000</v>
      </c>
      <c r="C51" s="21"/>
      <c r="D51" s="181">
        <f>inputPrYr!E83</f>
        <v>400000</v>
      </c>
      <c r="E51" s="21"/>
      <c r="F51" s="181">
        <f>debt!G20</f>
        <v>380000</v>
      </c>
      <c r="G51" s="21"/>
      <c r="H51" s="21"/>
      <c r="J51" s="500" t="str">
        <f>CONCATENATE("Current ",H1," Estimated Mill Rate:")</f>
        <v>Current 2014 Estimated Mill Rate:</v>
      </c>
      <c r="K51" s="494"/>
      <c r="L51" s="494"/>
      <c r="M51" s="502">
        <f>H43</f>
        <v>46.652000000000001</v>
      </c>
    </row>
    <row r="52" spans="1:13">
      <c r="A52" s="28" t="s">
        <v>58</v>
      </c>
      <c r="B52" s="181">
        <f>inputPrYr!D84</f>
        <v>0</v>
      </c>
      <c r="C52" s="21"/>
      <c r="D52" s="181">
        <f>inputPrYr!E84</f>
        <v>0</v>
      </c>
      <c r="E52" s="21"/>
      <c r="F52" s="181">
        <f>debt!G32</f>
        <v>0</v>
      </c>
      <c r="G52" s="21"/>
      <c r="H52" s="21"/>
      <c r="J52" s="500" t="str">
        <f>CONCATENATE("Desired ",H1," Mill Rate:")</f>
        <v>Desired 2014 Mill Rate:</v>
      </c>
      <c r="K52" s="494"/>
      <c r="L52" s="494"/>
      <c r="M52" s="492">
        <v>0</v>
      </c>
    </row>
    <row r="53" spans="1:13">
      <c r="A53" s="21" t="s">
        <v>76</v>
      </c>
      <c r="B53" s="181">
        <f>inputPrYr!D85</f>
        <v>186126</v>
      </c>
      <c r="C53" s="21"/>
      <c r="D53" s="181">
        <f>inputPrYr!E85</f>
        <v>178224</v>
      </c>
      <c r="E53" s="21"/>
      <c r="F53" s="181">
        <f>debt!G42</f>
        <v>170010</v>
      </c>
      <c r="G53" s="21"/>
      <c r="H53" s="21"/>
      <c r="J53" s="500" t="s">
        <v>753</v>
      </c>
      <c r="K53" s="494"/>
      <c r="L53" s="494"/>
      <c r="M53" s="508">
        <f>ROUND(F48*M52/1000,0)</f>
        <v>0</v>
      </c>
    </row>
    <row r="54" spans="1:13">
      <c r="A54" s="28" t="s">
        <v>153</v>
      </c>
      <c r="B54" s="181">
        <f>inputPrYr!D86</f>
        <v>6455</v>
      </c>
      <c r="C54" s="21"/>
      <c r="D54" s="181">
        <f>inputPrYr!E86</f>
        <v>1670</v>
      </c>
      <c r="E54" s="21"/>
      <c r="F54" s="181">
        <f>lpform!G28</f>
        <v>0</v>
      </c>
      <c r="G54" s="21"/>
      <c r="H54" s="21"/>
      <c r="J54" s="505" t="str">
        <f>CONCATENATE("",H1," Tax Levy Fund Exp. Changed By:")</f>
        <v>2014 Tax Levy Fund Exp. Changed By:</v>
      </c>
      <c r="K54" s="506"/>
      <c r="L54" s="506"/>
      <c r="M54" s="498">
        <f>IF(M52=0,0,(M53-G43))</f>
        <v>0</v>
      </c>
    </row>
    <row r="55" spans="1:13" ht="16.5" thickBot="1">
      <c r="A55" s="28" t="s">
        <v>59</v>
      </c>
      <c r="B55" s="509">
        <f>SUM(B51:B54)</f>
        <v>612581</v>
      </c>
      <c r="C55" s="21"/>
      <c r="D55" s="509">
        <f>SUM(D51:D54)</f>
        <v>579894</v>
      </c>
      <c r="E55" s="21"/>
      <c r="F55" s="509">
        <f>SUM(F51:F54)</f>
        <v>550010</v>
      </c>
      <c r="G55" s="21"/>
      <c r="H55" s="21"/>
    </row>
    <row r="56" spans="1:13" ht="16.5" thickTop="1">
      <c r="A56" s="28" t="s">
        <v>60</v>
      </c>
      <c r="B56" s="21"/>
      <c r="C56" s="21"/>
      <c r="D56" s="21"/>
      <c r="E56" s="21"/>
      <c r="F56" s="21"/>
      <c r="G56" s="21"/>
      <c r="H56" s="21"/>
    </row>
    <row r="57" spans="1:13">
      <c r="A57" s="21"/>
      <c r="B57" s="21"/>
      <c r="C57" s="21"/>
      <c r="D57" s="21"/>
      <c r="E57" s="21"/>
      <c r="F57" s="21"/>
      <c r="G57" s="21"/>
      <c r="H57" s="21"/>
    </row>
    <row r="58" spans="1:13">
      <c r="A58" s="867" t="str">
        <f>inputBudSum!B3</f>
        <v>Janet Bainter</v>
      </c>
      <c r="B58" s="868"/>
      <c r="C58" s="21"/>
      <c r="D58" s="21"/>
      <c r="E58" s="21"/>
      <c r="F58" s="21"/>
      <c r="G58" s="21"/>
      <c r="H58" s="21"/>
    </row>
    <row r="59" spans="1:13">
      <c r="A59" s="146" t="s">
        <v>214</v>
      </c>
      <c r="B59" s="671" t="str">
        <f>inputBudSum!B5</f>
        <v>City Clerk</v>
      </c>
      <c r="C59" s="386"/>
      <c r="D59" s="21"/>
      <c r="E59" s="21"/>
      <c r="F59" s="21"/>
      <c r="G59" s="21"/>
      <c r="H59" s="21"/>
    </row>
    <row r="60" spans="1:13">
      <c r="A60" s="21"/>
      <c r="B60" s="21"/>
      <c r="C60" s="21"/>
      <c r="D60" s="21"/>
      <c r="E60" s="21"/>
      <c r="F60" s="21"/>
      <c r="G60" s="21"/>
      <c r="H60" s="21"/>
    </row>
    <row r="61" spans="1:13">
      <c r="A61" s="21"/>
      <c r="B61" s="21"/>
      <c r="C61" s="118" t="s">
        <v>34</v>
      </c>
      <c r="D61" s="248">
        <v>17</v>
      </c>
      <c r="E61" s="21"/>
      <c r="F61" s="21"/>
      <c r="G61" s="21"/>
      <c r="H61" s="21"/>
    </row>
  </sheetData>
  <sheetProtection sheet="1"/>
  <mergeCells count="11">
    <mergeCell ref="A2:H2"/>
    <mergeCell ref="A5:H5"/>
    <mergeCell ref="A7:H7"/>
    <mergeCell ref="A8:H8"/>
    <mergeCell ref="A4:H4"/>
    <mergeCell ref="A6:H6"/>
    <mergeCell ref="J32:M32"/>
    <mergeCell ref="J36:M36"/>
    <mergeCell ref="J49:M49"/>
    <mergeCell ref="J43:M43"/>
    <mergeCell ref="A58:B58"/>
  </mergeCells>
  <phoneticPr fontId="0" type="noConversion"/>
  <pageMargins left="0.5" right="0.5" top="1" bottom="0.5" header="0.5" footer="0.5"/>
  <pageSetup scale="66" orientation="portrait" blackAndWhite="1" r:id="rId1"/>
  <headerFooter alignWithMargins="0">
    <oddHeader xml:space="preserve">&amp;RState of Kansas
City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F41"/>
  <sheetViews>
    <sheetView workbookViewId="0">
      <selection activeCell="C12" sqref="C12"/>
    </sheetView>
  </sheetViews>
  <sheetFormatPr defaultRowHeight="15"/>
  <cols>
    <col min="1" max="1" width="10.77734375" style="82" customWidth="1"/>
    <col min="2" max="2" width="15.5546875" style="82" customWidth="1"/>
    <col min="3" max="4" width="12.77734375" style="82" customWidth="1"/>
    <col min="5" max="5" width="11.77734375" style="82" customWidth="1"/>
    <col min="6" max="16384" width="8.88671875" style="82"/>
  </cols>
  <sheetData>
    <row r="1" spans="1:6" ht="15.75">
      <c r="A1" s="150" t="str">
        <f>inputPrYr!D2</f>
        <v>CITY OF HOXIE</v>
      </c>
      <c r="B1" s="21"/>
      <c r="C1" s="21"/>
      <c r="D1" s="21"/>
      <c r="E1" s="21"/>
      <c r="F1" s="21">
        <f>inputPrYr!C5</f>
        <v>2014</v>
      </c>
    </row>
    <row r="2" spans="1:6" ht="15.75">
      <c r="A2" s="21"/>
      <c r="B2" s="21"/>
      <c r="C2" s="21"/>
      <c r="D2" s="21"/>
      <c r="E2" s="21"/>
      <c r="F2" s="21"/>
    </row>
    <row r="3" spans="1:6" ht="15.75">
      <c r="A3" s="21"/>
      <c r="B3" s="819" t="str">
        <f>CONCATENATE("",F1," Neighborhood Revitalization Rebate")</f>
        <v>2014 Neighborhood Revitalization Rebate</v>
      </c>
      <c r="C3" s="872"/>
      <c r="D3" s="872"/>
      <c r="E3" s="872"/>
      <c r="F3" s="21"/>
    </row>
    <row r="4" spans="1:6" ht="15.75">
      <c r="A4" s="21"/>
      <c r="B4" s="21"/>
      <c r="C4" s="21"/>
      <c r="D4" s="21"/>
      <c r="E4" s="21"/>
      <c r="F4" s="77"/>
    </row>
    <row r="5" spans="1:6" ht="51.75" customHeight="1">
      <c r="A5" s="21"/>
      <c r="B5" s="306" t="str">
        <f>CONCATENATE("Budgeted Funds          for ",F1,"")</f>
        <v>Budgeted Funds          for 2014</v>
      </c>
      <c r="C5" s="306" t="str">
        <f>CONCATENATE("",F1-1," Ad Valorem before Rebate**")</f>
        <v>2013 Ad Valorem before Rebate**</v>
      </c>
      <c r="D5" s="307" t="str">
        <f>CONCATENATE("",F1-1," Mil Rate before Rebate")</f>
        <v>2013 Mil Rate before Rebate</v>
      </c>
      <c r="E5" s="308" t="str">
        <f>CONCATENATE("Estimate ",F1," NR Rebate")</f>
        <v>Estimate 2014 NR Rebate</v>
      </c>
      <c r="F5" s="77"/>
    </row>
    <row r="6" spans="1:6" ht="18" customHeight="1">
      <c r="A6" s="21"/>
      <c r="B6" s="46" t="s">
        <v>334</v>
      </c>
      <c r="C6" s="309">
        <v>84525</v>
      </c>
      <c r="D6" s="310">
        <f>IF(C6&gt;0,C6/$D$24,"")</f>
        <v>13.052417210382266</v>
      </c>
      <c r="E6" s="181">
        <f t="shared" ref="E6:E17" si="0">IF(C6&gt;0,ROUND(D6*$D$28,0),"")</f>
        <v>1635</v>
      </c>
      <c r="F6" s="77"/>
    </row>
    <row r="7" spans="1:6" ht="15.75">
      <c r="A7" s="21"/>
      <c r="B7" s="46" t="str">
        <f>inputPrYr!B18</f>
        <v>Debt Service</v>
      </c>
      <c r="C7" s="309">
        <v>19794</v>
      </c>
      <c r="D7" s="310">
        <f t="shared" ref="D7:D17" si="1">IF(C7&gt;0,C7/$D$24,"")</f>
        <v>3.0566051021864129</v>
      </c>
      <c r="E7" s="181">
        <f t="shared" si="0"/>
        <v>383</v>
      </c>
      <c r="F7" s="77"/>
    </row>
    <row r="8" spans="1:6" ht="15.75">
      <c r="A8" s="21"/>
      <c r="B8" s="67" t="str">
        <f>IF((inputPrYr!$B19&gt;"  "),(inputPrYr!$B19),"  ")</f>
        <v>Library</v>
      </c>
      <c r="C8" s="309">
        <v>29498</v>
      </c>
      <c r="D8" s="310">
        <f t="shared" si="1"/>
        <v>4.5551044409565939</v>
      </c>
      <c r="E8" s="181">
        <f t="shared" si="0"/>
        <v>571</v>
      </c>
      <c r="F8" s="77"/>
    </row>
    <row r="9" spans="1:6" ht="15.75">
      <c r="A9" s="21"/>
      <c r="B9" s="67" t="str">
        <f>IF((inputPrYr!$B21&gt;"  "),(inputPrYr!$B21),"  ")</f>
        <v>Employee Benefits</v>
      </c>
      <c r="C9" s="309">
        <v>104275</v>
      </c>
      <c r="D9" s="310">
        <f t="shared" si="1"/>
        <v>16.102227797842186</v>
      </c>
      <c r="E9" s="181">
        <f t="shared" si="0"/>
        <v>2017</v>
      </c>
      <c r="F9" s="77"/>
    </row>
    <row r="10" spans="1:6" ht="15.75">
      <c r="A10" s="21"/>
      <c r="B10" s="67" t="str">
        <f>IF((inputPrYr!$B22&gt;"  "),(inputPrYr!$B22),"  ")</f>
        <v>Street Resurfacing</v>
      </c>
      <c r="C10" s="309">
        <v>54990</v>
      </c>
      <c r="D10" s="310">
        <f t="shared" si="1"/>
        <v>8.491599200223849</v>
      </c>
      <c r="E10" s="181">
        <f t="shared" si="0"/>
        <v>1064</v>
      </c>
      <c r="F10" s="77"/>
    </row>
    <row r="11" spans="1:6" ht="15.75">
      <c r="A11" s="21"/>
      <c r="B11" s="67" t="str">
        <f>IF((inputPrYr!$B23&gt;"  "),(inputPrYr!$B23),"  ")</f>
        <v>Airport</v>
      </c>
      <c r="C11" s="309">
        <v>3238</v>
      </c>
      <c r="D11" s="310">
        <f t="shared" si="1"/>
        <v>0.50001451555418841</v>
      </c>
      <c r="E11" s="181">
        <f t="shared" si="0"/>
        <v>63</v>
      </c>
      <c r="F11" s="77"/>
    </row>
    <row r="12" spans="1:6" ht="15.75">
      <c r="A12" s="21"/>
      <c r="B12" s="67" t="str">
        <f>IF((inputPrYr!$B24&gt;"  "),(inputPrYr!$B24),"  ")</f>
        <v xml:space="preserve">  </v>
      </c>
      <c r="C12" s="311"/>
      <c r="D12" s="310" t="str">
        <f t="shared" si="1"/>
        <v/>
      </c>
      <c r="E12" s="181" t="str">
        <f t="shared" si="0"/>
        <v/>
      </c>
      <c r="F12" s="77"/>
    </row>
    <row r="13" spans="1:6" ht="15.75">
      <c r="A13" s="21"/>
      <c r="B13" s="67" t="str">
        <f>IF((inputPrYr!$B25&gt;"  "),(inputPrYr!$B25),"  ")</f>
        <v xml:space="preserve">  </v>
      </c>
      <c r="C13" s="311"/>
      <c r="D13" s="310" t="str">
        <f t="shared" si="1"/>
        <v/>
      </c>
      <c r="E13" s="181" t="str">
        <f t="shared" si="0"/>
        <v/>
      </c>
      <c r="F13" s="77"/>
    </row>
    <row r="14" spans="1:6" ht="15.75">
      <c r="A14" s="21"/>
      <c r="B14" s="67" t="str">
        <f>IF((inputPrYr!$B26&gt;"  "),(inputPrYr!$B26),"  ")</f>
        <v xml:space="preserve">  </v>
      </c>
      <c r="C14" s="311"/>
      <c r="D14" s="310" t="str">
        <f t="shared" si="1"/>
        <v/>
      </c>
      <c r="E14" s="181" t="str">
        <f t="shared" si="0"/>
        <v/>
      </c>
      <c r="F14" s="77"/>
    </row>
    <row r="15" spans="1:6" ht="15.75">
      <c r="A15" s="21"/>
      <c r="B15" s="67" t="str">
        <f>IF((inputPrYr!$B27&gt;"  "),(inputPrYr!$B27),"  ")</f>
        <v xml:space="preserve">  </v>
      </c>
      <c r="C15" s="311"/>
      <c r="D15" s="310" t="str">
        <f t="shared" si="1"/>
        <v/>
      </c>
      <c r="E15" s="181" t="str">
        <f t="shared" si="0"/>
        <v/>
      </c>
      <c r="F15" s="77"/>
    </row>
    <row r="16" spans="1:6" ht="15.75">
      <c r="A16" s="21"/>
      <c r="B16" s="67" t="str">
        <f>IF((inputPrYr!$B28&gt;"  "),(inputPrYr!$B28),"  ")</f>
        <v xml:space="preserve">  </v>
      </c>
      <c r="C16" s="311"/>
      <c r="D16" s="310" t="str">
        <f t="shared" si="1"/>
        <v/>
      </c>
      <c r="E16" s="181" t="str">
        <f t="shared" si="0"/>
        <v/>
      </c>
      <c r="F16" s="77"/>
    </row>
    <row r="17" spans="1:6" ht="15.75">
      <c r="A17" s="21"/>
      <c r="B17" s="67" t="str">
        <f>IF((inputPrYr!$B29&gt;"  "),(inputPrYr!$B29),"  ")</f>
        <v xml:space="preserve">  </v>
      </c>
      <c r="C17" s="311"/>
      <c r="D17" s="310" t="str">
        <f t="shared" si="1"/>
        <v/>
      </c>
      <c r="E17" s="181" t="str">
        <f t="shared" si="0"/>
        <v/>
      </c>
      <c r="F17" s="77"/>
    </row>
    <row r="18" spans="1:6" ht="15.75">
      <c r="A18" s="21"/>
      <c r="B18" s="67" t="str">
        <f>IF((inputPrYr!$B30&gt;"  "),(inputPrYr!$B30),"  ")</f>
        <v xml:space="preserve">  </v>
      </c>
      <c r="C18" s="311"/>
      <c r="D18" s="310" t="str">
        <f>IF(C18&gt;0,C18/$D$24,"")</f>
        <v/>
      </c>
      <c r="E18" s="181" t="str">
        <f>IF(C18&gt;0,ROUND(D18*$D$28,0),"")</f>
        <v/>
      </c>
      <c r="F18" s="77"/>
    </row>
    <row r="19" spans="1:6" ht="17.25" customHeight="1" thickBot="1">
      <c r="A19" s="21"/>
      <c r="B19" s="47" t="s">
        <v>19</v>
      </c>
      <c r="C19" s="312">
        <f>SUM(C6:C18)</f>
        <v>296320</v>
      </c>
      <c r="D19" s="313">
        <f>SUM(D6:D18)</f>
        <v>45.757968267145493</v>
      </c>
      <c r="E19" s="312">
        <f>SUM(E6:E18)</f>
        <v>5733</v>
      </c>
      <c r="F19" s="77"/>
    </row>
    <row r="20" spans="1:6" ht="16.5" thickTop="1">
      <c r="A20" s="21"/>
      <c r="B20" s="21"/>
      <c r="C20" s="21"/>
      <c r="D20" s="21"/>
      <c r="E20" s="21"/>
      <c r="F20" s="77"/>
    </row>
    <row r="21" spans="1:6" ht="15.75">
      <c r="A21" s="21"/>
      <c r="B21" s="21"/>
      <c r="C21" s="21"/>
      <c r="D21" s="21"/>
      <c r="E21" s="21"/>
      <c r="F21" s="77"/>
    </row>
    <row r="22" spans="1:6" ht="18.75" customHeight="1">
      <c r="A22" s="873" t="str">
        <f>CONCATENATE("",F1-1," July 1 Valuation:")</f>
        <v>2013 July 1 Valuation:</v>
      </c>
      <c r="B22" s="840"/>
      <c r="C22" s="873"/>
      <c r="D22" s="305">
        <f>inputOth!E7</f>
        <v>6475812</v>
      </c>
      <c r="E22" s="21"/>
      <c r="F22" s="77"/>
    </row>
    <row r="23" spans="1:6" ht="15.75">
      <c r="A23" s="21"/>
      <c r="B23" s="21"/>
      <c r="C23" s="21"/>
      <c r="D23" s="21"/>
      <c r="E23" s="21"/>
      <c r="F23" s="77"/>
    </row>
    <row r="24" spans="1:6" ht="15.75">
      <c r="A24" s="21"/>
      <c r="B24" s="873" t="s">
        <v>368</v>
      </c>
      <c r="C24" s="873"/>
      <c r="D24" s="314">
        <f>IF(D22&gt;0,(D22*0.001),"")</f>
        <v>6475.8119999999999</v>
      </c>
      <c r="E24" s="21"/>
      <c r="F24" s="77"/>
    </row>
    <row r="25" spans="1:6" ht="15.75">
      <c r="A25" s="21"/>
      <c r="B25" s="118"/>
      <c r="C25" s="118"/>
      <c r="D25" s="315"/>
      <c r="E25" s="21"/>
      <c r="F25" s="77"/>
    </row>
    <row r="26" spans="1:6" ht="15.75">
      <c r="A26" s="871" t="s">
        <v>369</v>
      </c>
      <c r="B26" s="812"/>
      <c r="C26" s="812"/>
      <c r="D26" s="316">
        <f>inputOth!E17</f>
        <v>125278</v>
      </c>
      <c r="E26" s="84"/>
      <c r="F26" s="84"/>
    </row>
    <row r="27" spans="1:6">
      <c r="A27" s="84"/>
      <c r="B27" s="84"/>
      <c r="C27" s="84"/>
      <c r="D27" s="317"/>
      <c r="E27" s="84"/>
      <c r="F27" s="84"/>
    </row>
    <row r="28" spans="1:6" ht="15.75">
      <c r="A28" s="84"/>
      <c r="B28" s="871" t="s">
        <v>370</v>
      </c>
      <c r="C28" s="840"/>
      <c r="D28" s="318">
        <f>IF(D26&gt;0,(D26*0.001),"")</f>
        <v>125.27800000000001</v>
      </c>
      <c r="E28" s="84"/>
      <c r="F28" s="84"/>
    </row>
    <row r="29" spans="1:6">
      <c r="A29" s="84"/>
      <c r="B29" s="84"/>
      <c r="C29" s="84"/>
      <c r="D29" s="84"/>
      <c r="E29" s="84"/>
      <c r="F29" s="84"/>
    </row>
    <row r="30" spans="1:6">
      <c r="A30" s="84"/>
      <c r="B30" s="84"/>
      <c r="C30" s="84"/>
      <c r="D30" s="84"/>
      <c r="E30" s="84"/>
      <c r="F30" s="84"/>
    </row>
    <row r="31" spans="1:6">
      <c r="A31" s="84"/>
      <c r="B31" s="84"/>
      <c r="C31" s="84"/>
      <c r="D31" s="84"/>
      <c r="E31" s="84"/>
      <c r="F31" s="84"/>
    </row>
    <row r="32" spans="1:6" ht="15.75">
      <c r="A32" s="344" t="str">
        <f>CONCATENATE("**This information comes from the ",F1," Budget Summary page.  See instructions tab #13 for completing")</f>
        <v>**This information comes from the 2014 Budget Summary page.  See instructions tab #13 for completing</v>
      </c>
      <c r="B32" s="84"/>
      <c r="C32" s="84"/>
      <c r="D32" s="84"/>
      <c r="E32" s="84"/>
      <c r="F32" s="84"/>
    </row>
    <row r="33" spans="1:6" ht="15.75">
      <c r="A33" s="344" t="s">
        <v>613</v>
      </c>
      <c r="B33" s="84"/>
      <c r="C33" s="84"/>
      <c r="D33" s="84"/>
      <c r="E33" s="84"/>
      <c r="F33" s="84"/>
    </row>
    <row r="34" spans="1:6" ht="15.75">
      <c r="A34" s="344"/>
      <c r="B34" s="84"/>
      <c r="C34" s="84"/>
      <c r="D34" s="84"/>
      <c r="E34" s="84"/>
      <c r="F34" s="84"/>
    </row>
    <row r="35" spans="1:6" ht="15.75">
      <c r="A35" s="344"/>
      <c r="B35" s="84"/>
      <c r="C35" s="84"/>
      <c r="D35" s="84"/>
      <c r="E35" s="84"/>
      <c r="F35" s="84"/>
    </row>
    <row r="36" spans="1:6" ht="15.75">
      <c r="A36" s="344"/>
      <c r="B36" s="84"/>
      <c r="C36" s="84"/>
      <c r="D36" s="84"/>
      <c r="E36" s="84"/>
      <c r="F36" s="84"/>
    </row>
    <row r="37" spans="1:6" ht="15.75">
      <c r="A37" s="344"/>
      <c r="B37" s="84"/>
      <c r="C37" s="84"/>
      <c r="D37" s="84"/>
      <c r="E37" s="84"/>
      <c r="F37" s="84"/>
    </row>
    <row r="38" spans="1:6" ht="15.75">
      <c r="A38" s="344"/>
      <c r="B38" s="84"/>
      <c r="C38" s="84"/>
      <c r="D38" s="84"/>
      <c r="E38" s="84"/>
      <c r="F38" s="84"/>
    </row>
    <row r="39" spans="1:6">
      <c r="A39" s="84"/>
      <c r="B39" s="84"/>
      <c r="C39" s="84"/>
      <c r="D39" s="84"/>
      <c r="E39" s="84"/>
      <c r="F39" s="84"/>
    </row>
    <row r="40" spans="1:6" ht="15.75">
      <c r="A40" s="84"/>
      <c r="B40" s="243" t="s">
        <v>42</v>
      </c>
      <c r="C40" s="248">
        <v>18</v>
      </c>
      <c r="D40" s="84"/>
      <c r="E40" s="84"/>
      <c r="F40" s="84"/>
    </row>
    <row r="41" spans="1:6" ht="15.75">
      <c r="A41" s="77"/>
      <c r="B41" s="21"/>
      <c r="C41" s="21"/>
      <c r="D41" s="51"/>
      <c r="E41" s="77"/>
      <c r="F41" s="77"/>
    </row>
  </sheetData>
  <sheetProtection sheet="1"/>
  <mergeCells count="5">
    <mergeCell ref="A26:C26"/>
    <mergeCell ref="B28:C28"/>
    <mergeCell ref="B3:E3"/>
    <mergeCell ref="A22:C22"/>
    <mergeCell ref="B24:C24"/>
  </mergeCells>
  <phoneticPr fontId="11" type="noConversion"/>
  <pageMargins left="0.75" right="0.75" top="1" bottom="1" header="0.5" footer="0.5"/>
  <pageSetup scale="96" orientation="portrait" blackAndWhite="1"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A1:N41"/>
  <sheetViews>
    <sheetView workbookViewId="0">
      <selection activeCell="A6" sqref="A6:G6"/>
    </sheetView>
  </sheetViews>
  <sheetFormatPr defaultRowHeight="15"/>
  <sheetData>
    <row r="1" spans="1:14" ht="16.5" customHeight="1">
      <c r="A1" s="875" t="s">
        <v>155</v>
      </c>
      <c r="B1" s="875"/>
      <c r="C1" s="875"/>
      <c r="D1" s="875"/>
      <c r="E1" s="875"/>
      <c r="F1" s="875"/>
      <c r="G1" s="875"/>
    </row>
    <row r="2" spans="1:14" ht="16.5" customHeight="1">
      <c r="A2" s="875"/>
      <c r="B2" s="875"/>
      <c r="C2" s="875"/>
      <c r="D2" s="875"/>
      <c r="E2" s="875"/>
      <c r="F2" s="875"/>
      <c r="G2" s="875"/>
    </row>
    <row r="3" spans="1:14" ht="16.5" customHeight="1">
      <c r="A3" s="876"/>
      <c r="B3" s="876"/>
      <c r="C3" s="876"/>
      <c r="D3" s="876"/>
      <c r="E3" s="876"/>
      <c r="F3" s="876"/>
      <c r="G3" s="876"/>
    </row>
    <row r="4" spans="1:14" ht="16.5" customHeight="1">
      <c r="A4" s="874" t="str">
        <f>CONCATENATE("AN ORDINANCE ATTESTING TO AN INCREASE IN TAX REVENUES FOR BUDGET YEAR ",(inputPrYr!C5)," FOR THE  ",(inputPrYr!$D$2),".")</f>
        <v>AN ORDINANCE ATTESTING TO AN INCREASE IN TAX REVENUES FOR BUDGET YEAR 2014 FOR THE  CITY OF HOXIE.</v>
      </c>
      <c r="B4" s="874"/>
      <c r="C4" s="874"/>
      <c r="D4" s="874"/>
      <c r="E4" s="874"/>
      <c r="F4" s="874"/>
      <c r="G4" s="874"/>
    </row>
    <row r="5" spans="1:14" ht="16.5" customHeight="1">
      <c r="A5" s="874"/>
      <c r="B5" s="874"/>
      <c r="C5" s="874"/>
      <c r="D5" s="874"/>
      <c r="E5" s="874"/>
      <c r="F5" s="874"/>
      <c r="G5" s="874"/>
    </row>
    <row r="6" spans="1:14" ht="16.5" customHeight="1">
      <c r="A6" s="875"/>
      <c r="B6" s="875"/>
      <c r="C6" s="875"/>
      <c r="D6" s="875"/>
      <c r="E6" s="875"/>
      <c r="F6" s="875"/>
      <c r="G6" s="875"/>
    </row>
    <row r="7" spans="1:14" ht="16.5" customHeight="1">
      <c r="A7" s="874" t="str">
        <f>CONCATENATE("WHEREAS ",(inputPrYr!$D$2)," must continue to provide services to protect the health, safety, and welfare of the citizens of this community; and")</f>
        <v>WHEREAS CITY OF HOXIE must continue to provide services to protect the health, safety, and welfare of the citizens of this community; and</v>
      </c>
      <c r="B7" s="874"/>
      <c r="C7" s="874"/>
      <c r="D7" s="874"/>
      <c r="E7" s="874"/>
      <c r="F7" s="874"/>
      <c r="G7" s="874"/>
      <c r="H7" s="2"/>
      <c r="I7" s="2"/>
      <c r="J7" s="2"/>
      <c r="K7" s="2"/>
      <c r="L7" s="2"/>
      <c r="M7" s="2"/>
      <c r="N7" s="2"/>
    </row>
    <row r="8" spans="1:14" ht="16.5" customHeight="1">
      <c r="A8" s="874"/>
      <c r="B8" s="874"/>
      <c r="C8" s="874"/>
      <c r="D8" s="874"/>
      <c r="E8" s="874"/>
      <c r="F8" s="874"/>
      <c r="G8" s="874"/>
      <c r="H8" s="2"/>
      <c r="I8" s="2"/>
      <c r="J8" s="2"/>
      <c r="K8" s="2"/>
      <c r="L8" s="2"/>
      <c r="M8" s="2"/>
      <c r="N8" s="2"/>
    </row>
    <row r="9" spans="1:14" ht="16.5" customHeight="1">
      <c r="A9" s="4"/>
      <c r="B9" s="4"/>
      <c r="C9" s="4"/>
      <c r="D9" s="4"/>
      <c r="E9" s="4"/>
      <c r="F9" s="4"/>
      <c r="G9" s="4"/>
    </row>
    <row r="10" spans="1:14" ht="16.5" customHeight="1">
      <c r="A10" s="874" t="s">
        <v>156</v>
      </c>
      <c r="B10" s="874"/>
      <c r="C10" s="874"/>
      <c r="D10" s="874"/>
      <c r="E10" s="874"/>
      <c r="F10" s="874"/>
      <c r="G10" s="874"/>
    </row>
    <row r="11" spans="1:14" ht="16.5" customHeight="1">
      <c r="A11" s="874"/>
      <c r="B11" s="874"/>
      <c r="C11" s="874"/>
      <c r="D11" s="874"/>
      <c r="E11" s="874"/>
      <c r="F11" s="874"/>
      <c r="G11" s="874"/>
    </row>
    <row r="12" spans="1:14" ht="16.5" customHeight="1">
      <c r="A12" s="4"/>
      <c r="B12" s="4"/>
      <c r="C12" s="4"/>
      <c r="D12" s="4"/>
      <c r="E12" s="4"/>
      <c r="F12" s="4"/>
      <c r="G12" s="4"/>
    </row>
    <row r="13" spans="1:14" ht="16.5" customHeight="1">
      <c r="A13" s="874" t="str">
        <f>CONCATENATE("NOW THEREFORE, be it ordained by the Governing Body of the ",(inputPrYr!$D$2),":")</f>
        <v>NOW THEREFORE, be it ordained by the Governing Body of the CITY OF HOXIE:</v>
      </c>
      <c r="B13" s="874"/>
      <c r="C13" s="874"/>
      <c r="D13" s="874"/>
      <c r="E13" s="874"/>
      <c r="F13" s="874"/>
      <c r="G13" s="874"/>
      <c r="H13" s="2"/>
      <c r="I13" s="2"/>
      <c r="J13" s="2"/>
      <c r="K13" s="2"/>
      <c r="L13" s="2"/>
      <c r="M13" s="2"/>
      <c r="N13" s="2"/>
    </row>
    <row r="14" spans="1:14" ht="16.5" customHeight="1">
      <c r="A14" s="874"/>
      <c r="B14" s="874"/>
      <c r="C14" s="874"/>
      <c r="D14" s="874"/>
      <c r="E14" s="874"/>
      <c r="F14" s="874"/>
      <c r="G14" s="874"/>
      <c r="H14" s="2"/>
      <c r="I14" s="2"/>
      <c r="J14" s="2"/>
      <c r="K14" s="2"/>
      <c r="L14" s="2"/>
      <c r="M14" s="2"/>
      <c r="N14" s="2"/>
    </row>
    <row r="15" spans="1:14" ht="16.5" customHeight="1">
      <c r="A15" s="87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HOXIE  has scheduled a public hearing and has prepared the proposed budget necessary to fund city services from January 1, 2014 until December 31, 2014.</v>
      </c>
      <c r="B15" s="874"/>
      <c r="C15" s="874"/>
      <c r="D15" s="874"/>
      <c r="E15" s="874"/>
      <c r="F15" s="874"/>
      <c r="G15" s="874"/>
      <c r="H15" s="2"/>
      <c r="I15" s="2"/>
      <c r="J15" s="2"/>
      <c r="K15" s="2"/>
      <c r="L15" s="2"/>
      <c r="M15" s="2"/>
      <c r="N15" s="2"/>
    </row>
    <row r="16" spans="1:14" ht="16.5" customHeight="1">
      <c r="A16" s="874"/>
      <c r="B16" s="874"/>
      <c r="C16" s="874"/>
      <c r="D16" s="874"/>
      <c r="E16" s="874"/>
      <c r="F16" s="874"/>
      <c r="G16" s="874"/>
      <c r="H16" s="2"/>
      <c r="I16" s="2"/>
      <c r="J16" s="2"/>
      <c r="K16" s="2"/>
      <c r="L16" s="2"/>
      <c r="M16" s="2"/>
      <c r="N16" s="2"/>
    </row>
    <row r="17" spans="1:14" ht="16.5" customHeight="1">
      <c r="A17" s="874"/>
      <c r="B17" s="874"/>
      <c r="C17" s="874"/>
      <c r="D17" s="874"/>
      <c r="E17" s="874"/>
      <c r="F17" s="874"/>
      <c r="G17" s="874"/>
      <c r="H17" s="3"/>
      <c r="I17" s="3"/>
      <c r="J17" s="3"/>
      <c r="K17" s="3"/>
      <c r="L17" s="3"/>
      <c r="M17" s="3"/>
      <c r="N17" s="3"/>
    </row>
    <row r="18" spans="1:14" ht="16.5" customHeight="1">
      <c r="A18" s="6"/>
      <c r="B18" s="6"/>
      <c r="C18" s="6"/>
      <c r="D18" s="6"/>
      <c r="E18" s="6"/>
      <c r="F18" s="6"/>
      <c r="G18" s="6"/>
    </row>
    <row r="19" spans="1:14" ht="16.5" customHeight="1">
      <c r="A19" s="878" t="s">
        <v>221</v>
      </c>
      <c r="B19" s="878"/>
      <c r="C19" s="878"/>
      <c r="D19" s="878"/>
      <c r="E19" s="878"/>
      <c r="F19" s="878"/>
      <c r="G19" s="878"/>
    </row>
    <row r="20" spans="1:14" ht="16.5" customHeight="1">
      <c r="A20" s="878" t="s">
        <v>222</v>
      </c>
      <c r="B20" s="878"/>
      <c r="C20" s="878"/>
      <c r="D20" s="878"/>
      <c r="E20" s="878"/>
      <c r="F20" s="878"/>
      <c r="G20" s="878"/>
    </row>
    <row r="21" spans="1:14" ht="16.5" customHeight="1">
      <c r="A21" s="878" t="str">
        <f>CONCATENATE("necessary to budget property tax revenues in an amount exceeding the levy in the ",(inputPrYr!C5-1),"")</f>
        <v>necessary to budget property tax revenues in an amount exceeding the levy in the 2013</v>
      </c>
      <c r="B21" s="878"/>
      <c r="C21" s="878"/>
      <c r="D21" s="878"/>
      <c r="E21" s="878"/>
      <c r="F21" s="878"/>
      <c r="G21" s="878"/>
    </row>
    <row r="22" spans="1:14" ht="16.5" customHeight="1">
      <c r="A22" s="5" t="s">
        <v>223</v>
      </c>
      <c r="B22" s="5"/>
      <c r="C22" s="5"/>
      <c r="D22" s="5"/>
      <c r="E22" s="5"/>
      <c r="F22" s="5"/>
      <c r="G22" s="5"/>
    </row>
    <row r="23" spans="1:14" ht="16.5" customHeight="1">
      <c r="A23" s="6"/>
      <c r="B23" s="6"/>
      <c r="C23" s="6"/>
      <c r="D23" s="6"/>
      <c r="E23" s="6"/>
      <c r="F23" s="6"/>
      <c r="G23" s="6"/>
    </row>
    <row r="24" spans="1:14" ht="16.5" customHeight="1">
      <c r="A24" s="874" t="s">
        <v>157</v>
      </c>
      <c r="B24" s="874"/>
      <c r="C24" s="874"/>
      <c r="D24" s="874"/>
      <c r="E24" s="874"/>
      <c r="F24" s="874"/>
      <c r="G24" s="874"/>
    </row>
    <row r="25" spans="1:14" ht="16.5" customHeight="1">
      <c r="A25" s="874"/>
      <c r="B25" s="874"/>
      <c r="C25" s="874"/>
      <c r="D25" s="874"/>
      <c r="E25" s="874"/>
      <c r="F25" s="874"/>
      <c r="G25" s="874"/>
    </row>
    <row r="26" spans="1:14" ht="16.5" customHeight="1">
      <c r="A26" s="6"/>
      <c r="B26" s="6"/>
      <c r="C26" s="6"/>
      <c r="D26" s="6"/>
      <c r="E26" s="6"/>
      <c r="F26" s="6"/>
      <c r="G26" s="6"/>
    </row>
    <row r="27" spans="1:14" ht="16.5" customHeight="1">
      <c r="A27" s="874" t="str">
        <f>CONCATENATE("Passed and approved by the Governing Body on this ______ day of __________, ",(inputPrYr!C5-1),".")</f>
        <v>Passed and approved by the Governing Body on this ______ day of __________, 2013.</v>
      </c>
      <c r="B27" s="874"/>
      <c r="C27" s="874"/>
      <c r="D27" s="874"/>
      <c r="E27" s="874"/>
      <c r="F27" s="874"/>
      <c r="G27" s="874"/>
    </row>
    <row r="28" spans="1:14" ht="16.5" customHeight="1">
      <c r="A28" s="874"/>
      <c r="B28" s="874"/>
      <c r="C28" s="874"/>
      <c r="D28" s="874"/>
      <c r="E28" s="874"/>
      <c r="F28" s="874"/>
      <c r="G28" s="874"/>
    </row>
    <row r="29" spans="1:14" ht="16.5" customHeight="1">
      <c r="A29" s="1"/>
      <c r="B29" s="1"/>
      <c r="C29" s="1"/>
      <c r="D29" s="1"/>
      <c r="E29" s="1"/>
      <c r="F29" s="1"/>
      <c r="G29" s="1"/>
    </row>
    <row r="30" spans="1:14" ht="16.5" customHeight="1">
      <c r="A30" s="877" t="s">
        <v>158</v>
      </c>
      <c r="B30" s="877"/>
      <c r="C30" s="877"/>
      <c r="D30" s="877"/>
      <c r="E30" s="877"/>
      <c r="F30" s="877"/>
      <c r="G30" s="877"/>
    </row>
    <row r="31" spans="1:14" ht="16.5" customHeight="1">
      <c r="A31" s="877" t="s">
        <v>159</v>
      </c>
      <c r="B31" s="877"/>
      <c r="C31" s="877"/>
      <c r="D31" s="877"/>
      <c r="E31" s="877"/>
      <c r="F31" s="877"/>
      <c r="G31" s="877"/>
    </row>
    <row r="32" spans="1:14" ht="16.5" customHeight="1">
      <c r="A32" s="1" t="s">
        <v>160</v>
      </c>
      <c r="B32" s="1"/>
      <c r="C32" s="1"/>
      <c r="D32" s="1"/>
      <c r="E32" s="1"/>
      <c r="F32" s="1"/>
      <c r="G32" s="1"/>
    </row>
    <row r="33" spans="1:7" ht="16.5" customHeight="1">
      <c r="A33" s="1"/>
      <c r="B33" s="1" t="s">
        <v>161</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162</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163</v>
      </c>
      <c r="B40" s="1"/>
      <c r="C40" s="1"/>
      <c r="D40" s="1"/>
      <c r="E40" s="1"/>
      <c r="F40" s="1"/>
      <c r="G40" s="1"/>
    </row>
    <row r="41" spans="1:7" ht="15.75">
      <c r="A41" s="1"/>
      <c r="B41" s="1"/>
      <c r="C41" s="1"/>
      <c r="D41" s="1"/>
      <c r="E41" s="1"/>
      <c r="F41" s="1"/>
      <c r="G41" s="1"/>
    </row>
  </sheetData>
  <sheetProtection sheet="1" objects="1" scenarios="1"/>
  <mergeCells count="16">
    <mergeCell ref="A10:G11"/>
    <mergeCell ref="A13:G14"/>
    <mergeCell ref="A30:G30"/>
    <mergeCell ref="A31:G31"/>
    <mergeCell ref="A15:G17"/>
    <mergeCell ref="A24:G25"/>
    <mergeCell ref="A27:G28"/>
    <mergeCell ref="A19:G19"/>
    <mergeCell ref="A20:G20"/>
    <mergeCell ref="A21:G21"/>
    <mergeCell ref="A7:G8"/>
    <mergeCell ref="A1:G1"/>
    <mergeCell ref="A2:G2"/>
    <mergeCell ref="A3:G3"/>
    <mergeCell ref="A4:G5"/>
    <mergeCell ref="A6:G6"/>
  </mergeCells>
  <phoneticPr fontId="0" type="noConversion"/>
  <pageMargins left="0.75" right="0.75" top="1" bottom="1" header="0.5" footer="0.5"/>
  <pageSetup orientation="portrait" blackAndWhite="1" r:id="rId1"/>
  <headerFooter alignWithMargins="0">
    <oddFooter>&amp;Lrevised 8/06/07</oddFooter>
  </headerFooter>
</worksheet>
</file>

<file path=xl/worksheets/sheet35.xml><?xml version="1.0" encoding="utf-8"?>
<worksheet xmlns="http://schemas.openxmlformats.org/spreadsheetml/2006/main" xmlns:r="http://schemas.openxmlformats.org/officeDocument/2006/relationships">
  <sheetPr>
    <tabColor rgb="FFFF0000"/>
  </sheetPr>
  <dimension ref="A3:L85"/>
  <sheetViews>
    <sheetView topLeftCell="A19" workbookViewId="0">
      <selection activeCell="A45" sqref="A45:IV45"/>
    </sheetView>
  </sheetViews>
  <sheetFormatPr defaultRowHeight="15"/>
  <cols>
    <col min="1" max="1" width="71.33203125" customWidth="1"/>
  </cols>
  <sheetData>
    <row r="3" spans="1:12">
      <c r="A3" s="331" t="s">
        <v>391</v>
      </c>
      <c r="B3" s="331"/>
      <c r="C3" s="331"/>
      <c r="D3" s="331"/>
      <c r="E3" s="331"/>
      <c r="F3" s="331"/>
      <c r="G3" s="331"/>
      <c r="H3" s="331"/>
      <c r="I3" s="331"/>
      <c r="J3" s="331"/>
      <c r="K3" s="331"/>
      <c r="L3" s="331"/>
    </row>
    <row r="5" spans="1:12">
      <c r="A5" s="332" t="s">
        <v>392</v>
      </c>
    </row>
    <row r="6" spans="1:12">
      <c r="A6" s="332" t="str">
        <f>CONCATENATE(inputPrYr!C5-2," 'total expenditures' exceed your ",inputPrYr!C5-2," 'budget authority.'")</f>
        <v>2012 'total expenditures' exceed your 2012 'budget authority.'</v>
      </c>
    </row>
    <row r="7" spans="1:12">
      <c r="A7" s="332"/>
    </row>
    <row r="8" spans="1:12">
      <c r="A8" s="332" t="s">
        <v>393</v>
      </c>
    </row>
    <row r="9" spans="1:12">
      <c r="A9" s="332" t="s">
        <v>394</v>
      </c>
    </row>
    <row r="10" spans="1:12">
      <c r="A10" s="332" t="s">
        <v>395</v>
      </c>
    </row>
    <row r="11" spans="1:12">
      <c r="A11" s="332"/>
    </row>
    <row r="12" spans="1:12">
      <c r="A12" s="332"/>
    </row>
    <row r="13" spans="1:12">
      <c r="A13" s="333" t="s">
        <v>396</v>
      </c>
    </row>
    <row r="15" spans="1:12">
      <c r="A15" s="332" t="s">
        <v>397</v>
      </c>
    </row>
    <row r="16" spans="1:12">
      <c r="A16" s="332" t="str">
        <f>CONCATENATE("(i.e. an audit has not been completed, or the ",inputPrYr!C5," adopted")</f>
        <v>(i.e. an audit has not been completed, or the 2014 adopted</v>
      </c>
    </row>
    <row r="17" spans="1:1">
      <c r="A17" s="332" t="s">
        <v>398</v>
      </c>
    </row>
    <row r="18" spans="1:1">
      <c r="A18" s="332" t="s">
        <v>399</v>
      </c>
    </row>
    <row r="19" spans="1:1">
      <c r="A19" s="332" t="s">
        <v>400</v>
      </c>
    </row>
    <row r="21" spans="1:1">
      <c r="A21" s="333" t="s">
        <v>401</v>
      </c>
    </row>
    <row r="22" spans="1:1">
      <c r="A22" s="333"/>
    </row>
    <row r="23" spans="1:1">
      <c r="A23" s="332" t="s">
        <v>402</v>
      </c>
    </row>
    <row r="24" spans="1:1">
      <c r="A24" s="332" t="s">
        <v>403</v>
      </c>
    </row>
    <row r="25" spans="1:1">
      <c r="A25" s="332" t="str">
        <f>CONCATENATE("particular fund.  If your ",inputPrYr!C5-2," budget was amended, did you")</f>
        <v>particular fund.  If your 2012 budget was amended, did you</v>
      </c>
    </row>
    <row r="26" spans="1:1">
      <c r="A26" s="332" t="s">
        <v>404</v>
      </c>
    </row>
    <row r="27" spans="1:1">
      <c r="A27" s="332"/>
    </row>
    <row r="28" spans="1:1">
      <c r="A28" s="332" t="str">
        <f>CONCATENATE("Next, look to see if any of your ",inputPrYr!C5-2," expenditures can be")</f>
        <v>Next, look to see if any of your 2012 expenditures can be</v>
      </c>
    </row>
    <row r="29" spans="1:1">
      <c r="A29" s="332" t="s">
        <v>405</v>
      </c>
    </row>
    <row r="30" spans="1:1">
      <c r="A30" s="332" t="s">
        <v>406</v>
      </c>
    </row>
    <row r="31" spans="1:1">
      <c r="A31" s="332" t="s">
        <v>407</v>
      </c>
    </row>
    <row r="32" spans="1:1">
      <c r="A32" s="332"/>
    </row>
    <row r="33" spans="1:1">
      <c r="A33" s="332" t="str">
        <f>CONCATENATE("Additionally, do your ",inputPrYr!C5-2," receipts contain a reimbursement")</f>
        <v>Additionally, do your 2012 receipts contain a reimbursement</v>
      </c>
    </row>
    <row r="34" spans="1:1">
      <c r="A34" s="332" t="s">
        <v>408</v>
      </c>
    </row>
    <row r="35" spans="1:1">
      <c r="A35" s="332" t="s">
        <v>409</v>
      </c>
    </row>
    <row r="36" spans="1:1">
      <c r="A36" s="332"/>
    </row>
    <row r="37" spans="1:1">
      <c r="A37" s="332" t="s">
        <v>410</v>
      </c>
    </row>
    <row r="38" spans="1:1">
      <c r="A38" s="332" t="s">
        <v>411</v>
      </c>
    </row>
    <row r="39" spans="1:1">
      <c r="A39" s="332" t="s">
        <v>412</v>
      </c>
    </row>
    <row r="40" spans="1:1">
      <c r="A40" s="332" t="s">
        <v>413</v>
      </c>
    </row>
    <row r="41" spans="1:1">
      <c r="A41" s="332" t="s">
        <v>414</v>
      </c>
    </row>
    <row r="42" spans="1:1">
      <c r="A42" s="332" t="s">
        <v>415</v>
      </c>
    </row>
    <row r="43" spans="1:1">
      <c r="A43" s="332" t="s">
        <v>416</v>
      </c>
    </row>
    <row r="44" spans="1:1">
      <c r="A44" s="332" t="s">
        <v>417</v>
      </c>
    </row>
    <row r="45" spans="1:1">
      <c r="A45" s="332"/>
    </row>
    <row r="46" spans="1:1">
      <c r="A46" s="332" t="s">
        <v>418</v>
      </c>
    </row>
    <row r="47" spans="1:1">
      <c r="A47" s="332" t="s">
        <v>419</v>
      </c>
    </row>
    <row r="48" spans="1:1">
      <c r="A48" s="332" t="s">
        <v>420</v>
      </c>
    </row>
    <row r="49" spans="1:1">
      <c r="A49" s="332"/>
    </row>
    <row r="50" spans="1:1">
      <c r="A50" s="332" t="s">
        <v>421</v>
      </c>
    </row>
    <row r="51" spans="1:1">
      <c r="A51" s="332" t="s">
        <v>422</v>
      </c>
    </row>
    <row r="52" spans="1:1">
      <c r="A52" s="332" t="s">
        <v>423</v>
      </c>
    </row>
    <row r="53" spans="1:1">
      <c r="A53" s="332"/>
    </row>
    <row r="54" spans="1:1">
      <c r="A54" s="333" t="s">
        <v>424</v>
      </c>
    </row>
    <row r="55" spans="1:1">
      <c r="A55" s="332"/>
    </row>
    <row r="56" spans="1:1">
      <c r="A56" s="332" t="s">
        <v>425</v>
      </c>
    </row>
    <row r="57" spans="1:1">
      <c r="A57" s="332" t="s">
        <v>426</v>
      </c>
    </row>
    <row r="58" spans="1:1">
      <c r="A58" s="332" t="s">
        <v>427</v>
      </c>
    </row>
    <row r="59" spans="1:1">
      <c r="A59" s="332" t="s">
        <v>428</v>
      </c>
    </row>
    <row r="60" spans="1:1">
      <c r="A60" s="332" t="s">
        <v>429</v>
      </c>
    </row>
    <row r="61" spans="1:1">
      <c r="A61" s="332" t="s">
        <v>430</v>
      </c>
    </row>
    <row r="62" spans="1:1">
      <c r="A62" s="332" t="s">
        <v>431</v>
      </c>
    </row>
    <row r="63" spans="1:1">
      <c r="A63" s="332" t="s">
        <v>432</v>
      </c>
    </row>
    <row r="64" spans="1:1">
      <c r="A64" s="332" t="s">
        <v>433</v>
      </c>
    </row>
    <row r="65" spans="1:1">
      <c r="A65" s="332" t="s">
        <v>434</v>
      </c>
    </row>
    <row r="66" spans="1:1">
      <c r="A66" s="332" t="s">
        <v>435</v>
      </c>
    </row>
    <row r="67" spans="1:1">
      <c r="A67" s="332" t="s">
        <v>436</v>
      </c>
    </row>
    <row r="68" spans="1:1">
      <c r="A68" s="332" t="s">
        <v>437</v>
      </c>
    </row>
    <row r="69" spans="1:1">
      <c r="A69" s="332"/>
    </row>
    <row r="70" spans="1:1">
      <c r="A70" s="332" t="s">
        <v>438</v>
      </c>
    </row>
    <row r="71" spans="1:1">
      <c r="A71" s="332" t="s">
        <v>439</v>
      </c>
    </row>
    <row r="72" spans="1:1">
      <c r="A72" s="332" t="s">
        <v>440</v>
      </c>
    </row>
    <row r="73" spans="1:1">
      <c r="A73" s="332"/>
    </row>
    <row r="74" spans="1:1">
      <c r="A74" s="333" t="str">
        <f>CONCATENATE("What if the ",inputPrYr!C5-2," financial records have been closed?")</f>
        <v>What if the 2012 financial records have been closed?</v>
      </c>
    </row>
    <row r="76" spans="1:1">
      <c r="A76" s="332" t="s">
        <v>441</v>
      </c>
    </row>
    <row r="77" spans="1:1">
      <c r="A77" s="332" t="str">
        <f>CONCATENATE("(i.e. an audit for ",inputPrYr!C5-2," has been completed, or the ",inputPrYr!C5)</f>
        <v>(i.e. an audit for 2012 has been completed, or the 2014</v>
      </c>
    </row>
    <row r="78" spans="1:1">
      <c r="A78" s="332" t="s">
        <v>442</v>
      </c>
    </row>
    <row r="79" spans="1:1">
      <c r="A79" s="332" t="s">
        <v>443</v>
      </c>
    </row>
    <row r="80" spans="1:1">
      <c r="A80" s="332"/>
    </row>
    <row r="81" spans="1:1">
      <c r="A81" s="332" t="s">
        <v>444</v>
      </c>
    </row>
    <row r="82" spans="1:1">
      <c r="A82" s="332" t="s">
        <v>445</v>
      </c>
    </row>
    <row r="83" spans="1:1">
      <c r="A83" s="332" t="s">
        <v>446</v>
      </c>
    </row>
    <row r="84" spans="1:1">
      <c r="A84" s="332"/>
    </row>
    <row r="85" spans="1:1">
      <c r="A85" s="332" t="s">
        <v>447</v>
      </c>
    </row>
  </sheetData>
  <sheetProtection sheet="1"/>
  <pageMargins left="0.7" right="0.7" top="0.75" bottom="0.75" header="0.3" footer="0.3"/>
  <pageSetup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A3:J109"/>
  <sheetViews>
    <sheetView workbookViewId="0"/>
  </sheetViews>
  <sheetFormatPr defaultRowHeight="15"/>
  <cols>
    <col min="1" max="1" width="71.33203125" customWidth="1"/>
  </cols>
  <sheetData>
    <row r="3" spans="1:10">
      <c r="A3" s="331" t="s">
        <v>448</v>
      </c>
      <c r="B3" s="331"/>
      <c r="C3" s="331"/>
      <c r="D3" s="331"/>
      <c r="E3" s="331"/>
      <c r="F3" s="331"/>
      <c r="G3" s="331"/>
      <c r="H3" s="334"/>
      <c r="I3" s="334"/>
      <c r="J3" s="334"/>
    </row>
    <row r="5" spans="1:10">
      <c r="A5" s="332" t="s">
        <v>449</v>
      </c>
    </row>
    <row r="6" spans="1:10">
      <c r="A6" t="str">
        <f>CONCATENATE(inputPrYr!C5-2," expenditures show that you finished the year with a ")</f>
        <v xml:space="preserve">2012 expenditures show that you finished the year with a </v>
      </c>
    </row>
    <row r="7" spans="1:10">
      <c r="A7" t="s">
        <v>450</v>
      </c>
    </row>
    <row r="9" spans="1:10">
      <c r="A9" t="s">
        <v>451</v>
      </c>
    </row>
    <row r="10" spans="1:10">
      <c r="A10" t="s">
        <v>452</v>
      </c>
    </row>
    <row r="11" spans="1:10">
      <c r="A11" t="s">
        <v>453</v>
      </c>
    </row>
    <row r="13" spans="1:10">
      <c r="A13" s="333" t="s">
        <v>454</v>
      </c>
    </row>
    <row r="14" spans="1:10">
      <c r="A14" s="333"/>
    </row>
    <row r="15" spans="1:10">
      <c r="A15" s="332" t="s">
        <v>455</v>
      </c>
    </row>
    <row r="16" spans="1:10">
      <c r="A16" s="332" t="s">
        <v>456</v>
      </c>
    </row>
    <row r="17" spans="1:1">
      <c r="A17" s="332" t="s">
        <v>457</v>
      </c>
    </row>
    <row r="18" spans="1:1">
      <c r="A18" s="332"/>
    </row>
    <row r="19" spans="1:1">
      <c r="A19" s="333" t="s">
        <v>458</v>
      </c>
    </row>
    <row r="20" spans="1:1">
      <c r="A20" s="333"/>
    </row>
    <row r="21" spans="1:1">
      <c r="A21" s="332" t="s">
        <v>459</v>
      </c>
    </row>
    <row r="22" spans="1:1">
      <c r="A22" s="332" t="s">
        <v>460</v>
      </c>
    </row>
    <row r="23" spans="1:1">
      <c r="A23" s="332" t="s">
        <v>461</v>
      </c>
    </row>
    <row r="24" spans="1:1">
      <c r="A24" s="332"/>
    </row>
    <row r="25" spans="1:1">
      <c r="A25" s="333" t="s">
        <v>462</v>
      </c>
    </row>
    <row r="26" spans="1:1">
      <c r="A26" s="333"/>
    </row>
    <row r="27" spans="1:1">
      <c r="A27" s="332" t="s">
        <v>463</v>
      </c>
    </row>
    <row r="28" spans="1:1">
      <c r="A28" s="332" t="s">
        <v>464</v>
      </c>
    </row>
    <row r="29" spans="1:1">
      <c r="A29" s="332" t="s">
        <v>465</v>
      </c>
    </row>
    <row r="30" spans="1:1">
      <c r="A30" s="332"/>
    </row>
    <row r="31" spans="1:1">
      <c r="A31" s="333" t="s">
        <v>466</v>
      </c>
    </row>
    <row r="32" spans="1:1">
      <c r="A32" s="333"/>
    </row>
    <row r="33" spans="1:8">
      <c r="A33" s="332" t="str">
        <f>CONCATENATE("If your financial records for ",inputPrYr!C5-2," are not closed")</f>
        <v>If your financial records for 2012 are not closed</v>
      </c>
      <c r="B33" s="332"/>
      <c r="C33" s="332"/>
      <c r="D33" s="332"/>
      <c r="E33" s="332"/>
      <c r="F33" s="332"/>
      <c r="G33" s="332"/>
      <c r="H33" s="332"/>
    </row>
    <row r="34" spans="1:8">
      <c r="A34" s="332" t="str">
        <f>CONCATENATE("(i.e. an audit has not been completed, or the ",inputPrYr!C5," adopted ")</f>
        <v xml:space="preserve">(i.e. an audit has not been completed, or the 2014 adopted </v>
      </c>
      <c r="B34" s="332"/>
      <c r="C34" s="332"/>
      <c r="D34" s="332"/>
      <c r="E34" s="332"/>
      <c r="F34" s="332"/>
      <c r="G34" s="332"/>
      <c r="H34" s="332"/>
    </row>
    <row r="35" spans="1:8">
      <c r="A35" s="332" t="s">
        <v>467</v>
      </c>
      <c r="B35" s="332"/>
      <c r="C35" s="332"/>
      <c r="D35" s="332"/>
      <c r="E35" s="332"/>
      <c r="F35" s="332"/>
      <c r="G35" s="332"/>
      <c r="H35" s="332"/>
    </row>
    <row r="36" spans="1:8">
      <c r="A36" s="332" t="s">
        <v>468</v>
      </c>
      <c r="B36" s="332"/>
      <c r="C36" s="332"/>
      <c r="D36" s="332"/>
      <c r="E36" s="332"/>
      <c r="F36" s="332"/>
      <c r="G36" s="332"/>
      <c r="H36" s="332"/>
    </row>
    <row r="37" spans="1:8">
      <c r="A37" s="332" t="s">
        <v>469</v>
      </c>
      <c r="B37" s="332"/>
      <c r="C37" s="332"/>
      <c r="D37" s="332"/>
      <c r="E37" s="332"/>
      <c r="F37" s="332"/>
      <c r="G37" s="332"/>
      <c r="H37" s="332"/>
    </row>
    <row r="38" spans="1:8">
      <c r="A38" s="332" t="s">
        <v>470</v>
      </c>
      <c r="B38" s="332"/>
      <c r="C38" s="332"/>
      <c r="D38" s="332"/>
      <c r="E38" s="332"/>
      <c r="F38" s="332"/>
      <c r="G38" s="332"/>
      <c r="H38" s="332"/>
    </row>
    <row r="39" spans="1:8">
      <c r="A39" s="332" t="s">
        <v>471</v>
      </c>
      <c r="B39" s="332"/>
      <c r="C39" s="332"/>
      <c r="D39" s="332"/>
      <c r="E39" s="332"/>
      <c r="F39" s="332"/>
      <c r="G39" s="332"/>
      <c r="H39" s="332"/>
    </row>
    <row r="40" spans="1:8">
      <c r="A40" s="332"/>
      <c r="B40" s="332"/>
      <c r="C40" s="332"/>
      <c r="D40" s="332"/>
      <c r="E40" s="332"/>
      <c r="F40" s="332"/>
      <c r="G40" s="332"/>
      <c r="H40" s="332"/>
    </row>
    <row r="41" spans="1:8">
      <c r="A41" s="332" t="s">
        <v>472</v>
      </c>
      <c r="B41" s="332"/>
      <c r="C41" s="332"/>
      <c r="D41" s="332"/>
      <c r="E41" s="332"/>
      <c r="F41" s="332"/>
      <c r="G41" s="332"/>
      <c r="H41" s="332"/>
    </row>
    <row r="42" spans="1:8">
      <c r="A42" s="332" t="s">
        <v>473</v>
      </c>
      <c r="B42" s="332"/>
      <c r="C42" s="332"/>
      <c r="D42" s="332"/>
      <c r="E42" s="332"/>
      <c r="F42" s="332"/>
      <c r="G42" s="332"/>
      <c r="H42" s="332"/>
    </row>
    <row r="43" spans="1:8">
      <c r="A43" s="332" t="s">
        <v>474</v>
      </c>
      <c r="B43" s="332"/>
      <c r="C43" s="332"/>
      <c r="D43" s="332"/>
      <c r="E43" s="332"/>
      <c r="F43" s="332"/>
      <c r="G43" s="332"/>
      <c r="H43" s="332"/>
    </row>
    <row r="44" spans="1:8">
      <c r="A44" s="332" t="s">
        <v>475</v>
      </c>
      <c r="B44" s="332"/>
      <c r="C44" s="332"/>
      <c r="D44" s="332"/>
      <c r="E44" s="332"/>
      <c r="F44" s="332"/>
      <c r="G44" s="332"/>
      <c r="H44" s="332"/>
    </row>
    <row r="45" spans="1:8">
      <c r="A45" s="332"/>
      <c r="B45" s="332"/>
      <c r="C45" s="332"/>
      <c r="D45" s="332"/>
      <c r="E45" s="332"/>
      <c r="F45" s="332"/>
      <c r="G45" s="332"/>
      <c r="H45" s="332"/>
    </row>
    <row r="46" spans="1:8">
      <c r="A46" s="332" t="s">
        <v>476</v>
      </c>
      <c r="B46" s="332"/>
      <c r="C46" s="332"/>
      <c r="D46" s="332"/>
      <c r="E46" s="332"/>
      <c r="F46" s="332"/>
      <c r="G46" s="332"/>
      <c r="H46" s="332"/>
    </row>
    <row r="47" spans="1:8">
      <c r="A47" s="332" t="s">
        <v>477</v>
      </c>
      <c r="B47" s="332"/>
      <c r="C47" s="332"/>
      <c r="D47" s="332"/>
      <c r="E47" s="332"/>
      <c r="F47" s="332"/>
      <c r="G47" s="332"/>
      <c r="H47" s="332"/>
    </row>
    <row r="48" spans="1:8">
      <c r="A48" s="332" t="s">
        <v>478</v>
      </c>
      <c r="B48" s="332"/>
      <c r="C48" s="332"/>
      <c r="D48" s="332"/>
      <c r="E48" s="332"/>
      <c r="F48" s="332"/>
      <c r="G48" s="332"/>
      <c r="H48" s="332"/>
    </row>
    <row r="49" spans="1:8">
      <c r="A49" s="332" t="s">
        <v>479</v>
      </c>
      <c r="B49" s="332"/>
      <c r="C49" s="332"/>
      <c r="D49" s="332"/>
      <c r="E49" s="332"/>
      <c r="F49" s="332"/>
      <c r="G49" s="332"/>
      <c r="H49" s="332"/>
    </row>
    <row r="50" spans="1:8">
      <c r="A50" s="332" t="s">
        <v>480</v>
      </c>
      <c r="B50" s="332"/>
      <c r="C50" s="332"/>
      <c r="D50" s="332"/>
      <c r="E50" s="332"/>
      <c r="F50" s="332"/>
      <c r="G50" s="332"/>
      <c r="H50" s="332"/>
    </row>
    <row r="51" spans="1:8">
      <c r="A51" s="332"/>
      <c r="B51" s="332"/>
      <c r="C51" s="332"/>
      <c r="D51" s="332"/>
      <c r="E51" s="332"/>
      <c r="F51" s="332"/>
      <c r="G51" s="332"/>
      <c r="H51" s="332"/>
    </row>
    <row r="52" spans="1:8">
      <c r="A52" s="333" t="s">
        <v>481</v>
      </c>
      <c r="B52" s="333"/>
      <c r="C52" s="333"/>
      <c r="D52" s="333"/>
      <c r="E52" s="333"/>
      <c r="F52" s="333"/>
      <c r="G52" s="333"/>
      <c r="H52" s="332"/>
    </row>
    <row r="53" spans="1:8">
      <c r="A53" s="333" t="s">
        <v>482</v>
      </c>
      <c r="B53" s="333"/>
      <c r="C53" s="333"/>
      <c r="D53" s="333"/>
      <c r="E53" s="333"/>
      <c r="F53" s="333"/>
      <c r="G53" s="333"/>
      <c r="H53" s="332"/>
    </row>
    <row r="54" spans="1:8">
      <c r="A54" s="332"/>
      <c r="B54" s="332"/>
      <c r="C54" s="332"/>
      <c r="D54" s="332"/>
      <c r="E54" s="332"/>
      <c r="F54" s="332"/>
      <c r="G54" s="332"/>
      <c r="H54" s="332"/>
    </row>
    <row r="55" spans="1:8">
      <c r="A55" s="332" t="s">
        <v>483</v>
      </c>
      <c r="B55" s="332"/>
      <c r="C55" s="332"/>
      <c r="D55" s="332"/>
      <c r="E55" s="332"/>
      <c r="F55" s="332"/>
      <c r="G55" s="332"/>
      <c r="H55" s="332"/>
    </row>
    <row r="56" spans="1:8">
      <c r="A56" s="332" t="s">
        <v>484</v>
      </c>
      <c r="B56" s="332"/>
      <c r="C56" s="332"/>
      <c r="D56" s="332"/>
      <c r="E56" s="332"/>
      <c r="F56" s="332"/>
      <c r="G56" s="332"/>
      <c r="H56" s="332"/>
    </row>
    <row r="57" spans="1:8">
      <c r="A57" s="332" t="s">
        <v>485</v>
      </c>
      <c r="B57" s="332"/>
      <c r="C57" s="332"/>
      <c r="D57" s="332"/>
      <c r="E57" s="332"/>
      <c r="F57" s="332"/>
      <c r="G57" s="332"/>
      <c r="H57" s="332"/>
    </row>
    <row r="58" spans="1:8">
      <c r="A58" s="332" t="s">
        <v>486</v>
      </c>
      <c r="B58" s="332"/>
      <c r="C58" s="332"/>
      <c r="D58" s="332"/>
      <c r="E58" s="332"/>
      <c r="F58" s="332"/>
      <c r="G58" s="332"/>
      <c r="H58" s="332"/>
    </row>
    <row r="59" spans="1:8">
      <c r="A59" s="332"/>
      <c r="B59" s="332"/>
      <c r="C59" s="332"/>
      <c r="D59" s="332"/>
      <c r="E59" s="332"/>
      <c r="F59" s="332"/>
      <c r="G59" s="332"/>
      <c r="H59" s="332"/>
    </row>
    <row r="60" spans="1:8">
      <c r="A60" s="332" t="s">
        <v>487</v>
      </c>
      <c r="B60" s="332"/>
      <c r="C60" s="332"/>
      <c r="D60" s="332"/>
      <c r="E60" s="332"/>
      <c r="F60" s="332"/>
      <c r="G60" s="332"/>
      <c r="H60" s="332"/>
    </row>
    <row r="61" spans="1:8">
      <c r="A61" s="332" t="s">
        <v>488</v>
      </c>
      <c r="B61" s="332"/>
      <c r="C61" s="332"/>
      <c r="D61" s="332"/>
      <c r="E61" s="332"/>
      <c r="F61" s="332"/>
      <c r="G61" s="332"/>
      <c r="H61" s="332"/>
    </row>
    <row r="62" spans="1:8">
      <c r="A62" s="332" t="s">
        <v>489</v>
      </c>
      <c r="B62" s="332"/>
      <c r="C62" s="332"/>
      <c r="D62" s="332"/>
      <c r="E62" s="332"/>
      <c r="F62" s="332"/>
      <c r="G62" s="332"/>
      <c r="H62" s="332"/>
    </row>
    <row r="63" spans="1:8">
      <c r="A63" s="332" t="s">
        <v>490</v>
      </c>
      <c r="B63" s="332"/>
      <c r="C63" s="332"/>
      <c r="D63" s="332"/>
      <c r="E63" s="332"/>
      <c r="F63" s="332"/>
      <c r="G63" s="332"/>
      <c r="H63" s="332"/>
    </row>
    <row r="64" spans="1:8">
      <c r="A64" s="332" t="s">
        <v>491</v>
      </c>
      <c r="B64" s="332"/>
      <c r="C64" s="332"/>
      <c r="D64" s="332"/>
      <c r="E64" s="332"/>
      <c r="F64" s="332"/>
      <c r="G64" s="332"/>
      <c r="H64" s="332"/>
    </row>
    <row r="65" spans="1:8">
      <c r="A65" s="332" t="s">
        <v>492</v>
      </c>
      <c r="B65" s="332"/>
      <c r="C65" s="332"/>
      <c r="D65" s="332"/>
      <c r="E65" s="332"/>
      <c r="F65" s="332"/>
      <c r="G65" s="332"/>
      <c r="H65" s="332"/>
    </row>
    <row r="66" spans="1:8">
      <c r="A66" s="332"/>
      <c r="B66" s="332"/>
      <c r="C66" s="332"/>
      <c r="D66" s="332"/>
      <c r="E66" s="332"/>
      <c r="F66" s="332"/>
      <c r="G66" s="332"/>
      <c r="H66" s="332"/>
    </row>
    <row r="67" spans="1:8">
      <c r="A67" s="332" t="s">
        <v>493</v>
      </c>
      <c r="B67" s="332"/>
      <c r="C67" s="332"/>
      <c r="D67" s="332"/>
      <c r="E67" s="332"/>
      <c r="F67" s="332"/>
      <c r="G67" s="332"/>
      <c r="H67" s="332"/>
    </row>
    <row r="68" spans="1:8">
      <c r="A68" s="332" t="s">
        <v>494</v>
      </c>
      <c r="B68" s="332"/>
      <c r="C68" s="332"/>
      <c r="D68" s="332"/>
      <c r="E68" s="332"/>
      <c r="F68" s="332"/>
      <c r="G68" s="332"/>
      <c r="H68" s="332"/>
    </row>
    <row r="69" spans="1:8">
      <c r="A69" s="332" t="s">
        <v>495</v>
      </c>
      <c r="B69" s="332"/>
      <c r="C69" s="332"/>
      <c r="D69" s="332"/>
      <c r="E69" s="332"/>
      <c r="F69" s="332"/>
      <c r="G69" s="332"/>
      <c r="H69" s="332"/>
    </row>
    <row r="70" spans="1:8">
      <c r="A70" s="332" t="s">
        <v>496</v>
      </c>
      <c r="B70" s="332"/>
      <c r="C70" s="332"/>
      <c r="D70" s="332"/>
      <c r="E70" s="332"/>
      <c r="F70" s="332"/>
      <c r="G70" s="332"/>
      <c r="H70" s="332"/>
    </row>
    <row r="71" spans="1:8">
      <c r="A71" s="332" t="s">
        <v>497</v>
      </c>
      <c r="B71" s="332"/>
      <c r="C71" s="332"/>
      <c r="D71" s="332"/>
      <c r="E71" s="332"/>
      <c r="F71" s="332"/>
      <c r="G71" s="332"/>
      <c r="H71" s="332"/>
    </row>
    <row r="72" spans="1:8">
      <c r="A72" s="332" t="s">
        <v>498</v>
      </c>
      <c r="B72" s="332"/>
      <c r="C72" s="332"/>
      <c r="D72" s="332"/>
      <c r="E72" s="332"/>
      <c r="F72" s="332"/>
      <c r="G72" s="332"/>
      <c r="H72" s="332"/>
    </row>
    <row r="73" spans="1:8">
      <c r="A73" s="332" t="s">
        <v>499</v>
      </c>
      <c r="B73" s="332"/>
      <c r="C73" s="332"/>
      <c r="D73" s="332"/>
      <c r="E73" s="332"/>
      <c r="F73" s="332"/>
      <c r="G73" s="332"/>
      <c r="H73" s="332"/>
    </row>
    <row r="74" spans="1:8">
      <c r="A74" s="332"/>
      <c r="B74" s="332"/>
      <c r="C74" s="332"/>
      <c r="D74" s="332"/>
      <c r="E74" s="332"/>
      <c r="F74" s="332"/>
      <c r="G74" s="332"/>
      <c r="H74" s="332"/>
    </row>
    <row r="75" spans="1:8">
      <c r="A75" s="332" t="s">
        <v>500</v>
      </c>
      <c r="B75" s="332"/>
      <c r="C75" s="332"/>
      <c r="D75" s="332"/>
      <c r="E75" s="332"/>
      <c r="F75" s="332"/>
      <c r="G75" s="332"/>
      <c r="H75" s="332"/>
    </row>
    <row r="76" spans="1:8">
      <c r="A76" s="332" t="s">
        <v>501</v>
      </c>
      <c r="B76" s="332"/>
      <c r="C76" s="332"/>
      <c r="D76" s="332"/>
      <c r="E76" s="332"/>
      <c r="F76" s="332"/>
      <c r="G76" s="332"/>
      <c r="H76" s="332"/>
    </row>
    <row r="77" spans="1:8">
      <c r="A77" s="332" t="s">
        <v>502</v>
      </c>
      <c r="B77" s="332"/>
      <c r="C77" s="332"/>
      <c r="D77" s="332"/>
      <c r="E77" s="332"/>
      <c r="F77" s="332"/>
      <c r="G77" s="332"/>
      <c r="H77" s="332"/>
    </row>
    <row r="78" spans="1:8">
      <c r="A78" s="332"/>
      <c r="B78" s="332"/>
      <c r="C78" s="332"/>
      <c r="D78" s="332"/>
      <c r="E78" s="332"/>
      <c r="F78" s="332"/>
      <c r="G78" s="332"/>
      <c r="H78" s="332"/>
    </row>
    <row r="79" spans="1:8">
      <c r="A79" s="332" t="s">
        <v>447</v>
      </c>
    </row>
    <row r="80" spans="1:8">
      <c r="A80" s="333"/>
    </row>
    <row r="81" spans="1:1">
      <c r="A81" s="332"/>
    </row>
    <row r="82" spans="1:1">
      <c r="A82" s="332"/>
    </row>
    <row r="83" spans="1:1">
      <c r="A83" s="332"/>
    </row>
    <row r="84" spans="1:1">
      <c r="A84" s="332"/>
    </row>
    <row r="85" spans="1:1">
      <c r="A85" s="332"/>
    </row>
    <row r="86" spans="1:1">
      <c r="A86" s="332"/>
    </row>
    <row r="87" spans="1:1">
      <c r="A87" s="332"/>
    </row>
    <row r="88" spans="1:1">
      <c r="A88" s="332"/>
    </row>
    <row r="89" spans="1:1">
      <c r="A89" s="332"/>
    </row>
    <row r="90" spans="1:1">
      <c r="A90" s="332"/>
    </row>
    <row r="91" spans="1:1">
      <c r="A91" s="332"/>
    </row>
    <row r="92" spans="1:1">
      <c r="A92" s="332"/>
    </row>
    <row r="93" spans="1:1">
      <c r="A93" s="332"/>
    </row>
    <row r="94" spans="1:1">
      <c r="A94" s="332"/>
    </row>
    <row r="95" spans="1:1">
      <c r="A95" s="332"/>
    </row>
    <row r="96" spans="1:1">
      <c r="A96" s="332"/>
    </row>
    <row r="97" spans="1:1">
      <c r="A97" s="332"/>
    </row>
    <row r="98" spans="1:1">
      <c r="A98" s="332"/>
    </row>
    <row r="99" spans="1:1">
      <c r="A99" s="332"/>
    </row>
    <row r="100" spans="1:1">
      <c r="A100" s="332"/>
    </row>
    <row r="101" spans="1:1">
      <c r="A101" s="332"/>
    </row>
    <row r="103" spans="1:1">
      <c r="A103" s="332"/>
    </row>
    <row r="104" spans="1:1">
      <c r="A104" s="332"/>
    </row>
    <row r="105" spans="1:1">
      <c r="A105" s="332"/>
    </row>
    <row r="107" spans="1:1">
      <c r="A107" s="333"/>
    </row>
    <row r="108" spans="1:1">
      <c r="A108" s="333"/>
    </row>
    <row r="109" spans="1:1">
      <c r="A109" s="333"/>
    </row>
  </sheetData>
  <sheetProtection sheet="1"/>
  <pageMargins left="0.7" right="0.7" top="0.75" bottom="0.75" header="0.3" footer="0.3"/>
  <pageSetup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L75"/>
  <sheetViews>
    <sheetView workbookViewId="0"/>
  </sheetViews>
  <sheetFormatPr defaultRowHeight="15"/>
  <cols>
    <col min="1" max="1" width="71.33203125" customWidth="1"/>
  </cols>
  <sheetData>
    <row r="3" spans="1:12">
      <c r="A3" s="331" t="s">
        <v>503</v>
      </c>
      <c r="B3" s="331"/>
      <c r="C3" s="331"/>
      <c r="D3" s="331"/>
      <c r="E3" s="331"/>
      <c r="F3" s="331"/>
      <c r="G3" s="331"/>
      <c r="H3" s="331"/>
      <c r="I3" s="331"/>
      <c r="J3" s="331"/>
      <c r="K3" s="331"/>
      <c r="L3" s="331"/>
    </row>
    <row r="4" spans="1:12">
      <c r="A4" s="331"/>
      <c r="B4" s="331"/>
      <c r="C4" s="331"/>
      <c r="D4" s="331"/>
      <c r="E4" s="331"/>
      <c r="F4" s="331"/>
      <c r="G4" s="331"/>
      <c r="H4" s="331"/>
      <c r="I4" s="331"/>
      <c r="J4" s="331"/>
      <c r="K4" s="331"/>
      <c r="L4" s="331"/>
    </row>
    <row r="5" spans="1:12">
      <c r="A5" s="332" t="s">
        <v>392</v>
      </c>
      <c r="I5" s="331"/>
      <c r="J5" s="331"/>
      <c r="K5" s="331"/>
      <c r="L5" s="331"/>
    </row>
    <row r="6" spans="1:12">
      <c r="A6" s="332" t="str">
        <f>CONCATENATE("estimated ",inputPrYr!C5-1," 'total expenditures' exceed your ",inputPrYr!C5-1,"")</f>
        <v>estimated 2013 'total expenditures' exceed your 2013</v>
      </c>
      <c r="I6" s="331"/>
      <c r="J6" s="331"/>
      <c r="K6" s="331"/>
      <c r="L6" s="331"/>
    </row>
    <row r="7" spans="1:12">
      <c r="A7" s="335" t="s">
        <v>504</v>
      </c>
      <c r="I7" s="331"/>
      <c r="J7" s="331"/>
      <c r="K7" s="331"/>
      <c r="L7" s="331"/>
    </row>
    <row r="8" spans="1:12">
      <c r="A8" s="332"/>
      <c r="I8" s="331"/>
      <c r="J8" s="331"/>
      <c r="K8" s="331"/>
      <c r="L8" s="331"/>
    </row>
    <row r="9" spans="1:12">
      <c r="A9" s="332" t="s">
        <v>505</v>
      </c>
      <c r="I9" s="331"/>
      <c r="J9" s="331"/>
      <c r="K9" s="331"/>
      <c r="L9" s="331"/>
    </row>
    <row r="10" spans="1:12">
      <c r="A10" s="332" t="s">
        <v>506</v>
      </c>
      <c r="I10" s="331"/>
      <c r="J10" s="331"/>
      <c r="K10" s="331"/>
      <c r="L10" s="331"/>
    </row>
    <row r="11" spans="1:12">
      <c r="A11" s="332" t="s">
        <v>507</v>
      </c>
      <c r="I11" s="331"/>
      <c r="J11" s="331"/>
      <c r="K11" s="331"/>
      <c r="L11" s="331"/>
    </row>
    <row r="12" spans="1:12">
      <c r="A12" s="332" t="s">
        <v>508</v>
      </c>
      <c r="I12" s="331"/>
      <c r="J12" s="331"/>
      <c r="K12" s="331"/>
      <c r="L12" s="331"/>
    </row>
    <row r="13" spans="1:12">
      <c r="A13" s="332" t="s">
        <v>509</v>
      </c>
      <c r="I13" s="331"/>
      <c r="J13" s="331"/>
      <c r="K13" s="331"/>
      <c r="L13" s="331"/>
    </row>
    <row r="14" spans="1:12">
      <c r="A14" s="331"/>
      <c r="B14" s="331"/>
      <c r="C14" s="331"/>
      <c r="D14" s="331"/>
      <c r="E14" s="331"/>
      <c r="F14" s="331"/>
      <c r="G14" s="331"/>
      <c r="H14" s="331"/>
      <c r="I14" s="331"/>
      <c r="J14" s="331"/>
      <c r="K14" s="331"/>
      <c r="L14" s="331"/>
    </row>
    <row r="15" spans="1:12">
      <c r="A15" s="333" t="s">
        <v>510</v>
      </c>
    </row>
    <row r="16" spans="1:12">
      <c r="A16" s="333" t="s">
        <v>511</v>
      </c>
    </row>
    <row r="17" spans="1:7">
      <c r="A17" s="333"/>
    </row>
    <row r="18" spans="1:7">
      <c r="A18" s="332" t="s">
        <v>512</v>
      </c>
      <c r="B18" s="332"/>
      <c r="C18" s="332"/>
      <c r="D18" s="332"/>
      <c r="E18" s="332"/>
      <c r="F18" s="332"/>
      <c r="G18" s="332"/>
    </row>
    <row r="19" spans="1:7">
      <c r="A19" s="332" t="str">
        <f>CONCATENATE("your ",inputPrYr!C5-1," numbers to see what steps might be necessary to")</f>
        <v>your 2013 numbers to see what steps might be necessary to</v>
      </c>
      <c r="B19" s="332"/>
      <c r="C19" s="332"/>
      <c r="D19" s="332"/>
      <c r="E19" s="332"/>
      <c r="F19" s="332"/>
      <c r="G19" s="332"/>
    </row>
    <row r="20" spans="1:7">
      <c r="A20" s="332" t="s">
        <v>513</v>
      </c>
      <c r="B20" s="332"/>
      <c r="C20" s="332"/>
      <c r="D20" s="332"/>
      <c r="E20" s="332"/>
      <c r="F20" s="332"/>
      <c r="G20" s="332"/>
    </row>
    <row r="21" spans="1:7">
      <c r="A21" s="332" t="s">
        <v>514</v>
      </c>
      <c r="B21" s="332"/>
      <c r="C21" s="332"/>
      <c r="D21" s="332"/>
      <c r="E21" s="332"/>
      <c r="F21" s="332"/>
      <c r="G21" s="332"/>
    </row>
    <row r="22" spans="1:7">
      <c r="A22" s="332"/>
    </row>
    <row r="23" spans="1:7">
      <c r="A23" s="333" t="s">
        <v>515</v>
      </c>
    </row>
    <row r="24" spans="1:7">
      <c r="A24" s="333"/>
    </row>
    <row r="25" spans="1:7">
      <c r="A25" s="332" t="s">
        <v>516</v>
      </c>
    </row>
    <row r="26" spans="1:7">
      <c r="A26" s="332" t="s">
        <v>517</v>
      </c>
      <c r="B26" s="332"/>
      <c r="C26" s="332"/>
      <c r="D26" s="332"/>
      <c r="E26" s="332"/>
      <c r="F26" s="332"/>
    </row>
    <row r="27" spans="1:7">
      <c r="A27" s="332" t="s">
        <v>518</v>
      </c>
      <c r="B27" s="332"/>
      <c r="C27" s="332"/>
      <c r="D27" s="332"/>
      <c r="E27" s="332"/>
      <c r="F27" s="332"/>
    </row>
    <row r="28" spans="1:7">
      <c r="A28" s="332" t="s">
        <v>519</v>
      </c>
      <c r="B28" s="332"/>
      <c r="C28" s="332"/>
      <c r="D28" s="332"/>
      <c r="E28" s="332"/>
      <c r="F28" s="332"/>
    </row>
    <row r="29" spans="1:7">
      <c r="A29" s="332"/>
      <c r="B29" s="332"/>
      <c r="C29" s="332"/>
      <c r="D29" s="332"/>
      <c r="E29" s="332"/>
      <c r="F29" s="332"/>
    </row>
    <row r="30" spans="1:7">
      <c r="A30" s="333" t="s">
        <v>520</v>
      </c>
      <c r="B30" s="333"/>
      <c r="C30" s="333"/>
      <c r="D30" s="333"/>
      <c r="E30" s="333"/>
      <c r="F30" s="333"/>
      <c r="G30" s="333"/>
    </row>
    <row r="31" spans="1:7">
      <c r="A31" s="333" t="s">
        <v>521</v>
      </c>
      <c r="B31" s="333"/>
      <c r="C31" s="333"/>
      <c r="D31" s="333"/>
      <c r="E31" s="333"/>
      <c r="F31" s="333"/>
      <c r="G31" s="333"/>
    </row>
    <row r="32" spans="1:7">
      <c r="A32" s="332"/>
      <c r="B32" s="332"/>
      <c r="C32" s="332"/>
      <c r="D32" s="332"/>
      <c r="E32" s="332"/>
      <c r="F32" s="332"/>
    </row>
    <row r="33" spans="1:6">
      <c r="A33" s="336" t="str">
        <f>CONCATENATE("Well, let's look to see if any of your ",inputPrYr!C5-1," expenditures can")</f>
        <v>Well, let's look to see if any of your 2013 expenditures can</v>
      </c>
      <c r="B33" s="332"/>
      <c r="C33" s="332"/>
      <c r="D33" s="332"/>
      <c r="E33" s="332"/>
      <c r="F33" s="332"/>
    </row>
    <row r="34" spans="1:6">
      <c r="A34" s="336" t="s">
        <v>522</v>
      </c>
      <c r="B34" s="332"/>
      <c r="C34" s="332"/>
      <c r="D34" s="332"/>
      <c r="E34" s="332"/>
      <c r="F34" s="332"/>
    </row>
    <row r="35" spans="1:6">
      <c r="A35" s="336" t="s">
        <v>406</v>
      </c>
      <c r="B35" s="332"/>
      <c r="C35" s="332"/>
      <c r="D35" s="332"/>
      <c r="E35" s="332"/>
      <c r="F35" s="332"/>
    </row>
    <row r="36" spans="1:6">
      <c r="A36" s="336" t="s">
        <v>407</v>
      </c>
      <c r="B36" s="332"/>
      <c r="C36" s="332"/>
      <c r="D36" s="332"/>
      <c r="E36" s="332"/>
      <c r="F36" s="332"/>
    </row>
    <row r="37" spans="1:6">
      <c r="A37" s="336"/>
      <c r="B37" s="332"/>
      <c r="C37" s="332"/>
      <c r="D37" s="332"/>
      <c r="E37" s="332"/>
      <c r="F37" s="332"/>
    </row>
    <row r="38" spans="1:6">
      <c r="A38" s="336" t="str">
        <f>CONCATENATE("Additionally, do your ",inputPrYr!C5-1," receipts contain a reimbursement")</f>
        <v>Additionally, do your 2013 receipts contain a reimbursement</v>
      </c>
      <c r="B38" s="332"/>
      <c r="C38" s="332"/>
      <c r="D38" s="332"/>
      <c r="E38" s="332"/>
      <c r="F38" s="332"/>
    </row>
    <row r="39" spans="1:6">
      <c r="A39" s="336" t="s">
        <v>408</v>
      </c>
      <c r="B39" s="332"/>
      <c r="C39" s="332"/>
      <c r="D39" s="332"/>
      <c r="E39" s="332"/>
      <c r="F39" s="332"/>
    </row>
    <row r="40" spans="1:6">
      <c r="A40" s="336" t="s">
        <v>409</v>
      </c>
      <c r="B40" s="332"/>
      <c r="C40" s="332"/>
      <c r="D40" s="332"/>
      <c r="E40" s="332"/>
      <c r="F40" s="332"/>
    </row>
    <row r="41" spans="1:6">
      <c r="A41" s="336"/>
      <c r="B41" s="332"/>
      <c r="C41" s="332"/>
      <c r="D41" s="332"/>
      <c r="E41" s="332"/>
      <c r="F41" s="332"/>
    </row>
    <row r="42" spans="1:6">
      <c r="A42" s="336" t="s">
        <v>410</v>
      </c>
      <c r="B42" s="332"/>
      <c r="C42" s="332"/>
      <c r="D42" s="332"/>
      <c r="E42" s="332"/>
      <c r="F42" s="332"/>
    </row>
    <row r="43" spans="1:6">
      <c r="A43" s="336" t="s">
        <v>411</v>
      </c>
      <c r="B43" s="332"/>
      <c r="C43" s="332"/>
      <c r="D43" s="332"/>
      <c r="E43" s="332"/>
      <c r="F43" s="332"/>
    </row>
    <row r="44" spans="1:6">
      <c r="A44" s="336" t="s">
        <v>412</v>
      </c>
      <c r="B44" s="332"/>
      <c r="C44" s="332"/>
      <c r="D44" s="332"/>
      <c r="E44" s="332"/>
      <c r="F44" s="332"/>
    </row>
    <row r="45" spans="1:6">
      <c r="A45" s="336" t="s">
        <v>523</v>
      </c>
      <c r="B45" s="332"/>
      <c r="C45" s="332"/>
      <c r="D45" s="332"/>
      <c r="E45" s="332"/>
      <c r="F45" s="332"/>
    </row>
    <row r="46" spans="1:6">
      <c r="A46" s="336" t="s">
        <v>414</v>
      </c>
      <c r="B46" s="332"/>
      <c r="C46" s="332"/>
      <c r="D46" s="332"/>
      <c r="E46" s="332"/>
      <c r="F46" s="332"/>
    </row>
    <row r="47" spans="1:6">
      <c r="A47" s="336" t="s">
        <v>524</v>
      </c>
      <c r="B47" s="332"/>
      <c r="C47" s="332"/>
      <c r="D47" s="332"/>
      <c r="E47" s="332"/>
      <c r="F47" s="332"/>
    </row>
    <row r="48" spans="1:6">
      <c r="A48" s="336" t="s">
        <v>525</v>
      </c>
      <c r="B48" s="332"/>
      <c r="C48" s="332"/>
      <c r="D48" s="332"/>
      <c r="E48" s="332"/>
      <c r="F48" s="332"/>
    </row>
    <row r="49" spans="1:6">
      <c r="A49" s="336" t="s">
        <v>417</v>
      </c>
      <c r="B49" s="332"/>
      <c r="C49" s="332"/>
      <c r="D49" s="332"/>
      <c r="E49" s="332"/>
      <c r="F49" s="332"/>
    </row>
    <row r="50" spans="1:6">
      <c r="A50" s="336"/>
      <c r="B50" s="332"/>
      <c r="C50" s="332"/>
      <c r="D50" s="332"/>
      <c r="E50" s="332"/>
      <c r="F50" s="332"/>
    </row>
    <row r="51" spans="1:6">
      <c r="A51" s="336" t="s">
        <v>418</v>
      </c>
      <c r="B51" s="332"/>
      <c r="C51" s="332"/>
      <c r="D51" s="332"/>
      <c r="E51" s="332"/>
      <c r="F51" s="332"/>
    </row>
    <row r="52" spans="1:6">
      <c r="A52" s="336" t="s">
        <v>419</v>
      </c>
      <c r="B52" s="332"/>
      <c r="C52" s="332"/>
      <c r="D52" s="332"/>
      <c r="E52" s="332"/>
      <c r="F52" s="332"/>
    </row>
    <row r="53" spans="1:6">
      <c r="A53" s="336" t="s">
        <v>420</v>
      </c>
      <c r="B53" s="332"/>
      <c r="C53" s="332"/>
      <c r="D53" s="332"/>
      <c r="E53" s="332"/>
      <c r="F53" s="332"/>
    </row>
    <row r="54" spans="1:6">
      <c r="A54" s="336"/>
      <c r="B54" s="332"/>
      <c r="C54" s="332"/>
      <c r="D54" s="332"/>
      <c r="E54" s="332"/>
      <c r="F54" s="332"/>
    </row>
    <row r="55" spans="1:6">
      <c r="A55" s="336" t="s">
        <v>526</v>
      </c>
      <c r="B55" s="332"/>
      <c r="C55" s="332"/>
      <c r="D55" s="332"/>
      <c r="E55" s="332"/>
      <c r="F55" s="332"/>
    </row>
    <row r="56" spans="1:6">
      <c r="A56" s="336" t="s">
        <v>527</v>
      </c>
      <c r="B56" s="332"/>
      <c r="C56" s="332"/>
      <c r="D56" s="332"/>
      <c r="E56" s="332"/>
      <c r="F56" s="332"/>
    </row>
    <row r="57" spans="1:6">
      <c r="A57" s="336" t="s">
        <v>528</v>
      </c>
      <c r="B57" s="332"/>
      <c r="C57" s="332"/>
      <c r="D57" s="332"/>
      <c r="E57" s="332"/>
      <c r="F57" s="332"/>
    </row>
    <row r="58" spans="1:6">
      <c r="A58" s="336" t="s">
        <v>529</v>
      </c>
      <c r="B58" s="332"/>
      <c r="C58" s="332"/>
      <c r="D58" s="332"/>
      <c r="E58" s="332"/>
      <c r="F58" s="332"/>
    </row>
    <row r="59" spans="1:6">
      <c r="A59" s="336" t="s">
        <v>530</v>
      </c>
      <c r="B59" s="332"/>
      <c r="C59" s="332"/>
      <c r="D59" s="332"/>
      <c r="E59" s="332"/>
      <c r="F59" s="332"/>
    </row>
    <row r="60" spans="1:6">
      <c r="A60" s="336"/>
      <c r="B60" s="332"/>
      <c r="C60" s="332"/>
      <c r="D60" s="332"/>
      <c r="E60" s="332"/>
      <c r="F60" s="332"/>
    </row>
    <row r="61" spans="1:6">
      <c r="A61" s="337" t="s">
        <v>531</v>
      </c>
      <c r="B61" s="332"/>
      <c r="C61" s="332"/>
      <c r="D61" s="332"/>
      <c r="E61" s="332"/>
      <c r="F61" s="332"/>
    </row>
    <row r="62" spans="1:6">
      <c r="A62" s="337" t="s">
        <v>532</v>
      </c>
      <c r="B62" s="332"/>
      <c r="C62" s="332"/>
      <c r="D62" s="332"/>
      <c r="E62" s="332"/>
      <c r="F62" s="332"/>
    </row>
    <row r="63" spans="1:6">
      <c r="A63" s="337" t="s">
        <v>533</v>
      </c>
      <c r="B63" s="332"/>
      <c r="C63" s="332"/>
      <c r="D63" s="332"/>
      <c r="E63" s="332"/>
      <c r="F63" s="332"/>
    </row>
    <row r="64" spans="1:6">
      <c r="A64" s="337" t="s">
        <v>534</v>
      </c>
    </row>
    <row r="65" spans="1:1">
      <c r="A65" s="337" t="s">
        <v>535</v>
      </c>
    </row>
    <row r="66" spans="1:1">
      <c r="A66" s="337" t="s">
        <v>536</v>
      </c>
    </row>
    <row r="68" spans="1:1">
      <c r="A68" s="332" t="s">
        <v>537</v>
      </c>
    </row>
    <row r="69" spans="1:1">
      <c r="A69" s="332" t="s">
        <v>538</v>
      </c>
    </row>
    <row r="70" spans="1:1">
      <c r="A70" s="332" t="s">
        <v>539</v>
      </c>
    </row>
    <row r="71" spans="1:1">
      <c r="A71" s="332" t="s">
        <v>540</v>
      </c>
    </row>
    <row r="72" spans="1:1">
      <c r="A72" s="332" t="s">
        <v>541</v>
      </c>
    </row>
    <row r="73" spans="1:1">
      <c r="A73" s="332" t="s">
        <v>542</v>
      </c>
    </row>
    <row r="75" spans="1:1">
      <c r="A75" s="332" t="s">
        <v>447</v>
      </c>
    </row>
  </sheetData>
  <sheetProtection sheet="1"/>
  <pageMargins left="0.7" right="0.7" top="0.75" bottom="0.75" header="0.3" footer="0.3"/>
  <pageSetup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G106"/>
  <sheetViews>
    <sheetView workbookViewId="0"/>
  </sheetViews>
  <sheetFormatPr defaultRowHeight="15"/>
  <cols>
    <col min="1" max="1" width="71.33203125" customWidth="1"/>
  </cols>
  <sheetData>
    <row r="3" spans="1:7">
      <c r="A3" s="331" t="s">
        <v>543</v>
      </c>
      <c r="B3" s="331"/>
      <c r="C3" s="331"/>
      <c r="D3" s="331"/>
      <c r="E3" s="331"/>
      <c r="F3" s="331"/>
      <c r="G3" s="331"/>
    </row>
    <row r="4" spans="1:7">
      <c r="A4" s="331"/>
      <c r="B4" s="331"/>
      <c r="C4" s="331"/>
      <c r="D4" s="331"/>
      <c r="E4" s="331"/>
      <c r="F4" s="331"/>
      <c r="G4" s="331"/>
    </row>
    <row r="5" spans="1:7">
      <c r="A5" s="332" t="s">
        <v>449</v>
      </c>
    </row>
    <row r="6" spans="1:7">
      <c r="A6" s="332" t="str">
        <f>CONCATENATE(inputPrYr!C5," estimated expenditures show that at the end of this year")</f>
        <v>2014 estimated expenditures show that at the end of this year</v>
      </c>
    </row>
    <row r="7" spans="1:7">
      <c r="A7" s="332" t="s">
        <v>544</v>
      </c>
    </row>
    <row r="8" spans="1:7">
      <c r="A8" s="332" t="s">
        <v>545</v>
      </c>
    </row>
    <row r="10" spans="1:7">
      <c r="A10" t="s">
        <v>451</v>
      </c>
    </row>
    <row r="11" spans="1:7">
      <c r="A11" t="s">
        <v>452</v>
      </c>
    </row>
    <row r="12" spans="1:7">
      <c r="A12" t="s">
        <v>453</v>
      </c>
    </row>
    <row r="13" spans="1:7">
      <c r="A13" s="331"/>
      <c r="B13" s="331"/>
      <c r="C13" s="331"/>
      <c r="D13" s="331"/>
      <c r="E13" s="331"/>
      <c r="F13" s="331"/>
      <c r="G13" s="331"/>
    </row>
    <row r="14" spans="1:7">
      <c r="A14" s="333" t="s">
        <v>546</v>
      </c>
    </row>
    <row r="15" spans="1:7">
      <c r="A15" s="332"/>
    </row>
    <row r="16" spans="1:7">
      <c r="A16" s="332" t="s">
        <v>547</v>
      </c>
    </row>
    <row r="17" spans="1:7">
      <c r="A17" s="332" t="s">
        <v>548</v>
      </c>
    </row>
    <row r="18" spans="1:7">
      <c r="A18" s="332" t="s">
        <v>549</v>
      </c>
    </row>
    <row r="19" spans="1:7">
      <c r="A19" s="332"/>
    </row>
    <row r="20" spans="1:7">
      <c r="A20" s="332" t="s">
        <v>550</v>
      </c>
    </row>
    <row r="21" spans="1:7">
      <c r="A21" s="332" t="s">
        <v>551</v>
      </c>
    </row>
    <row r="22" spans="1:7">
      <c r="A22" s="332" t="s">
        <v>552</v>
      </c>
    </row>
    <row r="23" spans="1:7">
      <c r="A23" s="332" t="s">
        <v>553</v>
      </c>
    </row>
    <row r="24" spans="1:7">
      <c r="A24" s="332"/>
    </row>
    <row r="25" spans="1:7">
      <c r="A25" s="333" t="s">
        <v>515</v>
      </c>
    </row>
    <row r="26" spans="1:7">
      <c r="A26" s="333"/>
    </row>
    <row r="27" spans="1:7">
      <c r="A27" s="332" t="s">
        <v>516</v>
      </c>
    </row>
    <row r="28" spans="1:7">
      <c r="A28" s="332" t="s">
        <v>517</v>
      </c>
      <c r="B28" s="332"/>
      <c r="C28" s="332"/>
      <c r="D28" s="332"/>
      <c r="E28" s="332"/>
      <c r="F28" s="332"/>
    </row>
    <row r="29" spans="1:7">
      <c r="A29" s="332" t="s">
        <v>518</v>
      </c>
      <c r="B29" s="332"/>
      <c r="C29" s="332"/>
      <c r="D29" s="332"/>
      <c r="E29" s="332"/>
      <c r="F29" s="332"/>
    </row>
    <row r="30" spans="1:7">
      <c r="A30" s="332" t="s">
        <v>519</v>
      </c>
      <c r="B30" s="332"/>
      <c r="C30" s="332"/>
      <c r="D30" s="332"/>
      <c r="E30" s="332"/>
      <c r="F30" s="332"/>
    </row>
    <row r="31" spans="1:7">
      <c r="A31" s="332"/>
    </row>
    <row r="32" spans="1:7">
      <c r="A32" s="333" t="s">
        <v>520</v>
      </c>
      <c r="B32" s="333"/>
      <c r="C32" s="333"/>
      <c r="D32" s="333"/>
      <c r="E32" s="333"/>
      <c r="F32" s="333"/>
      <c r="G32" s="333"/>
    </row>
    <row r="33" spans="1:7">
      <c r="A33" s="333" t="s">
        <v>521</v>
      </c>
      <c r="B33" s="333"/>
      <c r="C33" s="333"/>
      <c r="D33" s="333"/>
      <c r="E33" s="333"/>
      <c r="F33" s="333"/>
      <c r="G33" s="333"/>
    </row>
    <row r="34" spans="1:7">
      <c r="A34" s="333"/>
      <c r="B34" s="333"/>
      <c r="C34" s="333"/>
      <c r="D34" s="333"/>
      <c r="E34" s="333"/>
      <c r="F34" s="333"/>
      <c r="G34" s="333"/>
    </row>
    <row r="35" spans="1:7">
      <c r="A35" s="332" t="s">
        <v>554</v>
      </c>
      <c r="B35" s="332"/>
      <c r="C35" s="332"/>
      <c r="D35" s="332"/>
      <c r="E35" s="332"/>
      <c r="F35" s="332"/>
      <c r="G35" s="332"/>
    </row>
    <row r="36" spans="1:7">
      <c r="A36" s="332" t="s">
        <v>555</v>
      </c>
      <c r="B36" s="332"/>
      <c r="C36" s="332"/>
      <c r="D36" s="332"/>
      <c r="E36" s="332"/>
      <c r="F36" s="332"/>
      <c r="G36" s="332"/>
    </row>
    <row r="37" spans="1:7">
      <c r="A37" s="332" t="s">
        <v>556</v>
      </c>
      <c r="B37" s="332"/>
      <c r="C37" s="332"/>
      <c r="D37" s="332"/>
      <c r="E37" s="332"/>
      <c r="F37" s="332"/>
      <c r="G37" s="332"/>
    </row>
    <row r="38" spans="1:7">
      <c r="A38" s="332" t="s">
        <v>557</v>
      </c>
      <c r="B38" s="332"/>
      <c r="C38" s="332"/>
      <c r="D38" s="332"/>
      <c r="E38" s="332"/>
      <c r="F38" s="332"/>
      <c r="G38" s="332"/>
    </row>
    <row r="39" spans="1:7">
      <c r="A39" s="332" t="s">
        <v>558</v>
      </c>
      <c r="B39" s="332"/>
      <c r="C39" s="332"/>
      <c r="D39" s="332"/>
      <c r="E39" s="332"/>
      <c r="F39" s="332"/>
      <c r="G39" s="332"/>
    </row>
    <row r="40" spans="1:7">
      <c r="A40" s="333"/>
      <c r="B40" s="333"/>
      <c r="C40" s="333"/>
      <c r="D40" s="333"/>
      <c r="E40" s="333"/>
      <c r="F40" s="333"/>
      <c r="G40" s="333"/>
    </row>
    <row r="41" spans="1:7">
      <c r="A41" s="336" t="str">
        <f>CONCATENATE("So, let's look to see if any of your ",inputPrYr!C5-1," expenditures can")</f>
        <v>So, let's look to see if any of your 2013 expenditures can</v>
      </c>
      <c r="B41" s="332"/>
      <c r="C41" s="332"/>
      <c r="D41" s="332"/>
      <c r="E41" s="332"/>
      <c r="F41" s="332"/>
    </row>
    <row r="42" spans="1:7">
      <c r="A42" s="336" t="s">
        <v>522</v>
      </c>
      <c r="B42" s="332"/>
      <c r="C42" s="332"/>
      <c r="D42" s="332"/>
      <c r="E42" s="332"/>
      <c r="F42" s="332"/>
    </row>
    <row r="43" spans="1:7">
      <c r="A43" s="336" t="s">
        <v>406</v>
      </c>
      <c r="B43" s="332"/>
      <c r="C43" s="332"/>
      <c r="D43" s="332"/>
      <c r="E43" s="332"/>
      <c r="F43" s="332"/>
    </row>
    <row r="44" spans="1:7">
      <c r="A44" s="336" t="s">
        <v>407</v>
      </c>
      <c r="B44" s="332"/>
      <c r="C44" s="332"/>
      <c r="D44" s="332"/>
      <c r="E44" s="332"/>
      <c r="F44" s="332"/>
    </row>
    <row r="45" spans="1:7">
      <c r="A45" s="332"/>
    </row>
    <row r="46" spans="1:7">
      <c r="A46" s="336" t="str">
        <f>CONCATENATE("Additionally, do your ",inputPrYr!C5-1," receipts contain a reimbursement")</f>
        <v>Additionally, do your 2013 receipts contain a reimbursement</v>
      </c>
      <c r="B46" s="332"/>
      <c r="C46" s="332"/>
      <c r="D46" s="332"/>
      <c r="E46" s="332"/>
      <c r="F46" s="332"/>
    </row>
    <row r="47" spans="1:7">
      <c r="A47" s="336" t="s">
        <v>408</v>
      </c>
      <c r="B47" s="332"/>
      <c r="C47" s="332"/>
      <c r="D47" s="332"/>
      <c r="E47" s="332"/>
      <c r="F47" s="332"/>
    </row>
    <row r="48" spans="1:7">
      <c r="A48" s="336" t="s">
        <v>409</v>
      </c>
      <c r="B48" s="332"/>
      <c r="C48" s="332"/>
      <c r="D48" s="332"/>
      <c r="E48" s="332"/>
      <c r="F48" s="332"/>
    </row>
    <row r="49" spans="1:7">
      <c r="A49" s="332"/>
      <c r="B49" s="332"/>
      <c r="C49" s="332"/>
      <c r="D49" s="332"/>
      <c r="E49" s="332"/>
      <c r="F49" s="332"/>
      <c r="G49" s="332"/>
    </row>
    <row r="50" spans="1:7">
      <c r="A50" s="332" t="s">
        <v>476</v>
      </c>
      <c r="B50" s="332"/>
      <c r="C50" s="332"/>
      <c r="D50" s="332"/>
      <c r="E50" s="332"/>
      <c r="F50" s="332"/>
      <c r="G50" s="332"/>
    </row>
    <row r="51" spans="1:7">
      <c r="A51" s="332" t="s">
        <v>477</v>
      </c>
      <c r="B51" s="332"/>
      <c r="C51" s="332"/>
      <c r="D51" s="332"/>
      <c r="E51" s="332"/>
      <c r="F51" s="332"/>
      <c r="G51" s="332"/>
    </row>
    <row r="52" spans="1:7">
      <c r="A52" s="332" t="s">
        <v>478</v>
      </c>
      <c r="B52" s="332"/>
      <c r="C52" s="332"/>
      <c r="D52" s="332"/>
      <c r="E52" s="332"/>
      <c r="F52" s="332"/>
      <c r="G52" s="332"/>
    </row>
    <row r="53" spans="1:7">
      <c r="A53" s="332" t="s">
        <v>479</v>
      </c>
      <c r="B53" s="332"/>
      <c r="C53" s="332"/>
      <c r="D53" s="332"/>
      <c r="E53" s="332"/>
      <c r="F53" s="332"/>
      <c r="G53" s="332"/>
    </row>
    <row r="54" spans="1:7">
      <c r="A54" s="332" t="s">
        <v>480</v>
      </c>
      <c r="B54" s="332"/>
      <c r="C54" s="332"/>
      <c r="D54" s="332"/>
      <c r="E54" s="332"/>
      <c r="F54" s="332"/>
      <c r="G54" s="332"/>
    </row>
    <row r="55" spans="1:7">
      <c r="A55" s="332"/>
      <c r="B55" s="332"/>
      <c r="C55" s="332"/>
      <c r="D55" s="332"/>
      <c r="E55" s="332"/>
      <c r="F55" s="332"/>
      <c r="G55" s="332"/>
    </row>
    <row r="56" spans="1:7">
      <c r="A56" s="336" t="s">
        <v>418</v>
      </c>
      <c r="B56" s="332"/>
      <c r="C56" s="332"/>
      <c r="D56" s="332"/>
      <c r="E56" s="332"/>
      <c r="F56" s="332"/>
    </row>
    <row r="57" spans="1:7">
      <c r="A57" s="336" t="s">
        <v>419</v>
      </c>
      <c r="B57" s="332"/>
      <c r="C57" s="332"/>
      <c r="D57" s="332"/>
      <c r="E57" s="332"/>
      <c r="F57" s="332"/>
    </row>
    <row r="58" spans="1:7">
      <c r="A58" s="336" t="s">
        <v>420</v>
      </c>
      <c r="B58" s="332"/>
      <c r="C58" s="332"/>
      <c r="D58" s="332"/>
      <c r="E58" s="332"/>
      <c r="F58" s="332"/>
    </row>
    <row r="59" spans="1:7">
      <c r="A59" s="336"/>
      <c r="B59" s="332"/>
      <c r="C59" s="332"/>
      <c r="D59" s="332"/>
      <c r="E59" s="332"/>
      <c r="F59" s="332"/>
    </row>
    <row r="60" spans="1:7">
      <c r="A60" s="332" t="s">
        <v>559</v>
      </c>
      <c r="B60" s="332"/>
      <c r="C60" s="332"/>
      <c r="D60" s="332"/>
      <c r="E60" s="332"/>
      <c r="F60" s="332"/>
      <c r="G60" s="332"/>
    </row>
    <row r="61" spans="1:7">
      <c r="A61" s="332" t="s">
        <v>560</v>
      </c>
      <c r="B61" s="332"/>
      <c r="C61" s="332"/>
      <c r="D61" s="332"/>
      <c r="E61" s="332"/>
      <c r="F61" s="332"/>
      <c r="G61" s="332"/>
    </row>
    <row r="62" spans="1:7">
      <c r="A62" s="332" t="s">
        <v>561</v>
      </c>
      <c r="B62" s="332"/>
      <c r="C62" s="332"/>
      <c r="D62" s="332"/>
      <c r="E62" s="332"/>
      <c r="F62" s="332"/>
      <c r="G62" s="332"/>
    </row>
    <row r="63" spans="1:7">
      <c r="A63" s="332" t="s">
        <v>562</v>
      </c>
      <c r="B63" s="332"/>
      <c r="C63" s="332"/>
      <c r="D63" s="332"/>
      <c r="E63" s="332"/>
      <c r="F63" s="332"/>
      <c r="G63" s="332"/>
    </row>
    <row r="64" spans="1:7">
      <c r="A64" s="332" t="s">
        <v>563</v>
      </c>
      <c r="B64" s="332"/>
      <c r="C64" s="332"/>
      <c r="D64" s="332"/>
      <c r="E64" s="332"/>
      <c r="F64" s="332"/>
      <c r="G64" s="332"/>
    </row>
    <row r="66" spans="1:6">
      <c r="A66" s="336" t="s">
        <v>526</v>
      </c>
      <c r="B66" s="332"/>
      <c r="C66" s="332"/>
      <c r="D66" s="332"/>
      <c r="E66" s="332"/>
      <c r="F66" s="332"/>
    </row>
    <row r="67" spans="1:6">
      <c r="A67" s="336" t="s">
        <v>527</v>
      </c>
      <c r="B67" s="332"/>
      <c r="C67" s="332"/>
      <c r="D67" s="332"/>
      <c r="E67" s="332"/>
      <c r="F67" s="332"/>
    </row>
    <row r="68" spans="1:6">
      <c r="A68" s="336" t="s">
        <v>528</v>
      </c>
      <c r="B68" s="332"/>
      <c r="C68" s="332"/>
      <c r="D68" s="332"/>
      <c r="E68" s="332"/>
      <c r="F68" s="332"/>
    </row>
    <row r="69" spans="1:6">
      <c r="A69" s="336" t="s">
        <v>529</v>
      </c>
      <c r="B69" s="332"/>
      <c r="C69" s="332"/>
      <c r="D69" s="332"/>
      <c r="E69" s="332"/>
      <c r="F69" s="332"/>
    </row>
    <row r="70" spans="1:6">
      <c r="A70" s="336" t="s">
        <v>530</v>
      </c>
      <c r="B70" s="332"/>
      <c r="C70" s="332"/>
      <c r="D70" s="332"/>
      <c r="E70" s="332"/>
      <c r="F70" s="332"/>
    </row>
    <row r="71" spans="1:6">
      <c r="A71" s="332"/>
    </row>
    <row r="72" spans="1:6">
      <c r="A72" s="332" t="s">
        <v>447</v>
      </c>
    </row>
    <row r="73" spans="1:6">
      <c r="A73" s="332"/>
    </row>
    <row r="74" spans="1:6">
      <c r="A74" s="332"/>
    </row>
    <row r="75" spans="1:6">
      <c r="A75" s="332"/>
    </row>
    <row r="78" spans="1:6">
      <c r="A78" s="333"/>
    </row>
    <row r="80" spans="1:6">
      <c r="A80" s="332"/>
    </row>
    <row r="81" spans="1:1">
      <c r="A81" s="332"/>
    </row>
    <row r="82" spans="1:1">
      <c r="A82" s="332"/>
    </row>
    <row r="83" spans="1:1">
      <c r="A83" s="332"/>
    </row>
    <row r="84" spans="1:1">
      <c r="A84" s="332"/>
    </row>
    <row r="85" spans="1:1">
      <c r="A85" s="332"/>
    </row>
    <row r="86" spans="1:1">
      <c r="A86" s="332"/>
    </row>
    <row r="87" spans="1:1">
      <c r="A87" s="332"/>
    </row>
    <row r="88" spans="1:1">
      <c r="A88" s="332"/>
    </row>
    <row r="89" spans="1:1">
      <c r="A89" s="332"/>
    </row>
    <row r="90" spans="1:1">
      <c r="A90" s="332"/>
    </row>
    <row r="92" spans="1:1">
      <c r="A92" s="332"/>
    </row>
    <row r="93" spans="1:1">
      <c r="A93" s="332"/>
    </row>
    <row r="94" spans="1:1">
      <c r="A94" s="332"/>
    </row>
    <row r="95" spans="1:1">
      <c r="A95" s="332"/>
    </row>
    <row r="96" spans="1:1">
      <c r="A96" s="332"/>
    </row>
    <row r="97" spans="1:1">
      <c r="A97" s="332"/>
    </row>
    <row r="98" spans="1:1">
      <c r="A98" s="332"/>
    </row>
    <row r="99" spans="1:1">
      <c r="A99" s="332"/>
    </row>
    <row r="100" spans="1:1">
      <c r="A100" s="332"/>
    </row>
    <row r="101" spans="1:1">
      <c r="A101" s="332"/>
    </row>
    <row r="102" spans="1:1">
      <c r="A102" s="332"/>
    </row>
    <row r="103" spans="1:1">
      <c r="A103" s="332"/>
    </row>
    <row r="104" spans="1:1">
      <c r="A104" s="332"/>
    </row>
    <row r="105" spans="1:1">
      <c r="A105" s="332"/>
    </row>
    <row r="106" spans="1:1">
      <c r="A106" s="332"/>
    </row>
  </sheetData>
  <sheetProtection sheet="1"/>
  <pageMargins left="0.7" right="0.7" top="0.75" bottom="0.75" header="0.3" footer="0.3"/>
  <pageSetup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H52"/>
  <sheetViews>
    <sheetView workbookViewId="0"/>
  </sheetViews>
  <sheetFormatPr defaultRowHeight="15"/>
  <cols>
    <col min="1" max="1" width="71.33203125" customWidth="1"/>
  </cols>
  <sheetData>
    <row r="3" spans="1:7">
      <c r="A3" s="331" t="s">
        <v>564</v>
      </c>
      <c r="B3" s="331"/>
      <c r="C3" s="331"/>
      <c r="D3" s="331"/>
      <c r="E3" s="331"/>
      <c r="F3" s="331"/>
      <c r="G3" s="331"/>
    </row>
    <row r="4" spans="1:7">
      <c r="A4" s="331" t="s">
        <v>565</v>
      </c>
      <c r="B4" s="331"/>
      <c r="C4" s="331"/>
      <c r="D4" s="331"/>
      <c r="E4" s="331"/>
      <c r="F4" s="331"/>
      <c r="G4" s="331"/>
    </row>
    <row r="5" spans="1:7">
      <c r="A5" s="331"/>
      <c r="B5" s="331"/>
      <c r="C5" s="331"/>
      <c r="D5" s="331"/>
      <c r="E5" s="331"/>
      <c r="F5" s="331"/>
      <c r="G5" s="331"/>
    </row>
    <row r="6" spans="1:7">
      <c r="A6" s="331"/>
      <c r="B6" s="331"/>
      <c r="C6" s="331"/>
      <c r="D6" s="331"/>
      <c r="E6" s="331"/>
      <c r="F6" s="331"/>
      <c r="G6" s="331"/>
    </row>
    <row r="7" spans="1:7">
      <c r="A7" s="332" t="s">
        <v>392</v>
      </c>
    </row>
    <row r="8" spans="1:7">
      <c r="A8" s="332" t="str">
        <f>CONCATENATE("estimated ",inputPrYr!C5," 'total expenditures' exceed your ",inputPrYr!C5,"")</f>
        <v>estimated 2014 'total expenditures' exceed your 2014</v>
      </c>
    </row>
    <row r="9" spans="1:7">
      <c r="A9" s="335" t="s">
        <v>566</v>
      </c>
    </row>
    <row r="10" spans="1:7">
      <c r="A10" s="332"/>
    </row>
    <row r="11" spans="1:7">
      <c r="A11" s="332" t="s">
        <v>567</v>
      </c>
    </row>
    <row r="12" spans="1:7">
      <c r="A12" s="332" t="s">
        <v>568</v>
      </c>
    </row>
    <row r="13" spans="1:7">
      <c r="A13" s="332" t="s">
        <v>569</v>
      </c>
    </row>
    <row r="14" spans="1:7">
      <c r="A14" s="332"/>
    </row>
    <row r="15" spans="1:7">
      <c r="A15" s="333" t="s">
        <v>570</v>
      </c>
    </row>
    <row r="16" spans="1:7">
      <c r="A16" s="331"/>
      <c r="B16" s="331"/>
      <c r="C16" s="331"/>
      <c r="D16" s="331"/>
      <c r="E16" s="331"/>
      <c r="F16" s="331"/>
      <c r="G16" s="331"/>
    </row>
    <row r="17" spans="1:8">
      <c r="A17" s="338" t="s">
        <v>571</v>
      </c>
      <c r="B17" s="339"/>
      <c r="C17" s="339"/>
      <c r="D17" s="339"/>
      <c r="E17" s="339"/>
      <c r="F17" s="339"/>
      <c r="G17" s="339"/>
      <c r="H17" s="339"/>
    </row>
    <row r="18" spans="1:8">
      <c r="A18" s="332" t="s">
        <v>572</v>
      </c>
      <c r="B18" s="340"/>
      <c r="C18" s="340"/>
      <c r="D18" s="340"/>
      <c r="E18" s="340"/>
      <c r="F18" s="340"/>
      <c r="G18" s="340"/>
    </row>
    <row r="19" spans="1:8">
      <c r="A19" s="332" t="s">
        <v>573</v>
      </c>
    </row>
    <row r="20" spans="1:8">
      <c r="A20" s="332" t="s">
        <v>574</v>
      </c>
    </row>
    <row r="22" spans="1:8">
      <c r="A22" s="333" t="s">
        <v>575</v>
      </c>
    </row>
    <row r="24" spans="1:8">
      <c r="A24" s="332" t="s">
        <v>576</v>
      </c>
    </row>
    <row r="25" spans="1:8">
      <c r="A25" s="332" t="s">
        <v>577</v>
      </c>
    </row>
    <row r="26" spans="1:8">
      <c r="A26" s="332" t="s">
        <v>578</v>
      </c>
    </row>
    <row r="28" spans="1:8">
      <c r="A28" s="333" t="s">
        <v>579</v>
      </c>
    </row>
    <row r="30" spans="1:8">
      <c r="A30" t="s">
        <v>580</v>
      </c>
    </row>
    <row r="31" spans="1:8">
      <c r="A31" t="s">
        <v>581</v>
      </c>
    </row>
    <row r="32" spans="1:8">
      <c r="A32" t="s">
        <v>582</v>
      </c>
    </row>
    <row r="33" spans="1:1">
      <c r="A33" s="332" t="s">
        <v>583</v>
      </c>
    </row>
    <row r="35" spans="1:1">
      <c r="A35" t="s">
        <v>584</v>
      </c>
    </row>
    <row r="36" spans="1:1">
      <c r="A36" t="s">
        <v>585</v>
      </c>
    </row>
    <row r="37" spans="1:1">
      <c r="A37" t="s">
        <v>586</v>
      </c>
    </row>
    <row r="38" spans="1:1">
      <c r="A38" t="s">
        <v>587</v>
      </c>
    </row>
    <row r="40" spans="1:1">
      <c r="A40" t="s">
        <v>588</v>
      </c>
    </row>
    <row r="41" spans="1:1">
      <c r="A41" t="s">
        <v>589</v>
      </c>
    </row>
    <row r="42" spans="1:1">
      <c r="A42" t="s">
        <v>590</v>
      </c>
    </row>
    <row r="43" spans="1:1">
      <c r="A43" t="s">
        <v>591</v>
      </c>
    </row>
    <row r="44" spans="1:1">
      <c r="A44" t="s">
        <v>592</v>
      </c>
    </row>
    <row r="45" spans="1:1">
      <c r="A45" t="s">
        <v>593</v>
      </c>
    </row>
    <row r="47" spans="1:1">
      <c r="A47" t="s">
        <v>594</v>
      </c>
    </row>
    <row r="48" spans="1:1">
      <c r="A48" t="s">
        <v>595</v>
      </c>
    </row>
    <row r="49" spans="1:1">
      <c r="A49" s="332" t="s">
        <v>596</v>
      </c>
    </row>
    <row r="50" spans="1:1">
      <c r="A50" s="332" t="s">
        <v>597</v>
      </c>
    </row>
    <row r="52" spans="1:1">
      <c r="A52" t="s">
        <v>447</v>
      </c>
    </row>
  </sheetData>
  <sheetProtection sheet="1"/>
  <pageMargins left="0.7" right="0.7" top="0.75" bottom="0.75" header="0.3" footer="0.3"/>
  <pageSetup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workbookViewId="0">
      <selection activeCell="B8" sqref="B8"/>
    </sheetView>
  </sheetViews>
  <sheetFormatPr defaultRowHeight="15"/>
  <cols>
    <col min="1" max="1" width="13.77734375" style="675" customWidth="1"/>
    <col min="2" max="2" width="16.109375" style="675" customWidth="1"/>
    <col min="3" max="16384" width="8.88671875" style="675"/>
  </cols>
  <sheetData>
    <row r="1" spans="1:10">
      <c r="J1" s="674" t="s">
        <v>872</v>
      </c>
    </row>
    <row r="2" spans="1:10" ht="54" customHeight="1">
      <c r="A2" s="805" t="s">
        <v>382</v>
      </c>
      <c r="B2" s="806"/>
      <c r="C2" s="806"/>
      <c r="D2" s="806"/>
      <c r="E2" s="806"/>
      <c r="F2" s="806"/>
      <c r="J2" s="674" t="s">
        <v>873</v>
      </c>
    </row>
    <row r="3" spans="1:10" ht="15.75">
      <c r="A3" s="673" t="s">
        <v>874</v>
      </c>
      <c r="B3" s="708" t="s">
        <v>1000</v>
      </c>
      <c r="C3" s="708"/>
      <c r="J3" s="674" t="s">
        <v>875</v>
      </c>
    </row>
    <row r="4" spans="1:10" ht="15.75">
      <c r="A4" s="673"/>
      <c r="B4" s="715"/>
      <c r="J4" s="674" t="s">
        <v>876</v>
      </c>
    </row>
    <row r="5" spans="1:10" ht="15.75">
      <c r="A5" s="673" t="s">
        <v>635</v>
      </c>
      <c r="B5" s="708" t="s">
        <v>161</v>
      </c>
      <c r="J5" s="674" t="s">
        <v>877</v>
      </c>
    </row>
    <row r="6" spans="1:10" ht="15.75">
      <c r="A6" s="680"/>
      <c r="B6" s="680"/>
      <c r="C6" s="680"/>
      <c r="D6" s="707" t="s">
        <v>878</v>
      </c>
      <c r="E6" s="680"/>
      <c r="F6" s="680"/>
      <c r="J6" s="674" t="s">
        <v>879</v>
      </c>
    </row>
    <row r="7" spans="1:10" ht="15.75">
      <c r="A7" s="707" t="s">
        <v>383</v>
      </c>
      <c r="B7" s="708" t="s">
        <v>1068</v>
      </c>
      <c r="C7" s="681"/>
      <c r="D7" s="672" t="str">
        <f ca="1">IF(B7="","",CONCATENATE("Latest date for notice to be published in your newspaper: ",G18," ",G22,", ",G23))</f>
        <v>Latest date for notice to be published in your newspaper: August 2, 2013</v>
      </c>
      <c r="E7" s="680"/>
      <c r="F7" s="680"/>
      <c r="J7" s="674" t="s">
        <v>880</v>
      </c>
    </row>
    <row r="8" spans="1:10" ht="15.75">
      <c r="A8" s="707"/>
      <c r="B8" s="682"/>
      <c r="C8" s="683"/>
      <c r="D8" s="707"/>
      <c r="E8" s="680"/>
      <c r="F8" s="680"/>
      <c r="J8" s="674" t="s">
        <v>881</v>
      </c>
    </row>
    <row r="9" spans="1:10" ht="15.75">
      <c r="A9" s="707" t="s">
        <v>384</v>
      </c>
      <c r="B9" s="708" t="s">
        <v>1001</v>
      </c>
      <c r="C9" s="684"/>
      <c r="D9" s="707"/>
      <c r="E9" s="680"/>
      <c r="F9" s="680"/>
      <c r="J9" s="674" t="s">
        <v>882</v>
      </c>
    </row>
    <row r="10" spans="1:10" ht="15.75">
      <c r="A10" s="707"/>
      <c r="B10" s="707"/>
      <c r="C10" s="707"/>
      <c r="D10" s="707"/>
      <c r="E10" s="680"/>
      <c r="F10" s="680"/>
      <c r="J10" s="674" t="s">
        <v>883</v>
      </c>
    </row>
    <row r="11" spans="1:10" ht="15.75">
      <c r="A11" s="707" t="s">
        <v>385</v>
      </c>
      <c r="B11" s="783" t="s">
        <v>1002</v>
      </c>
      <c r="C11" s="709"/>
      <c r="D11" s="709"/>
      <c r="E11" s="685"/>
      <c r="F11" s="680"/>
      <c r="J11" s="674" t="s">
        <v>884</v>
      </c>
    </row>
    <row r="12" spans="1:10" ht="15.75">
      <c r="A12" s="707"/>
      <c r="B12" s="707"/>
      <c r="C12" s="707"/>
      <c r="D12" s="707"/>
      <c r="E12" s="680"/>
      <c r="F12" s="680"/>
      <c r="J12" s="674" t="s">
        <v>885</v>
      </c>
    </row>
    <row r="13" spans="1:10" ht="15.75">
      <c r="A13" s="707"/>
      <c r="B13" s="707"/>
      <c r="C13" s="707"/>
      <c r="D13" s="707"/>
      <c r="E13" s="680"/>
      <c r="F13" s="680"/>
    </row>
    <row r="14" spans="1:10" ht="15.75">
      <c r="A14" s="707" t="s">
        <v>386</v>
      </c>
      <c r="B14" s="783" t="s">
        <v>1003</v>
      </c>
      <c r="C14" s="709"/>
      <c r="D14" s="709"/>
      <c r="E14" s="685"/>
      <c r="F14" s="680"/>
    </row>
    <row r="17" spans="1:7" ht="15.75">
      <c r="A17" s="807" t="s">
        <v>387</v>
      </c>
      <c r="B17" s="807"/>
      <c r="C17" s="707"/>
      <c r="D17" s="707"/>
      <c r="E17" s="707"/>
      <c r="F17" s="680"/>
    </row>
    <row r="18" spans="1:7" ht="15.75">
      <c r="A18" s="707"/>
      <c r="B18" s="707"/>
      <c r="C18" s="707"/>
      <c r="D18" s="707"/>
      <c r="E18" s="707"/>
      <c r="F18" s="680"/>
      <c r="G18" s="674" t="str">
        <f ca="1">IF(B7="","",INDIRECT(G19))</f>
        <v>August</v>
      </c>
    </row>
    <row r="19" spans="1:7" ht="15.75">
      <c r="A19" s="707" t="s">
        <v>635</v>
      </c>
      <c r="B19" s="707" t="s">
        <v>639</v>
      </c>
      <c r="C19" s="707"/>
      <c r="D19" s="707"/>
      <c r="E19" s="707"/>
      <c r="F19" s="680"/>
      <c r="G19" s="710" t="str">
        <f>IF(B7="","",CONCATENATE("J",G21))</f>
        <v>J8</v>
      </c>
    </row>
    <row r="20" spans="1:7" ht="15.75">
      <c r="A20" s="707"/>
      <c r="B20" s="707"/>
      <c r="C20" s="707"/>
      <c r="D20" s="707"/>
      <c r="E20" s="707"/>
      <c r="F20" s="680"/>
      <c r="G20" s="711">
        <f>B7-10</f>
        <v>41488</v>
      </c>
    </row>
    <row r="21" spans="1:7" ht="15.75">
      <c r="A21" s="707" t="s">
        <v>383</v>
      </c>
      <c r="B21" s="682" t="s">
        <v>388</v>
      </c>
      <c r="C21" s="707"/>
      <c r="D21" s="707"/>
      <c r="E21" s="707"/>
      <c r="G21" s="712">
        <f>IF(B7="","",MONTH(G20))</f>
        <v>8</v>
      </c>
    </row>
    <row r="22" spans="1:7" ht="15.75">
      <c r="A22" s="707"/>
      <c r="B22" s="707"/>
      <c r="C22" s="707"/>
      <c r="D22" s="707"/>
      <c r="E22" s="707"/>
      <c r="G22" s="713">
        <f>IF(B7="","",DAY(G20))</f>
        <v>2</v>
      </c>
    </row>
    <row r="23" spans="1:7" ht="15.75">
      <c r="A23" s="707" t="s">
        <v>384</v>
      </c>
      <c r="B23" s="707" t="s">
        <v>389</v>
      </c>
      <c r="C23" s="707"/>
      <c r="D23" s="707"/>
      <c r="E23" s="707"/>
      <c r="G23" s="714">
        <f>IF(B7="","",YEAR(G20))</f>
        <v>2013</v>
      </c>
    </row>
    <row r="24" spans="1:7" ht="15.75">
      <c r="A24" s="707"/>
      <c r="B24" s="707"/>
      <c r="C24" s="707"/>
      <c r="D24" s="707"/>
      <c r="E24" s="707"/>
    </row>
    <row r="25" spans="1:7" ht="15.75">
      <c r="A25" s="707" t="s">
        <v>385</v>
      </c>
      <c r="B25" s="707" t="s">
        <v>390</v>
      </c>
      <c r="C25" s="707"/>
      <c r="D25" s="707"/>
      <c r="E25" s="707"/>
    </row>
    <row r="26" spans="1:7" ht="15.75">
      <c r="A26" s="707"/>
      <c r="B26" s="707"/>
      <c r="C26" s="707"/>
      <c r="D26" s="707"/>
      <c r="E26" s="707"/>
    </row>
    <row r="27" spans="1:7" ht="15.75">
      <c r="A27" s="707" t="s">
        <v>386</v>
      </c>
      <c r="B27" s="707" t="s">
        <v>390</v>
      </c>
      <c r="C27" s="707"/>
      <c r="D27" s="707"/>
      <c r="E27" s="707"/>
    </row>
  </sheetData>
  <sheetProtection sheet="1"/>
  <mergeCells count="2">
    <mergeCell ref="A2:F2"/>
    <mergeCell ref="A17:B17"/>
  </mergeCells>
  <pageMargins left="0.7" right="0.7" top="0.75" bottom="0.75" header="0.3" footer="0.3"/>
  <pageSetup scale="64" orientation="portrait" blackAndWhite="1" r:id="rId1"/>
</worksheet>
</file>

<file path=xl/worksheets/sheet40.xml><?xml version="1.0" encoding="utf-8"?>
<worksheet xmlns="http://schemas.openxmlformats.org/spreadsheetml/2006/main" xmlns:r="http://schemas.openxmlformats.org/officeDocument/2006/relationships">
  <dimension ref="A1:X354"/>
  <sheetViews>
    <sheetView zoomScaleNormal="100" workbookViewId="0">
      <selection sqref="A1:IV65536"/>
    </sheetView>
  </sheetViews>
  <sheetFormatPr defaultRowHeight="14.25"/>
  <cols>
    <col min="1" max="1" width="7.5546875" style="484" customWidth="1"/>
    <col min="2" max="2" width="11.21875" style="416" customWidth="1"/>
    <col min="3" max="3" width="7.44140625" style="416" customWidth="1"/>
    <col min="4" max="4" width="8.88671875" style="416"/>
    <col min="5" max="5" width="1.5546875" style="416" customWidth="1"/>
    <col min="6" max="6" width="14.33203125" style="416" customWidth="1"/>
    <col min="7" max="7" width="2.5546875" style="416" customWidth="1"/>
    <col min="8" max="8" width="9.77734375" style="416" customWidth="1"/>
    <col min="9" max="9" width="2" style="416" customWidth="1"/>
    <col min="10" max="10" width="8.5546875" style="416" customWidth="1"/>
    <col min="11" max="11" width="11.6640625" style="416" customWidth="1"/>
    <col min="12" max="12" width="7.5546875" style="484" customWidth="1"/>
    <col min="13" max="14" width="8.88671875" style="484"/>
    <col min="15" max="15" width="9.88671875" style="484" bestFit="1" customWidth="1"/>
    <col min="16" max="16384" width="8.88671875" style="484"/>
  </cols>
  <sheetData>
    <row r="1" spans="1:12">
      <c r="A1" s="415"/>
      <c r="B1" s="415"/>
      <c r="C1" s="415"/>
      <c r="D1" s="415"/>
      <c r="E1" s="415"/>
      <c r="F1" s="415"/>
      <c r="G1" s="415"/>
      <c r="H1" s="415"/>
      <c r="I1" s="415"/>
      <c r="J1" s="415"/>
      <c r="K1" s="415"/>
      <c r="L1" s="415"/>
    </row>
    <row r="2" spans="1:12">
      <c r="A2" s="415"/>
      <c r="B2" s="415"/>
      <c r="C2" s="415"/>
      <c r="D2" s="415"/>
      <c r="E2" s="415"/>
      <c r="F2" s="415"/>
      <c r="G2" s="415"/>
      <c r="H2" s="415"/>
      <c r="I2" s="415"/>
      <c r="J2" s="415"/>
      <c r="K2" s="415"/>
      <c r="L2" s="415"/>
    </row>
    <row r="3" spans="1:12">
      <c r="A3" s="415"/>
      <c r="B3" s="415"/>
      <c r="C3" s="415"/>
      <c r="D3" s="415"/>
      <c r="E3" s="415"/>
      <c r="F3" s="415"/>
      <c r="G3" s="415"/>
      <c r="H3" s="415"/>
      <c r="I3" s="415"/>
      <c r="J3" s="415"/>
      <c r="K3" s="415"/>
      <c r="L3" s="415"/>
    </row>
    <row r="4" spans="1:12">
      <c r="A4" s="415"/>
      <c r="L4" s="415"/>
    </row>
    <row r="5" spans="1:12" ht="15" customHeight="1">
      <c r="A5" s="415"/>
      <c r="L5" s="415"/>
    </row>
    <row r="6" spans="1:12" ht="33" customHeight="1">
      <c r="A6" s="415"/>
      <c r="B6" s="890" t="s">
        <v>667</v>
      </c>
      <c r="C6" s="904"/>
      <c r="D6" s="904"/>
      <c r="E6" s="904"/>
      <c r="F6" s="904"/>
      <c r="G6" s="904"/>
      <c r="H6" s="904"/>
      <c r="I6" s="904"/>
      <c r="J6" s="904"/>
      <c r="K6" s="904"/>
      <c r="L6" s="417"/>
    </row>
    <row r="7" spans="1:12" ht="40.5" customHeight="1">
      <c r="A7" s="415"/>
      <c r="B7" s="906" t="s">
        <v>668</v>
      </c>
      <c r="C7" s="907"/>
      <c r="D7" s="907"/>
      <c r="E7" s="907"/>
      <c r="F7" s="907"/>
      <c r="G7" s="907"/>
      <c r="H7" s="907"/>
      <c r="I7" s="907"/>
      <c r="J7" s="907"/>
      <c r="K7" s="907"/>
      <c r="L7" s="415"/>
    </row>
    <row r="8" spans="1:12">
      <c r="A8" s="415"/>
      <c r="B8" s="901" t="s">
        <v>669</v>
      </c>
      <c r="C8" s="901"/>
      <c r="D8" s="901"/>
      <c r="E8" s="901"/>
      <c r="F8" s="901"/>
      <c r="G8" s="901"/>
      <c r="H8" s="901"/>
      <c r="I8" s="901"/>
      <c r="J8" s="901"/>
      <c r="K8" s="901"/>
      <c r="L8" s="415"/>
    </row>
    <row r="9" spans="1:12">
      <c r="A9" s="415"/>
      <c r="L9" s="415"/>
    </row>
    <row r="10" spans="1:12">
      <c r="A10" s="415"/>
      <c r="B10" s="901" t="s">
        <v>670</v>
      </c>
      <c r="C10" s="901"/>
      <c r="D10" s="901"/>
      <c r="E10" s="901"/>
      <c r="F10" s="901"/>
      <c r="G10" s="901"/>
      <c r="H10" s="901"/>
      <c r="I10" s="901"/>
      <c r="J10" s="901"/>
      <c r="K10" s="901"/>
      <c r="L10" s="415"/>
    </row>
    <row r="11" spans="1:12">
      <c r="A11" s="415"/>
      <c r="B11" s="656"/>
      <c r="C11" s="656"/>
      <c r="D11" s="656"/>
      <c r="E11" s="656"/>
      <c r="F11" s="656"/>
      <c r="G11" s="656"/>
      <c r="H11" s="656"/>
      <c r="I11" s="656"/>
      <c r="J11" s="656"/>
      <c r="K11" s="656"/>
      <c r="L11" s="415"/>
    </row>
    <row r="12" spans="1:12" ht="32.25" customHeight="1">
      <c r="A12" s="415"/>
      <c r="B12" s="891" t="s">
        <v>671</v>
      </c>
      <c r="C12" s="891"/>
      <c r="D12" s="891"/>
      <c r="E12" s="891"/>
      <c r="F12" s="891"/>
      <c r="G12" s="891"/>
      <c r="H12" s="891"/>
      <c r="I12" s="891"/>
      <c r="J12" s="891"/>
      <c r="K12" s="891"/>
      <c r="L12" s="415"/>
    </row>
    <row r="13" spans="1:12">
      <c r="A13" s="415"/>
      <c r="L13" s="415"/>
    </row>
    <row r="14" spans="1:12">
      <c r="A14" s="415"/>
      <c r="B14" s="418" t="s">
        <v>672</v>
      </c>
      <c r="L14" s="415"/>
    </row>
    <row r="15" spans="1:12">
      <c r="A15" s="415"/>
      <c r="L15" s="415"/>
    </row>
    <row r="16" spans="1:12">
      <c r="A16" s="415"/>
      <c r="B16" s="416" t="s">
        <v>673</v>
      </c>
      <c r="L16" s="415"/>
    </row>
    <row r="17" spans="1:12">
      <c r="A17" s="415"/>
      <c r="B17" s="416" t="s">
        <v>674</v>
      </c>
      <c r="L17" s="415"/>
    </row>
    <row r="18" spans="1:12">
      <c r="A18" s="415"/>
      <c r="L18" s="415"/>
    </row>
    <row r="19" spans="1:12">
      <c r="A19" s="415"/>
      <c r="B19" s="418" t="s">
        <v>888</v>
      </c>
      <c r="L19" s="415"/>
    </row>
    <row r="20" spans="1:12">
      <c r="A20" s="415"/>
      <c r="B20" s="418"/>
      <c r="L20" s="415"/>
    </row>
    <row r="21" spans="1:12">
      <c r="A21" s="415"/>
      <c r="B21" s="416" t="s">
        <v>889</v>
      </c>
      <c r="L21" s="415"/>
    </row>
    <row r="22" spans="1:12">
      <c r="A22" s="415"/>
      <c r="L22" s="415"/>
    </row>
    <row r="23" spans="1:12">
      <c r="A23" s="415"/>
      <c r="B23" s="416" t="s">
        <v>675</v>
      </c>
      <c r="E23" s="416" t="s">
        <v>676</v>
      </c>
      <c r="F23" s="888">
        <v>312000000</v>
      </c>
      <c r="G23" s="888"/>
      <c r="L23" s="415"/>
    </row>
    <row r="24" spans="1:12">
      <c r="A24" s="415"/>
      <c r="L24" s="415"/>
    </row>
    <row r="25" spans="1:12">
      <c r="A25" s="415"/>
      <c r="C25" s="908">
        <f>F23</f>
        <v>312000000</v>
      </c>
      <c r="D25" s="908"/>
      <c r="E25" s="416" t="s">
        <v>677</v>
      </c>
      <c r="F25" s="419">
        <v>1000</v>
      </c>
      <c r="G25" s="419" t="s">
        <v>676</v>
      </c>
      <c r="H25" s="657">
        <f>F23/F25</f>
        <v>312000</v>
      </c>
      <c r="L25" s="415"/>
    </row>
    <row r="26" spans="1:12" ht="15" thickBot="1">
      <c r="A26" s="415"/>
      <c r="L26" s="415"/>
    </row>
    <row r="27" spans="1:12">
      <c r="A27" s="415"/>
      <c r="B27" s="420" t="s">
        <v>672</v>
      </c>
      <c r="C27" s="421"/>
      <c r="D27" s="421"/>
      <c r="E27" s="421"/>
      <c r="F27" s="421"/>
      <c r="G27" s="421"/>
      <c r="H27" s="421"/>
      <c r="I27" s="421"/>
      <c r="J27" s="421"/>
      <c r="K27" s="422"/>
      <c r="L27" s="415"/>
    </row>
    <row r="28" spans="1:12">
      <c r="A28" s="415"/>
      <c r="B28" s="423">
        <f>F23</f>
        <v>312000000</v>
      </c>
      <c r="C28" s="424" t="s">
        <v>678</v>
      </c>
      <c r="D28" s="424"/>
      <c r="E28" s="424" t="s">
        <v>677</v>
      </c>
      <c r="F28" s="650">
        <v>1000</v>
      </c>
      <c r="G28" s="650" t="s">
        <v>676</v>
      </c>
      <c r="H28" s="425">
        <f>B28/F28</f>
        <v>312000</v>
      </c>
      <c r="I28" s="424" t="s">
        <v>679</v>
      </c>
      <c r="J28" s="424"/>
      <c r="K28" s="426"/>
      <c r="L28" s="415"/>
    </row>
    <row r="29" spans="1:12" ht="15" thickBot="1">
      <c r="A29" s="415"/>
      <c r="B29" s="427"/>
      <c r="C29" s="428"/>
      <c r="D29" s="428"/>
      <c r="E29" s="428"/>
      <c r="F29" s="428"/>
      <c r="G29" s="428"/>
      <c r="H29" s="428"/>
      <c r="I29" s="428"/>
      <c r="J29" s="428"/>
      <c r="K29" s="429"/>
      <c r="L29" s="415"/>
    </row>
    <row r="30" spans="1:12" ht="40.5" customHeight="1">
      <c r="A30" s="415"/>
      <c r="B30" s="889" t="s">
        <v>668</v>
      </c>
      <c r="C30" s="889"/>
      <c r="D30" s="889"/>
      <c r="E30" s="889"/>
      <c r="F30" s="889"/>
      <c r="G30" s="889"/>
      <c r="H30" s="889"/>
      <c r="I30" s="889"/>
      <c r="J30" s="889"/>
      <c r="K30" s="889"/>
      <c r="L30" s="415"/>
    </row>
    <row r="31" spans="1:12">
      <c r="A31" s="415"/>
      <c r="B31" s="901" t="s">
        <v>680</v>
      </c>
      <c r="C31" s="901"/>
      <c r="D31" s="901"/>
      <c r="E31" s="901"/>
      <c r="F31" s="901"/>
      <c r="G31" s="901"/>
      <c r="H31" s="901"/>
      <c r="I31" s="901"/>
      <c r="J31" s="901"/>
      <c r="K31" s="901"/>
      <c r="L31" s="415"/>
    </row>
    <row r="32" spans="1:12">
      <c r="A32" s="415"/>
      <c r="L32" s="415"/>
    </row>
    <row r="33" spans="1:12">
      <c r="A33" s="415"/>
      <c r="B33" s="901" t="s">
        <v>681</v>
      </c>
      <c r="C33" s="901"/>
      <c r="D33" s="901"/>
      <c r="E33" s="901"/>
      <c r="F33" s="901"/>
      <c r="G33" s="901"/>
      <c r="H33" s="901"/>
      <c r="I33" s="901"/>
      <c r="J33" s="901"/>
      <c r="K33" s="901"/>
      <c r="L33" s="415"/>
    </row>
    <row r="34" spans="1:12">
      <c r="A34" s="415"/>
      <c r="L34" s="415"/>
    </row>
    <row r="35" spans="1:12" ht="89.25" customHeight="1">
      <c r="A35" s="415"/>
      <c r="B35" s="891" t="s">
        <v>682</v>
      </c>
      <c r="C35" s="895"/>
      <c r="D35" s="895"/>
      <c r="E35" s="895"/>
      <c r="F35" s="895"/>
      <c r="G35" s="895"/>
      <c r="H35" s="895"/>
      <c r="I35" s="895"/>
      <c r="J35" s="895"/>
      <c r="K35" s="895"/>
      <c r="L35" s="415"/>
    </row>
    <row r="36" spans="1:12">
      <c r="A36" s="415"/>
      <c r="L36" s="415"/>
    </row>
    <row r="37" spans="1:12">
      <c r="A37" s="415"/>
      <c r="B37" s="418" t="s">
        <v>683</v>
      </c>
      <c r="L37" s="415"/>
    </row>
    <row r="38" spans="1:12">
      <c r="A38" s="415"/>
      <c r="L38" s="415"/>
    </row>
    <row r="39" spans="1:12">
      <c r="A39" s="415"/>
      <c r="B39" s="416" t="s">
        <v>684</v>
      </c>
      <c r="L39" s="415"/>
    </row>
    <row r="40" spans="1:12">
      <c r="A40" s="415"/>
      <c r="L40" s="415"/>
    </row>
    <row r="41" spans="1:12">
      <c r="A41" s="415"/>
      <c r="C41" s="909">
        <v>312000000</v>
      </c>
      <c r="D41" s="909"/>
      <c r="E41" s="416" t="s">
        <v>677</v>
      </c>
      <c r="F41" s="419">
        <v>1000</v>
      </c>
      <c r="G41" s="419" t="s">
        <v>676</v>
      </c>
      <c r="H41" s="430">
        <f>C41/F41</f>
        <v>312000</v>
      </c>
      <c r="L41" s="415"/>
    </row>
    <row r="42" spans="1:12">
      <c r="A42" s="415"/>
      <c r="L42" s="415"/>
    </row>
    <row r="43" spans="1:12">
      <c r="A43" s="415"/>
      <c r="B43" s="416" t="s">
        <v>685</v>
      </c>
      <c r="L43" s="415"/>
    </row>
    <row r="44" spans="1:12">
      <c r="A44" s="415"/>
      <c r="L44" s="415"/>
    </row>
    <row r="45" spans="1:12">
      <c r="A45" s="415"/>
      <c r="B45" s="416" t="s">
        <v>686</v>
      </c>
      <c r="L45" s="415"/>
    </row>
    <row r="46" spans="1:12" ht="15" thickBot="1">
      <c r="A46" s="415"/>
      <c r="L46" s="415"/>
    </row>
    <row r="47" spans="1:12">
      <c r="A47" s="415"/>
      <c r="B47" s="431" t="s">
        <v>672</v>
      </c>
      <c r="C47" s="421"/>
      <c r="D47" s="421"/>
      <c r="E47" s="421"/>
      <c r="F47" s="421"/>
      <c r="G47" s="421"/>
      <c r="H47" s="421"/>
      <c r="I47" s="421"/>
      <c r="J47" s="421"/>
      <c r="K47" s="422"/>
      <c r="L47" s="415"/>
    </row>
    <row r="48" spans="1:12">
      <c r="A48" s="415"/>
      <c r="B48" s="896">
        <v>312000000</v>
      </c>
      <c r="C48" s="888"/>
      <c r="D48" s="424" t="s">
        <v>687</v>
      </c>
      <c r="E48" s="424" t="s">
        <v>677</v>
      </c>
      <c r="F48" s="650">
        <v>1000</v>
      </c>
      <c r="G48" s="650" t="s">
        <v>676</v>
      </c>
      <c r="H48" s="425">
        <f>B48/F48</f>
        <v>312000</v>
      </c>
      <c r="I48" s="424" t="s">
        <v>688</v>
      </c>
      <c r="J48" s="424"/>
      <c r="K48" s="426"/>
      <c r="L48" s="415"/>
    </row>
    <row r="49" spans="1:24">
      <c r="A49" s="415"/>
      <c r="B49" s="432"/>
      <c r="C49" s="424"/>
      <c r="D49" s="424"/>
      <c r="E49" s="424"/>
      <c r="F49" s="424"/>
      <c r="G49" s="424"/>
      <c r="H49" s="424"/>
      <c r="I49" s="424"/>
      <c r="J49" s="424"/>
      <c r="K49" s="426"/>
      <c r="L49" s="415"/>
    </row>
    <row r="50" spans="1:24">
      <c r="A50" s="415"/>
      <c r="B50" s="433">
        <v>50000</v>
      </c>
      <c r="C50" s="424" t="s">
        <v>689</v>
      </c>
      <c r="D50" s="424"/>
      <c r="E50" s="424" t="s">
        <v>677</v>
      </c>
      <c r="F50" s="425">
        <f>H48</f>
        <v>312000</v>
      </c>
      <c r="G50" s="897" t="s">
        <v>690</v>
      </c>
      <c r="H50" s="898"/>
      <c r="I50" s="650" t="s">
        <v>676</v>
      </c>
      <c r="J50" s="434">
        <f>B50/F50</f>
        <v>0.16025641025641027</v>
      </c>
      <c r="K50" s="426"/>
      <c r="L50" s="415"/>
    </row>
    <row r="51" spans="1:24" ht="15" thickBot="1">
      <c r="A51" s="415"/>
      <c r="B51" s="427"/>
      <c r="C51" s="428"/>
      <c r="D51" s="428"/>
      <c r="E51" s="428"/>
      <c r="F51" s="428"/>
      <c r="G51" s="428"/>
      <c r="H51" s="428"/>
      <c r="I51" s="899" t="s">
        <v>691</v>
      </c>
      <c r="J51" s="899"/>
      <c r="K51" s="900"/>
      <c r="L51" s="415"/>
      <c r="O51" s="534"/>
    </row>
    <row r="52" spans="1:24" ht="40.5" customHeight="1">
      <c r="A52" s="415"/>
      <c r="B52" s="889" t="s">
        <v>668</v>
      </c>
      <c r="C52" s="889"/>
      <c r="D52" s="889"/>
      <c r="E52" s="889"/>
      <c r="F52" s="889"/>
      <c r="G52" s="889"/>
      <c r="H52" s="889"/>
      <c r="I52" s="889"/>
      <c r="J52" s="889"/>
      <c r="K52" s="889"/>
      <c r="L52" s="415"/>
    </row>
    <row r="53" spans="1:24">
      <c r="A53" s="415"/>
      <c r="B53" s="901" t="s">
        <v>692</v>
      </c>
      <c r="C53" s="901"/>
      <c r="D53" s="901"/>
      <c r="E53" s="901"/>
      <c r="F53" s="901"/>
      <c r="G53" s="901"/>
      <c r="H53" s="901"/>
      <c r="I53" s="901"/>
      <c r="J53" s="901"/>
      <c r="K53" s="901"/>
      <c r="L53" s="415"/>
    </row>
    <row r="54" spans="1:24">
      <c r="A54" s="415"/>
      <c r="B54" s="656"/>
      <c r="C54" s="656"/>
      <c r="D54" s="656"/>
      <c r="E54" s="656"/>
      <c r="F54" s="656"/>
      <c r="G54" s="656"/>
      <c r="H54" s="656"/>
      <c r="I54" s="656"/>
      <c r="J54" s="656"/>
      <c r="K54" s="656"/>
      <c r="L54" s="415"/>
    </row>
    <row r="55" spans="1:24">
      <c r="A55" s="415"/>
      <c r="B55" s="890" t="s">
        <v>693</v>
      </c>
      <c r="C55" s="890"/>
      <c r="D55" s="890"/>
      <c r="E55" s="890"/>
      <c r="F55" s="890"/>
      <c r="G55" s="890"/>
      <c r="H55" s="890"/>
      <c r="I55" s="890"/>
      <c r="J55" s="890"/>
      <c r="K55" s="890"/>
      <c r="L55" s="415"/>
    </row>
    <row r="56" spans="1:24" ht="15" customHeight="1">
      <c r="A56" s="415"/>
      <c r="L56" s="415"/>
    </row>
    <row r="57" spans="1:24" ht="74.25" customHeight="1">
      <c r="A57" s="415"/>
      <c r="B57" s="891" t="s">
        <v>694</v>
      </c>
      <c r="C57" s="895"/>
      <c r="D57" s="895"/>
      <c r="E57" s="895"/>
      <c r="F57" s="895"/>
      <c r="G57" s="895"/>
      <c r="H57" s="895"/>
      <c r="I57" s="895"/>
      <c r="J57" s="895"/>
      <c r="K57" s="895"/>
      <c r="L57" s="415"/>
      <c r="M57" s="435"/>
      <c r="N57" s="436"/>
      <c r="O57" s="436"/>
      <c r="P57" s="436"/>
      <c r="Q57" s="436"/>
      <c r="R57" s="436"/>
      <c r="S57" s="436"/>
      <c r="T57" s="436"/>
      <c r="U57" s="436"/>
      <c r="V57" s="436"/>
      <c r="W57" s="436"/>
      <c r="X57" s="436"/>
    </row>
    <row r="58" spans="1:24" ht="15" customHeight="1">
      <c r="A58" s="415"/>
      <c r="B58" s="891"/>
      <c r="C58" s="895"/>
      <c r="D58" s="895"/>
      <c r="E58" s="895"/>
      <c r="F58" s="895"/>
      <c r="G58" s="895"/>
      <c r="H58" s="895"/>
      <c r="I58" s="895"/>
      <c r="J58" s="895"/>
      <c r="K58" s="895"/>
      <c r="L58" s="415"/>
      <c r="M58" s="435"/>
      <c r="N58" s="436"/>
      <c r="O58" s="436"/>
      <c r="P58" s="436"/>
      <c r="Q58" s="436"/>
      <c r="R58" s="436"/>
      <c r="S58" s="436"/>
      <c r="T58" s="436"/>
      <c r="U58" s="436"/>
      <c r="V58" s="436"/>
      <c r="W58" s="436"/>
      <c r="X58" s="436"/>
    </row>
    <row r="59" spans="1:24">
      <c r="A59" s="415"/>
      <c r="B59" s="418" t="s">
        <v>683</v>
      </c>
      <c r="L59" s="415"/>
      <c r="M59" s="436"/>
      <c r="N59" s="436"/>
      <c r="O59" s="436"/>
      <c r="P59" s="436"/>
      <c r="Q59" s="436"/>
      <c r="R59" s="436"/>
      <c r="S59" s="436"/>
      <c r="T59" s="436"/>
      <c r="U59" s="436"/>
      <c r="V59" s="436"/>
      <c r="W59" s="436"/>
      <c r="X59" s="436"/>
    </row>
    <row r="60" spans="1:24">
      <c r="A60" s="415"/>
      <c r="L60" s="415"/>
      <c r="M60" s="436"/>
      <c r="N60" s="436"/>
      <c r="O60" s="436"/>
      <c r="P60" s="436"/>
      <c r="Q60" s="436"/>
      <c r="R60" s="436"/>
      <c r="S60" s="436"/>
      <c r="T60" s="436"/>
      <c r="U60" s="436"/>
      <c r="V60" s="436"/>
      <c r="W60" s="436"/>
      <c r="X60" s="436"/>
    </row>
    <row r="61" spans="1:24">
      <c r="A61" s="415"/>
      <c r="B61" s="416" t="s">
        <v>695</v>
      </c>
      <c r="L61" s="415"/>
      <c r="M61" s="436"/>
      <c r="N61" s="436"/>
      <c r="O61" s="436"/>
      <c r="P61" s="436"/>
      <c r="Q61" s="436"/>
      <c r="R61" s="436"/>
      <c r="S61" s="436"/>
      <c r="T61" s="436"/>
      <c r="U61" s="436"/>
      <c r="V61" s="436"/>
      <c r="W61" s="436"/>
      <c r="X61" s="436"/>
    </row>
    <row r="62" spans="1:24">
      <c r="A62" s="415"/>
      <c r="B62" s="416" t="s">
        <v>890</v>
      </c>
      <c r="L62" s="415"/>
      <c r="M62" s="436"/>
      <c r="N62" s="436"/>
      <c r="O62" s="436"/>
      <c r="P62" s="436"/>
      <c r="Q62" s="436"/>
      <c r="R62" s="436"/>
      <c r="S62" s="436"/>
      <c r="T62" s="436"/>
      <c r="U62" s="436"/>
      <c r="V62" s="436"/>
      <c r="W62" s="436"/>
      <c r="X62" s="436"/>
    </row>
    <row r="63" spans="1:24">
      <c r="A63" s="415"/>
      <c r="B63" s="416" t="s">
        <v>891</v>
      </c>
      <c r="L63" s="415"/>
      <c r="M63" s="436"/>
      <c r="N63" s="436"/>
      <c r="O63" s="436"/>
      <c r="P63" s="436"/>
      <c r="Q63" s="436"/>
      <c r="R63" s="436"/>
      <c r="S63" s="436"/>
      <c r="T63" s="436"/>
      <c r="U63" s="436"/>
      <c r="V63" s="436"/>
      <c r="W63" s="436"/>
      <c r="X63" s="436"/>
    </row>
    <row r="64" spans="1:24">
      <c r="A64" s="415"/>
      <c r="L64" s="415"/>
      <c r="M64" s="436"/>
      <c r="N64" s="436"/>
      <c r="O64" s="436"/>
      <c r="P64" s="436"/>
      <c r="Q64" s="436"/>
      <c r="R64" s="436"/>
      <c r="S64" s="436"/>
      <c r="T64" s="436"/>
      <c r="U64" s="436"/>
      <c r="V64" s="436"/>
      <c r="W64" s="436"/>
      <c r="X64" s="436"/>
    </row>
    <row r="65" spans="1:24">
      <c r="A65" s="415"/>
      <c r="B65" s="416" t="s">
        <v>696</v>
      </c>
      <c r="L65" s="415"/>
      <c r="M65" s="436"/>
      <c r="N65" s="436"/>
      <c r="O65" s="436"/>
      <c r="P65" s="436"/>
      <c r="Q65" s="436"/>
      <c r="R65" s="436"/>
      <c r="S65" s="436"/>
      <c r="T65" s="436"/>
      <c r="U65" s="436"/>
      <c r="V65" s="436"/>
      <c r="W65" s="436"/>
      <c r="X65" s="436"/>
    </row>
    <row r="66" spans="1:24">
      <c r="A66" s="415"/>
      <c r="B66" s="416" t="s">
        <v>697</v>
      </c>
      <c r="L66" s="415"/>
      <c r="M66" s="436"/>
      <c r="N66" s="436"/>
      <c r="O66" s="436"/>
      <c r="P66" s="436"/>
      <c r="Q66" s="436"/>
      <c r="R66" s="436"/>
      <c r="S66" s="436"/>
      <c r="T66" s="436"/>
      <c r="U66" s="436"/>
      <c r="V66" s="436"/>
      <c r="W66" s="436"/>
      <c r="X66" s="436"/>
    </row>
    <row r="67" spans="1:24">
      <c r="A67" s="415"/>
      <c r="L67" s="415"/>
      <c r="M67" s="436"/>
      <c r="N67" s="436"/>
      <c r="O67" s="436"/>
      <c r="P67" s="436"/>
      <c r="Q67" s="436"/>
      <c r="R67" s="436"/>
      <c r="S67" s="436"/>
      <c r="T67" s="436"/>
      <c r="U67" s="436"/>
      <c r="V67" s="436"/>
      <c r="W67" s="436"/>
      <c r="X67" s="436"/>
    </row>
    <row r="68" spans="1:24">
      <c r="A68" s="415"/>
      <c r="B68" s="416" t="s">
        <v>698</v>
      </c>
      <c r="L68" s="415"/>
      <c r="M68" s="437"/>
      <c r="N68" s="438"/>
      <c r="O68" s="438"/>
      <c r="P68" s="438"/>
      <c r="Q68" s="438"/>
      <c r="R68" s="438"/>
      <c r="S68" s="438"/>
      <c r="T68" s="438"/>
      <c r="U68" s="438"/>
      <c r="V68" s="438"/>
      <c r="W68" s="438"/>
      <c r="X68" s="436"/>
    </row>
    <row r="69" spans="1:24">
      <c r="A69" s="415"/>
      <c r="B69" s="416" t="s">
        <v>892</v>
      </c>
      <c r="L69" s="415"/>
      <c r="M69" s="436"/>
      <c r="N69" s="436"/>
      <c r="O69" s="436"/>
      <c r="P69" s="436"/>
      <c r="Q69" s="436"/>
      <c r="R69" s="436"/>
      <c r="S69" s="436"/>
      <c r="T69" s="436"/>
      <c r="U69" s="436"/>
      <c r="V69" s="436"/>
      <c r="W69" s="436"/>
      <c r="X69" s="436"/>
    </row>
    <row r="70" spans="1:24">
      <c r="A70" s="415"/>
      <c r="B70" s="416" t="s">
        <v>893</v>
      </c>
      <c r="L70" s="415"/>
      <c r="M70" s="436"/>
      <c r="N70" s="436"/>
      <c r="O70" s="436"/>
      <c r="P70" s="436"/>
      <c r="Q70" s="436"/>
      <c r="R70" s="436"/>
      <c r="S70" s="436"/>
      <c r="T70" s="436"/>
      <c r="U70" s="436"/>
      <c r="V70" s="436"/>
      <c r="W70" s="436"/>
      <c r="X70" s="436"/>
    </row>
    <row r="71" spans="1:24" ht="15" thickBot="1">
      <c r="A71" s="415"/>
      <c r="B71" s="424"/>
      <c r="C71" s="424"/>
      <c r="D71" s="424"/>
      <c r="E71" s="424"/>
      <c r="F71" s="424"/>
      <c r="G71" s="424"/>
      <c r="H71" s="424"/>
      <c r="I71" s="424"/>
      <c r="J71" s="424"/>
      <c r="K71" s="424"/>
      <c r="L71" s="415"/>
    </row>
    <row r="72" spans="1:24">
      <c r="A72" s="415"/>
      <c r="B72" s="420" t="s">
        <v>672</v>
      </c>
      <c r="C72" s="421"/>
      <c r="D72" s="421"/>
      <c r="E72" s="421"/>
      <c r="F72" s="421"/>
      <c r="G72" s="421"/>
      <c r="H72" s="421"/>
      <c r="I72" s="421"/>
      <c r="J72" s="421"/>
      <c r="K72" s="422"/>
      <c r="L72" s="439"/>
    </row>
    <row r="73" spans="1:24">
      <c r="A73" s="415"/>
      <c r="B73" s="432"/>
      <c r="C73" s="424" t="s">
        <v>678</v>
      </c>
      <c r="D73" s="424"/>
      <c r="E73" s="424"/>
      <c r="F73" s="424"/>
      <c r="G73" s="424"/>
      <c r="H73" s="424"/>
      <c r="I73" s="424"/>
      <c r="J73" s="424"/>
      <c r="K73" s="426"/>
      <c r="L73" s="439"/>
    </row>
    <row r="74" spans="1:24">
      <c r="A74" s="415"/>
      <c r="B74" s="432" t="s">
        <v>699</v>
      </c>
      <c r="C74" s="888">
        <v>312000000</v>
      </c>
      <c r="D74" s="888"/>
      <c r="E74" s="650" t="s">
        <v>677</v>
      </c>
      <c r="F74" s="650">
        <v>1000</v>
      </c>
      <c r="G74" s="650" t="s">
        <v>676</v>
      </c>
      <c r="H74" s="648">
        <f>C74/F74</f>
        <v>312000</v>
      </c>
      <c r="I74" s="424" t="s">
        <v>700</v>
      </c>
      <c r="J74" s="424"/>
      <c r="K74" s="426"/>
      <c r="L74" s="439"/>
    </row>
    <row r="75" spans="1:24">
      <c r="A75" s="415"/>
      <c r="B75" s="432"/>
      <c r="C75" s="424"/>
      <c r="D75" s="424"/>
      <c r="E75" s="650"/>
      <c r="F75" s="424"/>
      <c r="G75" s="424"/>
      <c r="H75" s="424"/>
      <c r="I75" s="424"/>
      <c r="J75" s="424"/>
      <c r="K75" s="426"/>
      <c r="L75" s="439"/>
    </row>
    <row r="76" spans="1:24">
      <c r="A76" s="415"/>
      <c r="B76" s="432"/>
      <c r="C76" s="424" t="s">
        <v>701</v>
      </c>
      <c r="D76" s="424"/>
      <c r="E76" s="650"/>
      <c r="F76" s="424" t="s">
        <v>700</v>
      </c>
      <c r="G76" s="424"/>
      <c r="H76" s="424"/>
      <c r="I76" s="424"/>
      <c r="J76" s="424"/>
      <c r="K76" s="426"/>
      <c r="L76" s="439"/>
    </row>
    <row r="77" spans="1:24">
      <c r="A77" s="415"/>
      <c r="B77" s="432" t="s">
        <v>704</v>
      </c>
      <c r="C77" s="888">
        <v>50000</v>
      </c>
      <c r="D77" s="888"/>
      <c r="E77" s="650" t="s">
        <v>677</v>
      </c>
      <c r="F77" s="648">
        <f>H74</f>
        <v>312000</v>
      </c>
      <c r="G77" s="650" t="s">
        <v>676</v>
      </c>
      <c r="H77" s="434">
        <f>C77/F77</f>
        <v>0.16025641025641027</v>
      </c>
      <c r="I77" s="424" t="s">
        <v>702</v>
      </c>
      <c r="J77" s="424"/>
      <c r="K77" s="426"/>
      <c r="L77" s="439"/>
    </row>
    <row r="78" spans="1:24">
      <c r="A78" s="415"/>
      <c r="B78" s="432"/>
      <c r="C78" s="424"/>
      <c r="D78" s="424"/>
      <c r="E78" s="650"/>
      <c r="F78" s="424"/>
      <c r="G78" s="424"/>
      <c r="H78" s="424"/>
      <c r="I78" s="424"/>
      <c r="J78" s="424"/>
      <c r="K78" s="426"/>
      <c r="L78" s="439"/>
    </row>
    <row r="79" spans="1:24">
      <c r="A79" s="415"/>
      <c r="B79" s="440"/>
      <c r="C79" s="441" t="s">
        <v>703</v>
      </c>
      <c r="D79" s="441"/>
      <c r="E79" s="652"/>
      <c r="F79" s="441"/>
      <c r="G79" s="441"/>
      <c r="H79" s="441"/>
      <c r="I79" s="441"/>
      <c r="J79" s="441"/>
      <c r="K79" s="442"/>
      <c r="L79" s="439"/>
    </row>
    <row r="80" spans="1:24">
      <c r="A80" s="415"/>
      <c r="B80" s="432" t="s">
        <v>784</v>
      </c>
      <c r="C80" s="888">
        <v>100000</v>
      </c>
      <c r="D80" s="888"/>
      <c r="E80" s="650" t="s">
        <v>13</v>
      </c>
      <c r="F80" s="650">
        <v>0.115</v>
      </c>
      <c r="G80" s="650" t="s">
        <v>676</v>
      </c>
      <c r="H80" s="648">
        <f>C80*F80</f>
        <v>11500</v>
      </c>
      <c r="I80" s="424" t="s">
        <v>705</v>
      </c>
      <c r="J80" s="424"/>
      <c r="K80" s="426"/>
      <c r="L80" s="439"/>
    </row>
    <row r="81" spans="1:12">
      <c r="A81" s="415"/>
      <c r="B81" s="432"/>
      <c r="C81" s="424"/>
      <c r="D81" s="424"/>
      <c r="E81" s="650"/>
      <c r="F81" s="424"/>
      <c r="G81" s="424"/>
      <c r="H81" s="424"/>
      <c r="I81" s="424"/>
      <c r="J81" s="424"/>
      <c r="K81" s="426"/>
      <c r="L81" s="439"/>
    </row>
    <row r="82" spans="1:12">
      <c r="A82" s="415"/>
      <c r="B82" s="440"/>
      <c r="C82" s="441" t="s">
        <v>706</v>
      </c>
      <c r="D82" s="441"/>
      <c r="E82" s="652"/>
      <c r="F82" s="441" t="s">
        <v>702</v>
      </c>
      <c r="G82" s="441"/>
      <c r="H82" s="441"/>
      <c r="I82" s="441"/>
      <c r="J82" s="441" t="s">
        <v>707</v>
      </c>
      <c r="K82" s="442"/>
      <c r="L82" s="439"/>
    </row>
    <row r="83" spans="1:12">
      <c r="A83" s="415"/>
      <c r="B83" s="432" t="s">
        <v>785</v>
      </c>
      <c r="C83" s="892">
        <f>H80</f>
        <v>11500</v>
      </c>
      <c r="D83" s="892"/>
      <c r="E83" s="650" t="s">
        <v>13</v>
      </c>
      <c r="F83" s="434">
        <f>H77</f>
        <v>0.16025641025641027</v>
      </c>
      <c r="G83" s="650" t="s">
        <v>677</v>
      </c>
      <c r="H83" s="650">
        <v>1000</v>
      </c>
      <c r="I83" s="650" t="s">
        <v>676</v>
      </c>
      <c r="J83" s="649">
        <f>C83*F83/H83</f>
        <v>1.8429487179487181</v>
      </c>
      <c r="K83" s="426"/>
      <c r="L83" s="439"/>
    </row>
    <row r="84" spans="1:12" ht="15" thickBot="1">
      <c r="A84" s="415"/>
      <c r="B84" s="427"/>
      <c r="C84" s="443"/>
      <c r="D84" s="443"/>
      <c r="E84" s="444"/>
      <c r="F84" s="445"/>
      <c r="G84" s="444"/>
      <c r="H84" s="444"/>
      <c r="I84" s="444"/>
      <c r="J84" s="446"/>
      <c r="K84" s="429"/>
      <c r="L84" s="439"/>
    </row>
    <row r="85" spans="1:12" ht="40.5" customHeight="1">
      <c r="A85" s="415"/>
      <c r="B85" s="889" t="s">
        <v>668</v>
      </c>
      <c r="C85" s="889"/>
      <c r="D85" s="889"/>
      <c r="E85" s="889"/>
      <c r="F85" s="889"/>
      <c r="G85" s="889"/>
      <c r="H85" s="889"/>
      <c r="I85" s="889"/>
      <c r="J85" s="889"/>
      <c r="K85" s="889"/>
      <c r="L85" s="415"/>
    </row>
    <row r="86" spans="1:12">
      <c r="A86" s="415"/>
      <c r="B86" s="890" t="s">
        <v>708</v>
      </c>
      <c r="C86" s="890"/>
      <c r="D86" s="890"/>
      <c r="E86" s="890"/>
      <c r="F86" s="890"/>
      <c r="G86" s="890"/>
      <c r="H86" s="890"/>
      <c r="I86" s="890"/>
      <c r="J86" s="890"/>
      <c r="K86" s="890"/>
      <c r="L86" s="415"/>
    </row>
    <row r="87" spans="1:12">
      <c r="A87" s="415"/>
      <c r="B87" s="447"/>
      <c r="C87" s="447"/>
      <c r="D87" s="447"/>
      <c r="E87" s="447"/>
      <c r="F87" s="447"/>
      <c r="G87" s="447"/>
      <c r="H87" s="447"/>
      <c r="I87" s="447"/>
      <c r="J87" s="447"/>
      <c r="K87" s="447"/>
      <c r="L87" s="415"/>
    </row>
    <row r="88" spans="1:12">
      <c r="A88" s="415"/>
      <c r="B88" s="890" t="s">
        <v>709</v>
      </c>
      <c r="C88" s="890"/>
      <c r="D88" s="890"/>
      <c r="E88" s="890"/>
      <c r="F88" s="890"/>
      <c r="G88" s="890"/>
      <c r="H88" s="890"/>
      <c r="I88" s="890"/>
      <c r="J88" s="890"/>
      <c r="K88" s="890"/>
      <c r="L88" s="415"/>
    </row>
    <row r="89" spans="1:12">
      <c r="A89" s="415"/>
      <c r="B89" s="653"/>
      <c r="C89" s="653"/>
      <c r="D89" s="653"/>
      <c r="E89" s="653"/>
      <c r="F89" s="653"/>
      <c r="G89" s="653"/>
      <c r="H89" s="653"/>
      <c r="I89" s="653"/>
      <c r="J89" s="653"/>
      <c r="K89" s="653"/>
      <c r="L89" s="415"/>
    </row>
    <row r="90" spans="1:12" ht="45" customHeight="1">
      <c r="A90" s="415"/>
      <c r="B90" s="891" t="s">
        <v>710</v>
      </c>
      <c r="C90" s="891"/>
      <c r="D90" s="891"/>
      <c r="E90" s="891"/>
      <c r="F90" s="891"/>
      <c r="G90" s="891"/>
      <c r="H90" s="891"/>
      <c r="I90" s="891"/>
      <c r="J90" s="891"/>
      <c r="K90" s="891"/>
      <c r="L90" s="415"/>
    </row>
    <row r="91" spans="1:12" ht="15" customHeight="1" thickBot="1">
      <c r="A91" s="415"/>
      <c r="L91" s="415"/>
    </row>
    <row r="92" spans="1:12" ht="15" customHeight="1">
      <c r="A92" s="415"/>
      <c r="B92" s="448" t="s">
        <v>672</v>
      </c>
      <c r="C92" s="449"/>
      <c r="D92" s="449"/>
      <c r="E92" s="449"/>
      <c r="F92" s="449"/>
      <c r="G92" s="449"/>
      <c r="H92" s="449"/>
      <c r="I92" s="449"/>
      <c r="J92" s="449"/>
      <c r="K92" s="450"/>
      <c r="L92" s="415"/>
    </row>
    <row r="93" spans="1:12" ht="15" customHeight="1">
      <c r="A93" s="415"/>
      <c r="B93" s="451"/>
      <c r="C93" s="654" t="s">
        <v>678</v>
      </c>
      <c r="D93" s="654"/>
      <c r="E93" s="654"/>
      <c r="F93" s="654"/>
      <c r="G93" s="654"/>
      <c r="H93" s="654"/>
      <c r="I93" s="654"/>
      <c r="J93" s="654"/>
      <c r="K93" s="452"/>
      <c r="L93" s="415"/>
    </row>
    <row r="94" spans="1:12" ht="15" customHeight="1">
      <c r="A94" s="415"/>
      <c r="B94" s="451" t="s">
        <v>699</v>
      </c>
      <c r="C94" s="888">
        <v>312000000</v>
      </c>
      <c r="D94" s="888"/>
      <c r="E94" s="650" t="s">
        <v>677</v>
      </c>
      <c r="F94" s="650">
        <v>1000</v>
      </c>
      <c r="G94" s="650" t="s">
        <v>676</v>
      </c>
      <c r="H94" s="648">
        <f>C94/F94</f>
        <v>312000</v>
      </c>
      <c r="I94" s="654" t="s">
        <v>700</v>
      </c>
      <c r="J94" s="654"/>
      <c r="K94" s="452"/>
      <c r="L94" s="415"/>
    </row>
    <row r="95" spans="1:12" ht="15" customHeight="1">
      <c r="A95" s="415"/>
      <c r="B95" s="451"/>
      <c r="C95" s="654"/>
      <c r="D95" s="654"/>
      <c r="E95" s="650"/>
      <c r="F95" s="654"/>
      <c r="G95" s="654"/>
      <c r="H95" s="654"/>
      <c r="I95" s="654"/>
      <c r="J95" s="654"/>
      <c r="K95" s="452"/>
      <c r="L95" s="415"/>
    </row>
    <row r="96" spans="1:12" ht="15" customHeight="1">
      <c r="A96" s="415"/>
      <c r="B96" s="451"/>
      <c r="C96" s="654" t="s">
        <v>701</v>
      </c>
      <c r="D96" s="654"/>
      <c r="E96" s="650"/>
      <c r="F96" s="654" t="s">
        <v>700</v>
      </c>
      <c r="G96" s="654"/>
      <c r="H96" s="654"/>
      <c r="I96" s="654"/>
      <c r="J96" s="654"/>
      <c r="K96" s="452"/>
      <c r="L96" s="415"/>
    </row>
    <row r="97" spans="1:12" ht="15" customHeight="1">
      <c r="A97" s="415"/>
      <c r="B97" s="451" t="s">
        <v>704</v>
      </c>
      <c r="C97" s="888">
        <v>50000</v>
      </c>
      <c r="D97" s="888"/>
      <c r="E97" s="650" t="s">
        <v>677</v>
      </c>
      <c r="F97" s="648">
        <f>H94</f>
        <v>312000</v>
      </c>
      <c r="G97" s="650" t="s">
        <v>676</v>
      </c>
      <c r="H97" s="434">
        <f>C97/F97</f>
        <v>0.16025641025641027</v>
      </c>
      <c r="I97" s="654" t="s">
        <v>702</v>
      </c>
      <c r="J97" s="654"/>
      <c r="K97" s="452"/>
      <c r="L97" s="415"/>
    </row>
    <row r="98" spans="1:12" ht="15" customHeight="1">
      <c r="A98" s="415"/>
      <c r="B98" s="451"/>
      <c r="C98" s="654"/>
      <c r="D98" s="654"/>
      <c r="E98" s="650"/>
      <c r="F98" s="654"/>
      <c r="G98" s="654"/>
      <c r="H98" s="654"/>
      <c r="I98" s="654"/>
      <c r="J98" s="654"/>
      <c r="K98" s="452"/>
      <c r="L98" s="415"/>
    </row>
    <row r="99" spans="1:12" ht="15" customHeight="1">
      <c r="A99" s="415"/>
      <c r="B99" s="453"/>
      <c r="C99" s="454" t="s">
        <v>711</v>
      </c>
      <c r="D99" s="454"/>
      <c r="E99" s="652"/>
      <c r="F99" s="454"/>
      <c r="G99" s="454"/>
      <c r="H99" s="454"/>
      <c r="I99" s="454"/>
      <c r="J99" s="454"/>
      <c r="K99" s="455"/>
      <c r="L99" s="415"/>
    </row>
    <row r="100" spans="1:12" ht="15" customHeight="1">
      <c r="A100" s="415"/>
      <c r="B100" s="451" t="s">
        <v>784</v>
      </c>
      <c r="C100" s="888">
        <v>2500000</v>
      </c>
      <c r="D100" s="888"/>
      <c r="E100" s="650" t="s">
        <v>13</v>
      </c>
      <c r="F100" s="456">
        <v>0.3</v>
      </c>
      <c r="G100" s="650" t="s">
        <v>676</v>
      </c>
      <c r="H100" s="648">
        <f>C100*F100</f>
        <v>750000</v>
      </c>
      <c r="I100" s="654" t="s">
        <v>705</v>
      </c>
      <c r="J100" s="654"/>
      <c r="K100" s="452"/>
      <c r="L100" s="415"/>
    </row>
    <row r="101" spans="1:12" ht="15" customHeight="1">
      <c r="A101" s="415"/>
      <c r="B101" s="451"/>
      <c r="C101" s="654"/>
      <c r="D101" s="654"/>
      <c r="E101" s="650"/>
      <c r="F101" s="654"/>
      <c r="G101" s="654"/>
      <c r="H101" s="654"/>
      <c r="I101" s="654"/>
      <c r="J101" s="654"/>
      <c r="K101" s="452"/>
      <c r="L101" s="415"/>
    </row>
    <row r="102" spans="1:12" ht="15" customHeight="1">
      <c r="A102" s="415"/>
      <c r="B102" s="453"/>
      <c r="C102" s="454" t="s">
        <v>706</v>
      </c>
      <c r="D102" s="454"/>
      <c r="E102" s="652"/>
      <c r="F102" s="454" t="s">
        <v>702</v>
      </c>
      <c r="G102" s="454"/>
      <c r="H102" s="454"/>
      <c r="I102" s="454"/>
      <c r="J102" s="454" t="s">
        <v>707</v>
      </c>
      <c r="K102" s="455"/>
      <c r="L102" s="415"/>
    </row>
    <row r="103" spans="1:12" ht="15" customHeight="1">
      <c r="A103" s="415"/>
      <c r="B103" s="451" t="s">
        <v>785</v>
      </c>
      <c r="C103" s="892">
        <f>H100</f>
        <v>750000</v>
      </c>
      <c r="D103" s="892"/>
      <c r="E103" s="650" t="s">
        <v>13</v>
      </c>
      <c r="F103" s="434">
        <f>H97</f>
        <v>0.16025641025641027</v>
      </c>
      <c r="G103" s="650" t="s">
        <v>677</v>
      </c>
      <c r="H103" s="650">
        <v>1000</v>
      </c>
      <c r="I103" s="650" t="s">
        <v>676</v>
      </c>
      <c r="J103" s="649">
        <f>C103*F103/H103</f>
        <v>120.19230769230771</v>
      </c>
      <c r="K103" s="452"/>
      <c r="L103" s="415"/>
    </row>
    <row r="104" spans="1:12" ht="15" customHeight="1" thickBot="1">
      <c r="A104" s="415"/>
      <c r="B104" s="457"/>
      <c r="C104" s="443"/>
      <c r="D104" s="443"/>
      <c r="E104" s="444"/>
      <c r="F104" s="445"/>
      <c r="G104" s="444"/>
      <c r="H104" s="444"/>
      <c r="I104" s="444"/>
      <c r="J104" s="446"/>
      <c r="K104" s="655"/>
      <c r="L104" s="415"/>
    </row>
    <row r="105" spans="1:12" ht="40.5" customHeight="1">
      <c r="A105" s="415"/>
      <c r="B105" s="889" t="s">
        <v>668</v>
      </c>
      <c r="C105" s="894"/>
      <c r="D105" s="894"/>
      <c r="E105" s="894"/>
      <c r="F105" s="894"/>
      <c r="G105" s="894"/>
      <c r="H105" s="894"/>
      <c r="I105" s="894"/>
      <c r="J105" s="894"/>
      <c r="K105" s="894"/>
      <c r="L105" s="415"/>
    </row>
    <row r="106" spans="1:12" ht="15" customHeight="1">
      <c r="A106" s="415"/>
      <c r="B106" s="903" t="s">
        <v>712</v>
      </c>
      <c r="C106" s="904"/>
      <c r="D106" s="904"/>
      <c r="E106" s="904"/>
      <c r="F106" s="904"/>
      <c r="G106" s="904"/>
      <c r="H106" s="904"/>
      <c r="I106" s="904"/>
      <c r="J106" s="904"/>
      <c r="K106" s="904"/>
      <c r="L106" s="415"/>
    </row>
    <row r="107" spans="1:12" ht="15" customHeight="1">
      <c r="A107" s="415"/>
      <c r="B107" s="654"/>
      <c r="C107" s="458"/>
      <c r="D107" s="458"/>
      <c r="E107" s="650"/>
      <c r="F107" s="434"/>
      <c r="G107" s="650"/>
      <c r="H107" s="650"/>
      <c r="I107" s="650"/>
      <c r="J107" s="649"/>
      <c r="K107" s="654"/>
      <c r="L107" s="415"/>
    </row>
    <row r="108" spans="1:12" ht="15" customHeight="1">
      <c r="A108" s="415"/>
      <c r="B108" s="903" t="s">
        <v>713</v>
      </c>
      <c r="C108" s="905"/>
      <c r="D108" s="905"/>
      <c r="E108" s="905"/>
      <c r="F108" s="905"/>
      <c r="G108" s="905"/>
      <c r="H108" s="905"/>
      <c r="I108" s="905"/>
      <c r="J108" s="905"/>
      <c r="K108" s="905"/>
      <c r="L108" s="415"/>
    </row>
    <row r="109" spans="1:12" ht="15" customHeight="1">
      <c r="A109" s="415"/>
      <c r="B109" s="654"/>
      <c r="C109" s="458"/>
      <c r="D109" s="458"/>
      <c r="E109" s="650"/>
      <c r="F109" s="434"/>
      <c r="G109" s="650"/>
      <c r="H109" s="650"/>
      <c r="I109" s="650"/>
      <c r="J109" s="649"/>
      <c r="K109" s="654"/>
      <c r="L109" s="415"/>
    </row>
    <row r="110" spans="1:12" ht="59.25" customHeight="1">
      <c r="A110" s="415"/>
      <c r="B110" s="902" t="s">
        <v>714</v>
      </c>
      <c r="C110" s="895"/>
      <c r="D110" s="895"/>
      <c r="E110" s="895"/>
      <c r="F110" s="895"/>
      <c r="G110" s="895"/>
      <c r="H110" s="895"/>
      <c r="I110" s="895"/>
      <c r="J110" s="895"/>
      <c r="K110" s="895"/>
      <c r="L110" s="415"/>
    </row>
    <row r="111" spans="1:12" ht="15" thickBot="1">
      <c r="A111" s="415"/>
      <c r="B111" s="656"/>
      <c r="C111" s="656"/>
      <c r="D111" s="656"/>
      <c r="E111" s="656"/>
      <c r="F111" s="656"/>
      <c r="G111" s="656"/>
      <c r="H111" s="656"/>
      <c r="I111" s="656"/>
      <c r="J111" s="656"/>
      <c r="K111" s="656"/>
      <c r="L111" s="459"/>
    </row>
    <row r="112" spans="1:12">
      <c r="A112" s="415"/>
      <c r="B112" s="420" t="s">
        <v>672</v>
      </c>
      <c r="C112" s="421"/>
      <c r="D112" s="421"/>
      <c r="E112" s="421"/>
      <c r="F112" s="421"/>
      <c r="G112" s="421"/>
      <c r="H112" s="421"/>
      <c r="I112" s="421"/>
      <c r="J112" s="421"/>
      <c r="K112" s="422"/>
      <c r="L112" s="415"/>
    </row>
    <row r="113" spans="1:12">
      <c r="A113" s="415"/>
      <c r="B113" s="432"/>
      <c r="C113" s="424" t="s">
        <v>678</v>
      </c>
      <c r="D113" s="424"/>
      <c r="E113" s="424"/>
      <c r="F113" s="424"/>
      <c r="G113" s="424"/>
      <c r="H113" s="424"/>
      <c r="I113" s="424"/>
      <c r="J113" s="424"/>
      <c r="K113" s="426"/>
      <c r="L113" s="415"/>
    </row>
    <row r="114" spans="1:12">
      <c r="A114" s="415"/>
      <c r="B114" s="432" t="s">
        <v>699</v>
      </c>
      <c r="C114" s="888">
        <v>312000000</v>
      </c>
      <c r="D114" s="888"/>
      <c r="E114" s="650" t="s">
        <v>677</v>
      </c>
      <c r="F114" s="650">
        <v>1000</v>
      </c>
      <c r="G114" s="650" t="s">
        <v>676</v>
      </c>
      <c r="H114" s="648">
        <f>C114/F114</f>
        <v>312000</v>
      </c>
      <c r="I114" s="424" t="s">
        <v>700</v>
      </c>
      <c r="J114" s="424"/>
      <c r="K114" s="426"/>
      <c r="L114" s="415"/>
    </row>
    <row r="115" spans="1:12">
      <c r="A115" s="415"/>
      <c r="B115" s="432"/>
      <c r="C115" s="424"/>
      <c r="D115" s="424"/>
      <c r="E115" s="650"/>
      <c r="F115" s="424"/>
      <c r="G115" s="424"/>
      <c r="H115" s="424"/>
      <c r="I115" s="424"/>
      <c r="J115" s="424"/>
      <c r="K115" s="426"/>
      <c r="L115" s="415"/>
    </row>
    <row r="116" spans="1:12">
      <c r="A116" s="415"/>
      <c r="B116" s="432"/>
      <c r="C116" s="424" t="s">
        <v>701</v>
      </c>
      <c r="D116" s="424"/>
      <c r="E116" s="650"/>
      <c r="F116" s="424" t="s">
        <v>700</v>
      </c>
      <c r="G116" s="424"/>
      <c r="H116" s="424"/>
      <c r="I116" s="424"/>
      <c r="J116" s="424"/>
      <c r="K116" s="426"/>
      <c r="L116" s="415"/>
    </row>
    <row r="117" spans="1:12">
      <c r="A117" s="415"/>
      <c r="B117" s="432" t="s">
        <v>704</v>
      </c>
      <c r="C117" s="888">
        <v>50000</v>
      </c>
      <c r="D117" s="888"/>
      <c r="E117" s="650" t="s">
        <v>677</v>
      </c>
      <c r="F117" s="648">
        <f>H114</f>
        <v>312000</v>
      </c>
      <c r="G117" s="650" t="s">
        <v>676</v>
      </c>
      <c r="H117" s="434">
        <f>C117/F117</f>
        <v>0.16025641025641027</v>
      </c>
      <c r="I117" s="424" t="s">
        <v>702</v>
      </c>
      <c r="J117" s="424"/>
      <c r="K117" s="426"/>
      <c r="L117" s="415"/>
    </row>
    <row r="118" spans="1:12">
      <c r="A118" s="415"/>
      <c r="B118" s="432"/>
      <c r="C118" s="424"/>
      <c r="D118" s="424"/>
      <c r="E118" s="650"/>
      <c r="F118" s="424"/>
      <c r="G118" s="424"/>
      <c r="H118" s="424"/>
      <c r="I118" s="424"/>
      <c r="J118" s="424"/>
      <c r="K118" s="426"/>
      <c r="L118" s="415"/>
    </row>
    <row r="119" spans="1:12">
      <c r="A119" s="415"/>
      <c r="B119" s="440"/>
      <c r="C119" s="441" t="s">
        <v>711</v>
      </c>
      <c r="D119" s="441"/>
      <c r="E119" s="652"/>
      <c r="F119" s="441"/>
      <c r="G119" s="441"/>
      <c r="H119" s="441"/>
      <c r="I119" s="441"/>
      <c r="J119" s="441"/>
      <c r="K119" s="442"/>
      <c r="L119" s="415"/>
    </row>
    <row r="120" spans="1:12">
      <c r="A120" s="415"/>
      <c r="B120" s="432" t="s">
        <v>784</v>
      </c>
      <c r="C120" s="888">
        <v>2500000</v>
      </c>
      <c r="D120" s="888"/>
      <c r="E120" s="650" t="s">
        <v>13</v>
      </c>
      <c r="F120" s="456">
        <v>0.25</v>
      </c>
      <c r="G120" s="650" t="s">
        <v>676</v>
      </c>
      <c r="H120" s="648">
        <f>C120*F120</f>
        <v>625000</v>
      </c>
      <c r="I120" s="424" t="s">
        <v>705</v>
      </c>
      <c r="J120" s="424"/>
      <c r="K120" s="426"/>
      <c r="L120" s="415"/>
    </row>
    <row r="121" spans="1:12">
      <c r="A121" s="415"/>
      <c r="B121" s="432"/>
      <c r="C121" s="424"/>
      <c r="D121" s="424"/>
      <c r="E121" s="650"/>
      <c r="F121" s="424"/>
      <c r="G121" s="424"/>
      <c r="H121" s="424"/>
      <c r="I121" s="424"/>
      <c r="J121" s="424"/>
      <c r="K121" s="426"/>
      <c r="L121" s="415"/>
    </row>
    <row r="122" spans="1:12">
      <c r="A122" s="415"/>
      <c r="B122" s="440"/>
      <c r="C122" s="441" t="s">
        <v>706</v>
      </c>
      <c r="D122" s="441"/>
      <c r="E122" s="652"/>
      <c r="F122" s="441" t="s">
        <v>702</v>
      </c>
      <c r="G122" s="441"/>
      <c r="H122" s="441"/>
      <c r="I122" s="441"/>
      <c r="J122" s="441" t="s">
        <v>707</v>
      </c>
      <c r="K122" s="442"/>
      <c r="L122" s="415"/>
    </row>
    <row r="123" spans="1:12">
      <c r="A123" s="415"/>
      <c r="B123" s="432" t="s">
        <v>785</v>
      </c>
      <c r="C123" s="892">
        <f>H120</f>
        <v>625000</v>
      </c>
      <c r="D123" s="892"/>
      <c r="E123" s="650" t="s">
        <v>13</v>
      </c>
      <c r="F123" s="434">
        <f>H117</f>
        <v>0.16025641025641027</v>
      </c>
      <c r="G123" s="650" t="s">
        <v>677</v>
      </c>
      <c r="H123" s="650">
        <v>1000</v>
      </c>
      <c r="I123" s="650" t="s">
        <v>676</v>
      </c>
      <c r="J123" s="649">
        <f>C123*F123/H123</f>
        <v>100.16025641025642</v>
      </c>
      <c r="K123" s="426"/>
      <c r="L123" s="415"/>
    </row>
    <row r="124" spans="1:12" ht="15" thickBot="1">
      <c r="A124" s="415"/>
      <c r="B124" s="427"/>
      <c r="C124" s="443"/>
      <c r="D124" s="443"/>
      <c r="E124" s="444"/>
      <c r="F124" s="445"/>
      <c r="G124" s="444"/>
      <c r="H124" s="444"/>
      <c r="I124" s="444"/>
      <c r="J124" s="446"/>
      <c r="K124" s="429"/>
      <c r="L124" s="415"/>
    </row>
    <row r="125" spans="1:12" ht="40.5" customHeight="1">
      <c r="A125" s="415"/>
      <c r="B125" s="889" t="s">
        <v>668</v>
      </c>
      <c r="C125" s="889"/>
      <c r="D125" s="889"/>
      <c r="E125" s="889"/>
      <c r="F125" s="889"/>
      <c r="G125" s="889"/>
      <c r="H125" s="889"/>
      <c r="I125" s="889"/>
      <c r="J125" s="889"/>
      <c r="K125" s="889"/>
      <c r="L125" s="459"/>
    </row>
    <row r="126" spans="1:12">
      <c r="A126" s="415"/>
      <c r="B126" s="890" t="s">
        <v>715</v>
      </c>
      <c r="C126" s="890"/>
      <c r="D126" s="890"/>
      <c r="E126" s="890"/>
      <c r="F126" s="890"/>
      <c r="G126" s="890"/>
      <c r="H126" s="890"/>
      <c r="I126" s="890"/>
      <c r="J126" s="890"/>
      <c r="K126" s="890"/>
      <c r="L126" s="459"/>
    </row>
    <row r="127" spans="1:12">
      <c r="A127" s="415"/>
      <c r="B127" s="656"/>
      <c r="C127" s="656"/>
      <c r="D127" s="656"/>
      <c r="E127" s="656"/>
      <c r="F127" s="656"/>
      <c r="G127" s="656"/>
      <c r="H127" s="656"/>
      <c r="I127" s="656"/>
      <c r="J127" s="656"/>
      <c r="K127" s="656"/>
      <c r="L127" s="459"/>
    </row>
    <row r="128" spans="1:12">
      <c r="A128" s="415"/>
      <c r="B128" s="890" t="s">
        <v>716</v>
      </c>
      <c r="C128" s="890"/>
      <c r="D128" s="890"/>
      <c r="E128" s="890"/>
      <c r="F128" s="890"/>
      <c r="G128" s="890"/>
      <c r="H128" s="890"/>
      <c r="I128" s="890"/>
      <c r="J128" s="890"/>
      <c r="K128" s="890"/>
      <c r="L128" s="459"/>
    </row>
    <row r="129" spans="1:12">
      <c r="A129" s="415"/>
      <c r="B129" s="653"/>
      <c r="C129" s="653"/>
      <c r="D129" s="653"/>
      <c r="E129" s="653"/>
      <c r="F129" s="653"/>
      <c r="G129" s="653"/>
      <c r="H129" s="653"/>
      <c r="I129" s="653"/>
      <c r="J129" s="653"/>
      <c r="K129" s="653"/>
      <c r="L129" s="459"/>
    </row>
    <row r="130" spans="1:12" ht="74.25" customHeight="1">
      <c r="A130" s="415"/>
      <c r="B130" s="891" t="s">
        <v>786</v>
      </c>
      <c r="C130" s="891"/>
      <c r="D130" s="891"/>
      <c r="E130" s="891"/>
      <c r="F130" s="891"/>
      <c r="G130" s="891"/>
      <c r="H130" s="891"/>
      <c r="I130" s="891"/>
      <c r="J130" s="891"/>
      <c r="K130" s="891"/>
      <c r="L130" s="459"/>
    </row>
    <row r="131" spans="1:12" ht="15" thickBot="1">
      <c r="A131" s="415"/>
      <c r="L131" s="415"/>
    </row>
    <row r="132" spans="1:12">
      <c r="A132" s="415"/>
      <c r="B132" s="420" t="s">
        <v>672</v>
      </c>
      <c r="C132" s="421"/>
      <c r="D132" s="421"/>
      <c r="E132" s="421"/>
      <c r="F132" s="421"/>
      <c r="G132" s="421"/>
      <c r="H132" s="421"/>
      <c r="I132" s="421"/>
      <c r="J132" s="421"/>
      <c r="K132" s="422"/>
      <c r="L132" s="415"/>
    </row>
    <row r="133" spans="1:12">
      <c r="A133" s="415"/>
      <c r="B133" s="432"/>
      <c r="C133" s="893" t="s">
        <v>717</v>
      </c>
      <c r="D133" s="893"/>
      <c r="E133" s="424"/>
      <c r="F133" s="650" t="s">
        <v>718</v>
      </c>
      <c r="G133" s="424"/>
      <c r="H133" s="893" t="s">
        <v>705</v>
      </c>
      <c r="I133" s="893"/>
      <c r="J133" s="424"/>
      <c r="K133" s="426"/>
      <c r="L133" s="415"/>
    </row>
    <row r="134" spans="1:12">
      <c r="A134" s="415"/>
      <c r="B134" s="432" t="s">
        <v>699</v>
      </c>
      <c r="C134" s="888">
        <v>100000</v>
      </c>
      <c r="D134" s="888"/>
      <c r="E134" s="650" t="s">
        <v>13</v>
      </c>
      <c r="F134" s="650">
        <v>0.115</v>
      </c>
      <c r="G134" s="650" t="s">
        <v>676</v>
      </c>
      <c r="H134" s="882">
        <f>C134*F134</f>
        <v>11500</v>
      </c>
      <c r="I134" s="882"/>
      <c r="J134" s="424"/>
      <c r="K134" s="426"/>
      <c r="L134" s="415"/>
    </row>
    <row r="135" spans="1:12">
      <c r="A135" s="415"/>
      <c r="B135" s="432"/>
      <c r="C135" s="424"/>
      <c r="D135" s="424"/>
      <c r="E135" s="424"/>
      <c r="F135" s="424"/>
      <c r="G135" s="424"/>
      <c r="H135" s="424"/>
      <c r="I135" s="424"/>
      <c r="J135" s="424"/>
      <c r="K135" s="426"/>
      <c r="L135" s="415"/>
    </row>
    <row r="136" spans="1:12">
      <c r="A136" s="415"/>
      <c r="B136" s="440"/>
      <c r="C136" s="887" t="s">
        <v>705</v>
      </c>
      <c r="D136" s="887"/>
      <c r="E136" s="441"/>
      <c r="F136" s="652" t="s">
        <v>719</v>
      </c>
      <c r="G136" s="652"/>
      <c r="H136" s="441"/>
      <c r="I136" s="441"/>
      <c r="J136" s="441" t="s">
        <v>720</v>
      </c>
      <c r="K136" s="442"/>
      <c r="L136" s="415"/>
    </row>
    <row r="137" spans="1:12">
      <c r="A137" s="415"/>
      <c r="B137" s="432" t="s">
        <v>704</v>
      </c>
      <c r="C137" s="882">
        <f>H134</f>
        <v>11500</v>
      </c>
      <c r="D137" s="882"/>
      <c r="E137" s="650" t="s">
        <v>13</v>
      </c>
      <c r="F137" s="460">
        <v>52.869</v>
      </c>
      <c r="G137" s="650" t="s">
        <v>677</v>
      </c>
      <c r="H137" s="650">
        <v>1000</v>
      </c>
      <c r="I137" s="650" t="s">
        <v>676</v>
      </c>
      <c r="J137" s="461">
        <f>C137*F137/H137</f>
        <v>607.99350000000004</v>
      </c>
      <c r="K137" s="426"/>
      <c r="L137" s="415"/>
    </row>
    <row r="138" spans="1:12" ht="15" thickBot="1">
      <c r="A138" s="415"/>
      <c r="B138" s="427"/>
      <c r="C138" s="535"/>
      <c r="D138" s="535"/>
      <c r="E138" s="444"/>
      <c r="F138" s="536"/>
      <c r="G138" s="444"/>
      <c r="H138" s="444"/>
      <c r="I138" s="444"/>
      <c r="J138" s="537"/>
      <c r="K138" s="429"/>
      <c r="L138" s="415"/>
    </row>
    <row r="139" spans="1:12" ht="40.5" customHeight="1">
      <c r="A139" s="415"/>
      <c r="B139" s="522" t="s">
        <v>668</v>
      </c>
      <c r="C139" s="523"/>
      <c r="D139" s="523"/>
      <c r="E139" s="524"/>
      <c r="F139" s="525"/>
      <c r="G139" s="524"/>
      <c r="H139" s="524"/>
      <c r="I139" s="524"/>
      <c r="J139" s="526"/>
      <c r="K139" s="527"/>
      <c r="L139" s="415"/>
    </row>
    <row r="140" spans="1:12">
      <c r="A140" s="415"/>
      <c r="B140" s="528" t="s">
        <v>787</v>
      </c>
      <c r="C140" s="529"/>
      <c r="D140" s="529"/>
      <c r="E140" s="530"/>
      <c r="F140" s="531"/>
      <c r="G140" s="530"/>
      <c r="H140" s="530"/>
      <c r="I140" s="530"/>
      <c r="J140" s="532"/>
      <c r="K140" s="533"/>
      <c r="L140" s="415"/>
    </row>
    <row r="141" spans="1:12">
      <c r="A141" s="415"/>
      <c r="B141" s="432"/>
      <c r="C141" s="648"/>
      <c r="D141" s="648"/>
      <c r="E141" s="650"/>
      <c r="F141" s="538"/>
      <c r="G141" s="650"/>
      <c r="H141" s="650"/>
      <c r="I141" s="650"/>
      <c r="J141" s="461"/>
      <c r="K141" s="426"/>
      <c r="L141" s="415"/>
    </row>
    <row r="142" spans="1:12">
      <c r="A142" s="415"/>
      <c r="B142" s="528" t="s">
        <v>788</v>
      </c>
      <c r="C142" s="529"/>
      <c r="D142" s="529"/>
      <c r="E142" s="530"/>
      <c r="F142" s="531"/>
      <c r="G142" s="530"/>
      <c r="H142" s="530"/>
      <c r="I142" s="530"/>
      <c r="J142" s="532"/>
      <c r="K142" s="533"/>
      <c r="L142" s="415"/>
    </row>
    <row r="143" spans="1:12">
      <c r="A143" s="415"/>
      <c r="B143" s="432"/>
      <c r="C143" s="648"/>
      <c r="D143" s="648"/>
      <c r="E143" s="650"/>
      <c r="F143" s="538"/>
      <c r="G143" s="650"/>
      <c r="H143" s="650"/>
      <c r="I143" s="650"/>
      <c r="J143" s="461"/>
      <c r="K143" s="426"/>
      <c r="L143" s="415"/>
    </row>
    <row r="144" spans="1:12" ht="76.5" customHeight="1">
      <c r="A144" s="415"/>
      <c r="B144" s="879" t="s">
        <v>789</v>
      </c>
      <c r="C144" s="880"/>
      <c r="D144" s="880"/>
      <c r="E144" s="880"/>
      <c r="F144" s="880"/>
      <c r="G144" s="880"/>
      <c r="H144" s="880"/>
      <c r="I144" s="880"/>
      <c r="J144" s="880"/>
      <c r="K144" s="881"/>
      <c r="L144" s="415"/>
    </row>
    <row r="145" spans="1:12" ht="15" thickBot="1">
      <c r="A145" s="415"/>
      <c r="B145" s="432"/>
      <c r="C145" s="648"/>
      <c r="D145" s="648"/>
      <c r="E145" s="650"/>
      <c r="F145" s="538"/>
      <c r="G145" s="650"/>
      <c r="H145" s="650"/>
      <c r="I145" s="650"/>
      <c r="J145" s="461"/>
      <c r="K145" s="426"/>
      <c r="L145" s="415"/>
    </row>
    <row r="146" spans="1:12">
      <c r="A146" s="415"/>
      <c r="B146" s="420" t="s">
        <v>672</v>
      </c>
      <c r="C146" s="539"/>
      <c r="D146" s="539"/>
      <c r="E146" s="540"/>
      <c r="F146" s="541"/>
      <c r="G146" s="540"/>
      <c r="H146" s="540"/>
      <c r="I146" s="540"/>
      <c r="J146" s="542"/>
      <c r="K146" s="422"/>
      <c r="L146" s="415"/>
    </row>
    <row r="147" spans="1:12">
      <c r="A147" s="415"/>
      <c r="B147" s="432"/>
      <c r="C147" s="882" t="s">
        <v>790</v>
      </c>
      <c r="D147" s="882"/>
      <c r="E147" s="650"/>
      <c r="F147" s="538" t="s">
        <v>791</v>
      </c>
      <c r="G147" s="650"/>
      <c r="H147" s="650"/>
      <c r="I147" s="650"/>
      <c r="J147" s="883" t="s">
        <v>792</v>
      </c>
      <c r="K147" s="884"/>
      <c r="L147" s="415"/>
    </row>
    <row r="148" spans="1:12">
      <c r="A148" s="415"/>
      <c r="B148" s="432"/>
      <c r="C148" s="885">
        <v>52.869</v>
      </c>
      <c r="D148" s="885"/>
      <c r="E148" s="650" t="s">
        <v>13</v>
      </c>
      <c r="F148" s="651">
        <v>312000000</v>
      </c>
      <c r="G148" s="543" t="s">
        <v>677</v>
      </c>
      <c r="H148" s="650">
        <v>1000</v>
      </c>
      <c r="I148" s="650" t="s">
        <v>676</v>
      </c>
      <c r="J148" s="883">
        <f>C148*(F148/1000)</f>
        <v>16495128</v>
      </c>
      <c r="K148" s="886"/>
      <c r="L148" s="415"/>
    </row>
    <row r="149" spans="1:12" ht="15" thickBot="1">
      <c r="A149" s="415"/>
      <c r="B149" s="427"/>
      <c r="C149" s="535"/>
      <c r="D149" s="535"/>
      <c r="E149" s="444"/>
      <c r="F149" s="536"/>
      <c r="G149" s="444"/>
      <c r="H149" s="444"/>
      <c r="I149" s="444"/>
      <c r="J149" s="537"/>
      <c r="K149" s="429"/>
      <c r="L149" s="415"/>
    </row>
    <row r="150" spans="1:12" ht="15" thickBot="1">
      <c r="A150" s="415"/>
      <c r="B150" s="427"/>
      <c r="C150" s="428"/>
      <c r="D150" s="428"/>
      <c r="E150" s="428"/>
      <c r="F150" s="428"/>
      <c r="G150" s="428"/>
      <c r="H150" s="428"/>
      <c r="I150" s="428"/>
      <c r="J150" s="428"/>
      <c r="K150" s="429"/>
      <c r="L150" s="415"/>
    </row>
    <row r="151" spans="1:12">
      <c r="A151" s="415"/>
      <c r="B151" s="415"/>
      <c r="C151" s="415"/>
      <c r="D151" s="415"/>
      <c r="E151" s="415"/>
      <c r="F151" s="415"/>
      <c r="G151" s="415"/>
      <c r="H151" s="415"/>
      <c r="I151" s="415"/>
      <c r="J151" s="415"/>
      <c r="K151" s="415"/>
      <c r="L151" s="415"/>
    </row>
    <row r="152" spans="1:12">
      <c r="A152" s="415"/>
      <c r="B152" s="415"/>
      <c r="C152" s="415"/>
      <c r="D152" s="415"/>
      <c r="E152" s="415"/>
      <c r="F152" s="415"/>
      <c r="G152" s="415"/>
      <c r="H152" s="415"/>
      <c r="I152" s="415"/>
      <c r="J152" s="415"/>
      <c r="K152" s="415"/>
      <c r="L152" s="415"/>
    </row>
    <row r="153" spans="1:12">
      <c r="A153" s="415"/>
      <c r="B153" s="415"/>
      <c r="C153" s="415"/>
      <c r="D153" s="415"/>
      <c r="E153" s="415"/>
      <c r="F153" s="415"/>
      <c r="G153" s="415"/>
      <c r="H153" s="415"/>
      <c r="I153" s="415"/>
      <c r="J153" s="415"/>
      <c r="K153" s="415"/>
      <c r="L153" s="415"/>
    </row>
    <row r="154" spans="1:12">
      <c r="A154" s="462"/>
      <c r="B154" s="462"/>
      <c r="C154" s="462"/>
      <c r="D154" s="462"/>
      <c r="E154" s="462"/>
      <c r="F154" s="462"/>
      <c r="G154" s="462"/>
      <c r="H154" s="462"/>
      <c r="I154" s="462"/>
      <c r="J154" s="462"/>
      <c r="K154" s="462"/>
      <c r="L154" s="462"/>
    </row>
    <row r="155" spans="1:12">
      <c r="A155" s="462"/>
      <c r="B155" s="462"/>
      <c r="C155" s="462"/>
      <c r="D155" s="462"/>
      <c r="E155" s="462"/>
      <c r="F155" s="462"/>
      <c r="G155" s="462"/>
      <c r="H155" s="462"/>
      <c r="I155" s="462"/>
      <c r="J155" s="462"/>
      <c r="K155" s="462"/>
      <c r="L155" s="462"/>
    </row>
    <row r="156" spans="1:12">
      <c r="A156" s="462"/>
      <c r="B156" s="462"/>
      <c r="C156" s="462"/>
      <c r="D156" s="462"/>
      <c r="E156" s="462"/>
      <c r="F156" s="462"/>
      <c r="G156" s="462"/>
      <c r="H156" s="462"/>
      <c r="I156" s="462"/>
      <c r="J156" s="462"/>
      <c r="K156" s="462"/>
      <c r="L156" s="462"/>
    </row>
    <row r="157" spans="1:12">
      <c r="A157" s="462"/>
      <c r="B157" s="462"/>
      <c r="C157" s="462"/>
      <c r="D157" s="462"/>
      <c r="E157" s="462"/>
      <c r="F157" s="462"/>
      <c r="G157" s="462"/>
      <c r="H157" s="462"/>
      <c r="I157" s="462"/>
      <c r="J157" s="462"/>
      <c r="K157" s="462"/>
      <c r="L157" s="462"/>
    </row>
    <row r="158" spans="1:12">
      <c r="A158" s="462"/>
      <c r="B158" s="462"/>
      <c r="C158" s="462"/>
      <c r="D158" s="462"/>
      <c r="E158" s="462"/>
      <c r="F158" s="462"/>
      <c r="G158" s="462"/>
      <c r="H158" s="462"/>
      <c r="I158" s="462"/>
      <c r="J158" s="462"/>
      <c r="K158" s="462"/>
      <c r="L158" s="462"/>
    </row>
    <row r="159" spans="1:12">
      <c r="A159" s="462"/>
      <c r="B159" s="462"/>
      <c r="C159" s="462"/>
      <c r="D159" s="462"/>
      <c r="E159" s="462"/>
      <c r="F159" s="462"/>
      <c r="G159" s="462"/>
      <c r="H159" s="462"/>
      <c r="I159" s="462"/>
      <c r="J159" s="462"/>
      <c r="K159" s="462"/>
      <c r="L159" s="462"/>
    </row>
    <row r="160" spans="1:12">
      <c r="A160" s="462"/>
      <c r="B160" s="462"/>
      <c r="C160" s="462"/>
      <c r="D160" s="462"/>
      <c r="E160" s="462"/>
      <c r="F160" s="462"/>
      <c r="G160" s="462"/>
      <c r="H160" s="462"/>
      <c r="I160" s="462"/>
      <c r="J160" s="462"/>
      <c r="K160" s="462"/>
      <c r="L160" s="462"/>
    </row>
    <row r="161" spans="1:12">
      <c r="A161" s="462"/>
      <c r="B161" s="462"/>
      <c r="C161" s="462"/>
      <c r="D161" s="462"/>
      <c r="E161" s="462"/>
      <c r="F161" s="462"/>
      <c r="G161" s="462"/>
      <c r="H161" s="462"/>
      <c r="I161" s="462"/>
      <c r="J161" s="462"/>
      <c r="K161" s="462"/>
      <c r="L161" s="462"/>
    </row>
    <row r="162" spans="1:12">
      <c r="A162" s="462"/>
      <c r="B162" s="462"/>
      <c r="C162" s="462"/>
      <c r="D162" s="462"/>
      <c r="E162" s="462"/>
      <c r="F162" s="462"/>
      <c r="G162" s="462"/>
      <c r="H162" s="462"/>
      <c r="I162" s="462"/>
      <c r="J162" s="462"/>
      <c r="K162" s="462"/>
      <c r="L162" s="462"/>
    </row>
    <row r="163" spans="1:12">
      <c r="A163" s="462"/>
      <c r="B163" s="462"/>
      <c r="C163" s="462"/>
      <c r="D163" s="462"/>
      <c r="E163" s="462"/>
      <c r="F163" s="462"/>
      <c r="G163" s="462"/>
      <c r="H163" s="462"/>
      <c r="I163" s="462"/>
      <c r="J163" s="462"/>
      <c r="K163" s="462"/>
      <c r="L163" s="462"/>
    </row>
    <row r="164" spans="1:12">
      <c r="A164" s="462"/>
      <c r="B164" s="462"/>
      <c r="C164" s="462"/>
      <c r="D164" s="462"/>
      <c r="E164" s="462"/>
      <c r="F164" s="462"/>
      <c r="G164" s="462"/>
      <c r="H164" s="462"/>
      <c r="I164" s="462"/>
      <c r="J164" s="462"/>
      <c r="K164" s="462"/>
      <c r="L164" s="462"/>
    </row>
    <row r="165" spans="1:12">
      <c r="A165" s="462"/>
      <c r="B165" s="462"/>
      <c r="C165" s="462"/>
      <c r="D165" s="462"/>
      <c r="E165" s="462"/>
      <c r="F165" s="462"/>
      <c r="G165" s="462"/>
      <c r="H165" s="462"/>
      <c r="I165" s="462"/>
      <c r="J165" s="462"/>
      <c r="K165" s="462"/>
      <c r="L165" s="462"/>
    </row>
    <row r="166" spans="1:12">
      <c r="A166" s="462"/>
      <c r="B166" s="462"/>
      <c r="C166" s="462"/>
      <c r="D166" s="462"/>
      <c r="E166" s="462"/>
      <c r="F166" s="462"/>
      <c r="G166" s="462"/>
      <c r="H166" s="462"/>
      <c r="I166" s="462"/>
      <c r="J166" s="462"/>
      <c r="K166" s="462"/>
      <c r="L166" s="462"/>
    </row>
    <row r="167" spans="1:12">
      <c r="A167" s="462"/>
      <c r="B167" s="462"/>
      <c r="C167" s="462"/>
      <c r="D167" s="462"/>
      <c r="E167" s="462"/>
      <c r="F167" s="462"/>
      <c r="G167" s="462"/>
      <c r="H167" s="462"/>
      <c r="I167" s="462"/>
      <c r="J167" s="462"/>
      <c r="K167" s="462"/>
      <c r="L167" s="462"/>
    </row>
    <row r="168" spans="1:12">
      <c r="A168" s="462"/>
      <c r="B168" s="462"/>
      <c r="C168" s="462"/>
      <c r="D168" s="462"/>
      <c r="E168" s="462"/>
      <c r="F168" s="462"/>
      <c r="G168" s="462"/>
      <c r="H168" s="462"/>
      <c r="I168" s="462"/>
      <c r="J168" s="462"/>
      <c r="K168" s="462"/>
      <c r="L168" s="462"/>
    </row>
    <row r="169" spans="1:12">
      <c r="A169" s="462"/>
      <c r="B169" s="462"/>
      <c r="C169" s="462"/>
      <c r="D169" s="462"/>
      <c r="E169" s="462"/>
      <c r="F169" s="462"/>
      <c r="G169" s="462"/>
      <c r="H169" s="462"/>
      <c r="I169" s="462"/>
      <c r="J169" s="462"/>
      <c r="K169" s="462"/>
      <c r="L169" s="462"/>
    </row>
    <row r="170" spans="1:12">
      <c r="A170" s="462"/>
      <c r="B170" s="462"/>
      <c r="C170" s="462"/>
      <c r="D170" s="462"/>
      <c r="E170" s="462"/>
      <c r="F170" s="462"/>
      <c r="G170" s="462"/>
      <c r="H170" s="462"/>
      <c r="I170" s="462"/>
      <c r="J170" s="462"/>
      <c r="K170" s="462"/>
      <c r="L170" s="462"/>
    </row>
    <row r="171" spans="1:12">
      <c r="A171" s="462"/>
      <c r="B171" s="462"/>
      <c r="C171" s="462"/>
      <c r="D171" s="462"/>
      <c r="E171" s="462"/>
      <c r="F171" s="462"/>
      <c r="G171" s="462"/>
      <c r="H171" s="462"/>
      <c r="I171" s="462"/>
      <c r="J171" s="462"/>
      <c r="K171" s="462"/>
      <c r="L171" s="462"/>
    </row>
    <row r="172" spans="1:12">
      <c r="A172" s="462"/>
      <c r="B172" s="462"/>
      <c r="C172" s="462"/>
      <c r="D172" s="462"/>
      <c r="E172" s="462"/>
      <c r="F172" s="462"/>
      <c r="G172" s="462"/>
      <c r="H172" s="462"/>
      <c r="I172" s="462"/>
      <c r="J172" s="462"/>
      <c r="K172" s="462"/>
      <c r="L172" s="462"/>
    </row>
    <row r="173" spans="1:12">
      <c r="A173" s="462"/>
      <c r="B173" s="462"/>
      <c r="C173" s="462"/>
      <c r="D173" s="462"/>
      <c r="E173" s="462"/>
      <c r="F173" s="462"/>
      <c r="G173" s="462"/>
      <c r="H173" s="462"/>
      <c r="I173" s="462"/>
      <c r="J173" s="462"/>
      <c r="K173" s="462"/>
      <c r="L173" s="462"/>
    </row>
    <row r="174" spans="1:12">
      <c r="A174" s="462"/>
      <c r="B174" s="462"/>
      <c r="C174" s="462"/>
      <c r="D174" s="462"/>
      <c r="E174" s="462"/>
      <c r="F174" s="462"/>
      <c r="G174" s="462"/>
      <c r="H174" s="462"/>
      <c r="I174" s="462"/>
      <c r="J174" s="462"/>
      <c r="K174" s="462"/>
      <c r="L174" s="462"/>
    </row>
    <row r="175" spans="1:12">
      <c r="A175" s="462"/>
      <c r="B175" s="462"/>
      <c r="C175" s="462"/>
      <c r="D175" s="462"/>
      <c r="E175" s="462"/>
      <c r="F175" s="462"/>
      <c r="G175" s="462"/>
      <c r="H175" s="462"/>
      <c r="I175" s="462"/>
      <c r="J175" s="462"/>
      <c r="K175" s="462"/>
      <c r="L175" s="462"/>
    </row>
    <row r="176" spans="1:12">
      <c r="A176" s="462"/>
      <c r="B176" s="462"/>
      <c r="C176" s="462"/>
      <c r="D176" s="462"/>
      <c r="E176" s="462"/>
      <c r="F176" s="462"/>
      <c r="G176" s="462"/>
      <c r="H176" s="462"/>
      <c r="I176" s="462"/>
      <c r="J176" s="462"/>
      <c r="K176" s="462"/>
      <c r="L176" s="462"/>
    </row>
    <row r="177" spans="1:12">
      <c r="A177" s="462"/>
      <c r="B177" s="462"/>
      <c r="C177" s="462"/>
      <c r="D177" s="462"/>
      <c r="E177" s="462"/>
      <c r="F177" s="462"/>
      <c r="G177" s="462"/>
      <c r="H177" s="462"/>
      <c r="I177" s="462"/>
      <c r="J177" s="462"/>
      <c r="K177" s="462"/>
      <c r="L177" s="462"/>
    </row>
    <row r="178" spans="1:12">
      <c r="A178" s="462"/>
      <c r="B178" s="462"/>
      <c r="C178" s="462"/>
      <c r="D178" s="462"/>
      <c r="E178" s="462"/>
      <c r="F178" s="462"/>
      <c r="G178" s="462"/>
      <c r="H178" s="462"/>
      <c r="I178" s="462"/>
      <c r="J178" s="462"/>
      <c r="K178" s="462"/>
      <c r="L178" s="462"/>
    </row>
    <row r="179" spans="1:12">
      <c r="A179" s="462"/>
      <c r="B179" s="462"/>
      <c r="C179" s="462"/>
      <c r="D179" s="462"/>
      <c r="E179" s="462"/>
      <c r="F179" s="462"/>
      <c r="G179" s="462"/>
      <c r="H179" s="462"/>
      <c r="I179" s="462"/>
      <c r="J179" s="462"/>
      <c r="K179" s="462"/>
      <c r="L179" s="462"/>
    </row>
    <row r="180" spans="1:12">
      <c r="A180" s="462"/>
      <c r="B180" s="462"/>
      <c r="C180" s="462"/>
      <c r="D180" s="462"/>
      <c r="E180" s="462"/>
      <c r="F180" s="462"/>
      <c r="G180" s="462"/>
      <c r="H180" s="462"/>
      <c r="I180" s="462"/>
      <c r="J180" s="462"/>
      <c r="K180" s="462"/>
      <c r="L180" s="462"/>
    </row>
    <row r="181" spans="1:12">
      <c r="A181" s="462"/>
      <c r="B181" s="462"/>
      <c r="C181" s="462"/>
      <c r="D181" s="462"/>
      <c r="E181" s="462"/>
      <c r="F181" s="462"/>
      <c r="G181" s="462"/>
      <c r="H181" s="462"/>
      <c r="I181" s="462"/>
      <c r="J181" s="462"/>
      <c r="K181" s="462"/>
      <c r="L181" s="462"/>
    </row>
    <row r="182" spans="1:12">
      <c r="A182" s="462"/>
      <c r="B182" s="462"/>
      <c r="C182" s="462"/>
      <c r="D182" s="462"/>
      <c r="E182" s="462"/>
      <c r="F182" s="462"/>
      <c r="G182" s="462"/>
      <c r="H182" s="462"/>
      <c r="I182" s="462"/>
      <c r="J182" s="462"/>
      <c r="K182" s="462"/>
      <c r="L182" s="462"/>
    </row>
    <row r="183" spans="1:12">
      <c r="A183" s="462"/>
      <c r="B183" s="462"/>
      <c r="C183" s="462"/>
      <c r="D183" s="462"/>
      <c r="E183" s="462"/>
      <c r="F183" s="462"/>
      <c r="G183" s="462"/>
      <c r="H183" s="462"/>
      <c r="I183" s="462"/>
      <c r="J183" s="462"/>
      <c r="K183" s="462"/>
      <c r="L183" s="462"/>
    </row>
    <row r="184" spans="1:12">
      <c r="A184" s="462"/>
      <c r="B184" s="462"/>
      <c r="C184" s="462"/>
      <c r="D184" s="462"/>
      <c r="E184" s="462"/>
      <c r="F184" s="462"/>
      <c r="G184" s="462"/>
      <c r="H184" s="462"/>
      <c r="I184" s="462"/>
      <c r="J184" s="462"/>
      <c r="K184" s="462"/>
      <c r="L184" s="462"/>
    </row>
    <row r="185" spans="1:12">
      <c r="A185" s="462"/>
      <c r="B185" s="462"/>
      <c r="C185" s="462"/>
      <c r="D185" s="462"/>
      <c r="E185" s="462"/>
      <c r="F185" s="462"/>
      <c r="G185" s="462"/>
      <c r="H185" s="462"/>
      <c r="I185" s="462"/>
      <c r="J185" s="462"/>
      <c r="K185" s="462"/>
      <c r="L185" s="462"/>
    </row>
    <row r="186" spans="1:12">
      <c r="A186" s="462"/>
      <c r="B186" s="462"/>
      <c r="C186" s="462"/>
      <c r="D186" s="462"/>
      <c r="E186" s="462"/>
      <c r="F186" s="462"/>
      <c r="G186" s="462"/>
      <c r="H186" s="462"/>
      <c r="I186" s="462"/>
      <c r="J186" s="462"/>
      <c r="K186" s="462"/>
      <c r="L186" s="462"/>
    </row>
    <row r="187" spans="1:12">
      <c r="A187" s="462"/>
      <c r="B187" s="462"/>
      <c r="C187" s="462"/>
      <c r="D187" s="462"/>
      <c r="E187" s="462"/>
      <c r="F187" s="462"/>
      <c r="G187" s="462"/>
      <c r="H187" s="462"/>
      <c r="I187" s="462"/>
      <c r="J187" s="462"/>
      <c r="K187" s="462"/>
      <c r="L187" s="462"/>
    </row>
    <row r="188" spans="1:12">
      <c r="A188" s="462"/>
      <c r="B188" s="462"/>
      <c r="C188" s="462"/>
      <c r="D188" s="462"/>
      <c r="E188" s="462"/>
      <c r="F188" s="462"/>
      <c r="G188" s="462"/>
      <c r="H188" s="462"/>
      <c r="I188" s="462"/>
      <c r="J188" s="462"/>
      <c r="K188" s="462"/>
      <c r="L188" s="462"/>
    </row>
    <row r="189" spans="1:12">
      <c r="A189" s="462"/>
      <c r="B189" s="462"/>
      <c r="C189" s="462"/>
      <c r="D189" s="462"/>
      <c r="E189" s="462"/>
      <c r="F189" s="462"/>
      <c r="G189" s="462"/>
      <c r="H189" s="462"/>
      <c r="I189" s="462"/>
      <c r="J189" s="462"/>
      <c r="K189" s="462"/>
      <c r="L189" s="462"/>
    </row>
    <row r="190" spans="1:12">
      <c r="A190" s="462"/>
      <c r="B190" s="462"/>
      <c r="C190" s="462"/>
      <c r="D190" s="462"/>
      <c r="E190" s="462"/>
      <c r="F190" s="462"/>
      <c r="G190" s="462"/>
      <c r="H190" s="462"/>
      <c r="I190" s="462"/>
      <c r="J190" s="462"/>
      <c r="K190" s="462"/>
      <c r="L190" s="462"/>
    </row>
    <row r="191" spans="1:12">
      <c r="A191" s="462"/>
      <c r="B191" s="462"/>
      <c r="C191" s="462"/>
      <c r="D191" s="462"/>
      <c r="E191" s="462"/>
      <c r="F191" s="462"/>
      <c r="G191" s="462"/>
      <c r="H191" s="462"/>
      <c r="I191" s="462"/>
      <c r="J191" s="462"/>
      <c r="K191" s="462"/>
      <c r="L191" s="462"/>
    </row>
    <row r="192" spans="1:12">
      <c r="A192" s="462"/>
      <c r="B192" s="462"/>
      <c r="C192" s="462"/>
      <c r="D192" s="462"/>
      <c r="E192" s="462"/>
      <c r="F192" s="462"/>
      <c r="G192" s="462"/>
      <c r="H192" s="462"/>
      <c r="I192" s="462"/>
      <c r="J192" s="462"/>
      <c r="K192" s="462"/>
      <c r="L192" s="462"/>
    </row>
    <row r="193" spans="1:12">
      <c r="A193" s="462"/>
      <c r="B193" s="462"/>
      <c r="C193" s="462"/>
      <c r="D193" s="462"/>
      <c r="E193" s="462"/>
      <c r="F193" s="462"/>
      <c r="G193" s="462"/>
      <c r="H193" s="462"/>
      <c r="I193" s="462"/>
      <c r="J193" s="462"/>
      <c r="K193" s="462"/>
      <c r="L193" s="462"/>
    </row>
    <row r="194" spans="1:12">
      <c r="A194" s="462"/>
      <c r="B194" s="462"/>
      <c r="C194" s="462"/>
      <c r="D194" s="462"/>
      <c r="E194" s="462"/>
      <c r="F194" s="462"/>
      <c r="G194" s="462"/>
      <c r="H194" s="462"/>
      <c r="I194" s="462"/>
      <c r="J194" s="462"/>
      <c r="K194" s="462"/>
      <c r="L194" s="462"/>
    </row>
    <row r="195" spans="1:12">
      <c r="A195" s="462"/>
      <c r="B195" s="462"/>
      <c r="C195" s="462"/>
      <c r="D195" s="462"/>
      <c r="E195" s="462"/>
      <c r="F195" s="462"/>
      <c r="G195" s="462"/>
      <c r="H195" s="462"/>
      <c r="I195" s="462"/>
      <c r="J195" s="462"/>
      <c r="K195" s="462"/>
      <c r="L195" s="462"/>
    </row>
    <row r="196" spans="1:12">
      <c r="A196" s="462"/>
      <c r="B196" s="462"/>
      <c r="C196" s="462"/>
      <c r="D196" s="462"/>
      <c r="E196" s="462"/>
      <c r="F196" s="462"/>
      <c r="G196" s="462"/>
      <c r="H196" s="462"/>
      <c r="I196" s="462"/>
      <c r="J196" s="462"/>
      <c r="K196" s="462"/>
      <c r="L196" s="462"/>
    </row>
    <row r="197" spans="1:12">
      <c r="A197" s="462"/>
      <c r="B197" s="462"/>
      <c r="C197" s="462"/>
      <c r="D197" s="462"/>
      <c r="E197" s="462"/>
      <c r="F197" s="462"/>
      <c r="G197" s="462"/>
      <c r="H197" s="462"/>
      <c r="I197" s="462"/>
      <c r="J197" s="462"/>
      <c r="K197" s="462"/>
      <c r="L197" s="462"/>
    </row>
    <row r="198" spans="1:12">
      <c r="A198" s="462"/>
      <c r="B198" s="462"/>
      <c r="C198" s="462"/>
      <c r="D198" s="462"/>
      <c r="E198" s="462"/>
      <c r="F198" s="462"/>
      <c r="G198" s="462"/>
      <c r="H198" s="462"/>
      <c r="I198" s="462"/>
      <c r="J198" s="462"/>
      <c r="K198" s="462"/>
      <c r="L198" s="462"/>
    </row>
    <row r="199" spans="1:12">
      <c r="A199" s="462"/>
      <c r="B199" s="462"/>
      <c r="C199" s="462"/>
      <c r="D199" s="462"/>
      <c r="E199" s="462"/>
      <c r="F199" s="462"/>
      <c r="G199" s="462"/>
      <c r="H199" s="462"/>
      <c r="I199" s="462"/>
      <c r="J199" s="462"/>
      <c r="K199" s="462"/>
      <c r="L199" s="462"/>
    </row>
    <row r="200" spans="1:12">
      <c r="A200" s="462"/>
      <c r="B200" s="462"/>
      <c r="C200" s="462"/>
      <c r="D200" s="462"/>
      <c r="E200" s="462"/>
      <c r="F200" s="462"/>
      <c r="G200" s="462"/>
      <c r="H200" s="462"/>
      <c r="I200" s="462"/>
      <c r="J200" s="462"/>
      <c r="K200" s="462"/>
      <c r="L200" s="462"/>
    </row>
    <row r="201" spans="1:12">
      <c r="A201" s="462"/>
      <c r="B201" s="462"/>
      <c r="C201" s="462"/>
      <c r="D201" s="462"/>
      <c r="E201" s="462"/>
      <c r="F201" s="462"/>
      <c r="G201" s="462"/>
      <c r="H201" s="462"/>
      <c r="I201" s="462"/>
      <c r="J201" s="462"/>
      <c r="K201" s="462"/>
      <c r="L201" s="462"/>
    </row>
    <row r="202" spans="1:12">
      <c r="A202" s="462"/>
      <c r="B202" s="462"/>
      <c r="C202" s="462"/>
      <c r="D202" s="462"/>
      <c r="E202" s="462"/>
      <c r="F202" s="462"/>
      <c r="G202" s="462"/>
      <c r="H202" s="462"/>
      <c r="I202" s="462"/>
      <c r="J202" s="462"/>
      <c r="K202" s="462"/>
      <c r="L202" s="462"/>
    </row>
    <row r="203" spans="1:12">
      <c r="A203" s="462"/>
      <c r="B203" s="462"/>
      <c r="C203" s="462"/>
      <c r="D203" s="462"/>
      <c r="E203" s="462"/>
      <c r="F203" s="462"/>
      <c r="G203" s="462"/>
      <c r="H203" s="462"/>
      <c r="I203" s="462"/>
      <c r="J203" s="462"/>
      <c r="K203" s="462"/>
      <c r="L203" s="462"/>
    </row>
    <row r="204" spans="1:12">
      <c r="A204" s="462"/>
      <c r="B204" s="462"/>
      <c r="C204" s="462"/>
      <c r="D204" s="462"/>
      <c r="E204" s="462"/>
      <c r="F204" s="462"/>
      <c r="G204" s="462"/>
      <c r="H204" s="462"/>
      <c r="I204" s="462"/>
      <c r="J204" s="462"/>
      <c r="K204" s="462"/>
      <c r="L204" s="462"/>
    </row>
    <row r="205" spans="1:12">
      <c r="A205" s="462"/>
      <c r="B205" s="462"/>
      <c r="C205" s="462"/>
      <c r="D205" s="462"/>
      <c r="E205" s="462"/>
      <c r="F205" s="462"/>
      <c r="G205" s="462"/>
      <c r="H205" s="462"/>
      <c r="I205" s="462"/>
      <c r="J205" s="462"/>
      <c r="K205" s="462"/>
      <c r="L205" s="462"/>
    </row>
    <row r="206" spans="1:12">
      <c r="A206" s="462"/>
      <c r="B206" s="462"/>
      <c r="C206" s="462"/>
      <c r="D206" s="462"/>
      <c r="E206" s="462"/>
      <c r="F206" s="462"/>
      <c r="G206" s="462"/>
      <c r="H206" s="462"/>
      <c r="I206" s="462"/>
      <c r="J206" s="462"/>
      <c r="K206" s="462"/>
      <c r="L206" s="462"/>
    </row>
    <row r="207" spans="1:12">
      <c r="A207" s="462"/>
      <c r="B207" s="462"/>
      <c r="C207" s="462"/>
      <c r="D207" s="462"/>
      <c r="E207" s="462"/>
      <c r="F207" s="462"/>
      <c r="G207" s="462"/>
      <c r="H207" s="462"/>
      <c r="I207" s="462"/>
      <c r="J207" s="462"/>
      <c r="K207" s="462"/>
      <c r="L207" s="462"/>
    </row>
    <row r="208" spans="1:12">
      <c r="A208" s="462"/>
      <c r="B208" s="462"/>
      <c r="C208" s="462"/>
      <c r="D208" s="462"/>
      <c r="E208" s="462"/>
      <c r="F208" s="462"/>
      <c r="G208" s="462"/>
      <c r="H208" s="462"/>
      <c r="I208" s="462"/>
      <c r="J208" s="462"/>
      <c r="K208" s="462"/>
      <c r="L208" s="462"/>
    </row>
    <row r="209" spans="1:12">
      <c r="A209" s="462"/>
      <c r="B209" s="462"/>
      <c r="C209" s="462"/>
      <c r="D209" s="462"/>
      <c r="E209" s="462"/>
      <c r="F209" s="462"/>
      <c r="G209" s="462"/>
      <c r="H209" s="462"/>
      <c r="I209" s="462"/>
      <c r="J209" s="462"/>
      <c r="K209" s="462"/>
      <c r="L209" s="462"/>
    </row>
    <row r="210" spans="1:12">
      <c r="A210" s="462"/>
      <c r="B210" s="462"/>
      <c r="C210" s="462"/>
      <c r="D210" s="462"/>
      <c r="E210" s="462"/>
      <c r="F210" s="462"/>
      <c r="G210" s="462"/>
      <c r="H210" s="462"/>
      <c r="I210" s="462"/>
      <c r="J210" s="462"/>
      <c r="K210" s="462"/>
      <c r="L210" s="462"/>
    </row>
    <row r="211" spans="1:12">
      <c r="A211" s="462"/>
      <c r="B211" s="462"/>
      <c r="C211" s="462"/>
      <c r="D211" s="462"/>
      <c r="E211" s="462"/>
      <c r="F211" s="462"/>
      <c r="G211" s="462"/>
      <c r="H211" s="462"/>
      <c r="I211" s="462"/>
      <c r="J211" s="462"/>
      <c r="K211" s="462"/>
      <c r="L211" s="462"/>
    </row>
    <row r="212" spans="1:12">
      <c r="A212" s="462"/>
      <c r="B212" s="462"/>
      <c r="C212" s="462"/>
      <c r="D212" s="462"/>
      <c r="E212" s="462"/>
      <c r="F212" s="462"/>
      <c r="G212" s="462"/>
      <c r="H212" s="462"/>
      <c r="I212" s="462"/>
      <c r="J212" s="462"/>
      <c r="K212" s="462"/>
      <c r="L212" s="462"/>
    </row>
    <row r="213" spans="1:12">
      <c r="A213" s="462"/>
      <c r="B213" s="462"/>
      <c r="C213" s="462"/>
      <c r="D213" s="462"/>
      <c r="E213" s="462"/>
      <c r="F213" s="462"/>
      <c r="G213" s="462"/>
      <c r="H213" s="462"/>
      <c r="I213" s="462"/>
      <c r="J213" s="462"/>
      <c r="K213" s="462"/>
      <c r="L213" s="462"/>
    </row>
    <row r="214" spans="1:12">
      <c r="A214" s="462"/>
      <c r="B214" s="462"/>
      <c r="C214" s="462"/>
      <c r="D214" s="462"/>
      <c r="E214" s="462"/>
      <c r="F214" s="462"/>
      <c r="G214" s="462"/>
      <c r="H214" s="462"/>
      <c r="I214" s="462"/>
      <c r="J214" s="462"/>
      <c r="K214" s="462"/>
      <c r="L214" s="462"/>
    </row>
    <row r="215" spans="1:12">
      <c r="A215" s="462"/>
      <c r="B215" s="462"/>
      <c r="C215" s="462"/>
      <c r="D215" s="462"/>
      <c r="E215" s="462"/>
      <c r="F215" s="462"/>
      <c r="G215" s="462"/>
      <c r="H215" s="462"/>
      <c r="I215" s="462"/>
      <c r="J215" s="462"/>
      <c r="K215" s="462"/>
      <c r="L215" s="462"/>
    </row>
    <row r="216" spans="1:12">
      <c r="A216" s="462"/>
      <c r="B216" s="462"/>
      <c r="C216" s="462"/>
      <c r="D216" s="462"/>
      <c r="E216" s="462"/>
      <c r="F216" s="462"/>
      <c r="G216" s="462"/>
      <c r="H216" s="462"/>
      <c r="I216" s="462"/>
      <c r="J216" s="462"/>
      <c r="K216" s="462"/>
      <c r="L216" s="462"/>
    </row>
    <row r="217" spans="1:12">
      <c r="A217" s="462"/>
      <c r="B217" s="462"/>
      <c r="C217" s="462"/>
      <c r="D217" s="462"/>
      <c r="E217" s="462"/>
      <c r="F217" s="462"/>
      <c r="G217" s="462"/>
      <c r="H217" s="462"/>
      <c r="I217" s="462"/>
      <c r="J217" s="462"/>
      <c r="K217" s="462"/>
      <c r="L217" s="462"/>
    </row>
    <row r="218" spans="1:12">
      <c r="A218" s="462"/>
      <c r="B218" s="462"/>
      <c r="C218" s="462"/>
      <c r="D218" s="462"/>
      <c r="E218" s="462"/>
      <c r="F218" s="462"/>
      <c r="G218" s="462"/>
      <c r="H218" s="462"/>
      <c r="I218" s="462"/>
      <c r="J218" s="462"/>
      <c r="K218" s="462"/>
      <c r="L218" s="462"/>
    </row>
    <row r="219" spans="1:12">
      <c r="A219" s="462"/>
      <c r="B219" s="462"/>
      <c r="C219" s="462"/>
      <c r="D219" s="462"/>
      <c r="E219" s="462"/>
      <c r="F219" s="462"/>
      <c r="G219" s="462"/>
      <c r="H219" s="462"/>
      <c r="I219" s="462"/>
      <c r="J219" s="462"/>
      <c r="K219" s="462"/>
      <c r="L219" s="462"/>
    </row>
    <row r="220" spans="1:12">
      <c r="A220" s="462"/>
      <c r="B220" s="462"/>
      <c r="C220" s="462"/>
      <c r="D220" s="462"/>
      <c r="E220" s="462"/>
      <c r="F220" s="462"/>
      <c r="G220" s="462"/>
      <c r="H220" s="462"/>
      <c r="I220" s="462"/>
      <c r="J220" s="462"/>
      <c r="K220" s="462"/>
      <c r="L220" s="462"/>
    </row>
    <row r="221" spans="1:12">
      <c r="A221" s="462"/>
      <c r="B221" s="462"/>
      <c r="C221" s="462"/>
      <c r="D221" s="462"/>
      <c r="E221" s="462"/>
      <c r="F221" s="462"/>
      <c r="G221" s="462"/>
      <c r="H221" s="462"/>
      <c r="I221" s="462"/>
      <c r="J221" s="462"/>
      <c r="K221" s="462"/>
      <c r="L221" s="462"/>
    </row>
    <row r="222" spans="1:12">
      <c r="A222" s="462"/>
      <c r="B222" s="462"/>
      <c r="C222" s="462"/>
      <c r="D222" s="462"/>
      <c r="E222" s="462"/>
      <c r="F222" s="462"/>
      <c r="G222" s="462"/>
      <c r="H222" s="462"/>
      <c r="I222" s="462"/>
      <c r="J222" s="462"/>
      <c r="K222" s="462"/>
      <c r="L222" s="462"/>
    </row>
    <row r="223" spans="1:12">
      <c r="A223" s="462"/>
      <c r="B223" s="462"/>
      <c r="C223" s="462"/>
      <c r="D223" s="462"/>
      <c r="E223" s="462"/>
      <c r="F223" s="462"/>
      <c r="G223" s="462"/>
      <c r="H223" s="462"/>
      <c r="I223" s="462"/>
      <c r="J223" s="462"/>
      <c r="K223" s="462"/>
      <c r="L223" s="462"/>
    </row>
    <row r="224" spans="1:12">
      <c r="A224" s="462"/>
      <c r="B224" s="462"/>
      <c r="C224" s="462"/>
      <c r="D224" s="462"/>
      <c r="E224" s="462"/>
      <c r="F224" s="462"/>
      <c r="G224" s="462"/>
      <c r="H224" s="462"/>
      <c r="I224" s="462"/>
      <c r="J224" s="462"/>
      <c r="K224" s="462"/>
      <c r="L224" s="462"/>
    </row>
    <row r="225" spans="1:12">
      <c r="A225" s="462"/>
      <c r="B225" s="462"/>
      <c r="C225" s="462"/>
      <c r="D225" s="462"/>
      <c r="E225" s="462"/>
      <c r="F225" s="462"/>
      <c r="G225" s="462"/>
      <c r="H225" s="462"/>
      <c r="I225" s="462"/>
      <c r="J225" s="462"/>
      <c r="K225" s="462"/>
      <c r="L225" s="462"/>
    </row>
    <row r="226" spans="1:12">
      <c r="A226" s="462"/>
      <c r="B226" s="462"/>
      <c r="C226" s="462"/>
      <c r="D226" s="462"/>
      <c r="E226" s="462"/>
      <c r="F226" s="462"/>
      <c r="G226" s="462"/>
      <c r="H226" s="462"/>
      <c r="I226" s="462"/>
      <c r="J226" s="462"/>
      <c r="K226" s="462"/>
      <c r="L226" s="462"/>
    </row>
    <row r="227" spans="1:12">
      <c r="A227" s="462"/>
      <c r="B227" s="462"/>
      <c r="C227" s="462"/>
      <c r="D227" s="462"/>
      <c r="E227" s="462"/>
      <c r="F227" s="462"/>
      <c r="G227" s="462"/>
      <c r="H227" s="462"/>
      <c r="I227" s="462"/>
      <c r="J227" s="462"/>
      <c r="K227" s="462"/>
      <c r="L227" s="462"/>
    </row>
    <row r="228" spans="1:12">
      <c r="A228" s="462"/>
      <c r="B228" s="462"/>
      <c r="C228" s="462"/>
      <c r="D228" s="462"/>
      <c r="E228" s="462"/>
      <c r="F228" s="462"/>
      <c r="G228" s="462"/>
      <c r="H228" s="462"/>
      <c r="I228" s="462"/>
      <c r="J228" s="462"/>
      <c r="K228" s="462"/>
      <c r="L228" s="462"/>
    </row>
    <row r="229" spans="1:12">
      <c r="A229" s="462"/>
      <c r="B229" s="462"/>
      <c r="C229" s="462"/>
      <c r="D229" s="462"/>
      <c r="E229" s="462"/>
      <c r="F229" s="462"/>
      <c r="G229" s="462"/>
      <c r="H229" s="462"/>
      <c r="I229" s="462"/>
      <c r="J229" s="462"/>
      <c r="K229" s="462"/>
      <c r="L229" s="462"/>
    </row>
    <row r="230" spans="1:12">
      <c r="A230" s="462"/>
      <c r="B230" s="462"/>
      <c r="C230" s="462"/>
      <c r="D230" s="462"/>
      <c r="E230" s="462"/>
      <c r="F230" s="462"/>
      <c r="G230" s="462"/>
      <c r="H230" s="462"/>
      <c r="I230" s="462"/>
      <c r="J230" s="462"/>
      <c r="K230" s="462"/>
      <c r="L230" s="462"/>
    </row>
    <row r="231" spans="1:12">
      <c r="A231" s="462"/>
      <c r="B231" s="462"/>
      <c r="C231" s="462"/>
      <c r="D231" s="462"/>
      <c r="E231" s="462"/>
      <c r="F231" s="462"/>
      <c r="G231" s="462"/>
      <c r="H231" s="462"/>
      <c r="I231" s="462"/>
      <c r="J231" s="462"/>
      <c r="K231" s="462"/>
      <c r="L231" s="462"/>
    </row>
    <row r="232" spans="1:12">
      <c r="A232" s="462"/>
      <c r="B232" s="462"/>
      <c r="C232" s="462"/>
      <c r="D232" s="462"/>
      <c r="E232" s="462"/>
      <c r="F232" s="462"/>
      <c r="G232" s="462"/>
      <c r="H232" s="462"/>
      <c r="I232" s="462"/>
      <c r="J232" s="462"/>
      <c r="K232" s="462"/>
      <c r="L232" s="462"/>
    </row>
    <row r="233" spans="1:12">
      <c r="A233" s="462"/>
      <c r="B233" s="462"/>
      <c r="C233" s="462"/>
      <c r="D233" s="462"/>
      <c r="E233" s="462"/>
      <c r="F233" s="462"/>
      <c r="G233" s="462"/>
      <c r="H233" s="462"/>
      <c r="I233" s="462"/>
      <c r="J233" s="462"/>
      <c r="K233" s="462"/>
      <c r="L233" s="462"/>
    </row>
    <row r="234" spans="1:12">
      <c r="A234" s="462"/>
      <c r="B234" s="462"/>
      <c r="C234" s="462"/>
      <c r="D234" s="462"/>
      <c r="E234" s="462"/>
      <c r="F234" s="462"/>
      <c r="G234" s="462"/>
      <c r="H234" s="462"/>
      <c r="I234" s="462"/>
      <c r="J234" s="462"/>
      <c r="K234" s="462"/>
      <c r="L234" s="462"/>
    </row>
    <row r="235" spans="1:12">
      <c r="A235" s="462"/>
      <c r="B235" s="462"/>
      <c r="C235" s="462"/>
      <c r="D235" s="462"/>
      <c r="E235" s="462"/>
      <c r="F235" s="462"/>
      <c r="G235" s="462"/>
      <c r="H235" s="462"/>
      <c r="I235" s="462"/>
      <c r="J235" s="462"/>
      <c r="K235" s="462"/>
      <c r="L235" s="462"/>
    </row>
    <row r="236" spans="1:12">
      <c r="A236" s="462"/>
      <c r="B236" s="462"/>
      <c r="C236" s="462"/>
      <c r="D236" s="462"/>
      <c r="E236" s="462"/>
      <c r="F236" s="462"/>
      <c r="G236" s="462"/>
      <c r="H236" s="462"/>
      <c r="I236" s="462"/>
      <c r="J236" s="462"/>
      <c r="K236" s="462"/>
      <c r="L236" s="462"/>
    </row>
    <row r="237" spans="1:12">
      <c r="A237" s="462"/>
      <c r="B237" s="462"/>
      <c r="C237" s="462"/>
      <c r="D237" s="462"/>
      <c r="E237" s="462"/>
      <c r="F237" s="462"/>
      <c r="G237" s="462"/>
      <c r="H237" s="462"/>
      <c r="I237" s="462"/>
      <c r="J237" s="462"/>
      <c r="K237" s="462"/>
      <c r="L237" s="462"/>
    </row>
    <row r="238" spans="1:12">
      <c r="A238" s="462"/>
      <c r="B238" s="462"/>
      <c r="C238" s="462"/>
      <c r="D238" s="462"/>
      <c r="E238" s="462"/>
      <c r="F238" s="462"/>
      <c r="G238" s="462"/>
      <c r="H238" s="462"/>
      <c r="I238" s="462"/>
      <c r="J238" s="462"/>
      <c r="K238" s="462"/>
      <c r="L238" s="462"/>
    </row>
    <row r="239" spans="1:12">
      <c r="A239" s="462"/>
      <c r="B239" s="462"/>
      <c r="C239" s="462"/>
      <c r="D239" s="462"/>
      <c r="E239" s="462"/>
      <c r="F239" s="462"/>
      <c r="G239" s="462"/>
      <c r="H239" s="462"/>
      <c r="I239" s="462"/>
      <c r="J239" s="462"/>
      <c r="K239" s="462"/>
      <c r="L239" s="462"/>
    </row>
    <row r="240" spans="1:12">
      <c r="A240" s="462"/>
      <c r="B240" s="462"/>
      <c r="C240" s="462"/>
      <c r="D240" s="462"/>
      <c r="E240" s="462"/>
      <c r="F240" s="462"/>
      <c r="G240" s="462"/>
      <c r="H240" s="462"/>
      <c r="I240" s="462"/>
      <c r="J240" s="462"/>
      <c r="K240" s="462"/>
      <c r="L240" s="462"/>
    </row>
    <row r="241" spans="1:12">
      <c r="A241" s="462"/>
      <c r="B241" s="462"/>
      <c r="C241" s="462"/>
      <c r="D241" s="462"/>
      <c r="E241" s="462"/>
      <c r="F241" s="462"/>
      <c r="G241" s="462"/>
      <c r="H241" s="462"/>
      <c r="I241" s="462"/>
      <c r="J241" s="462"/>
      <c r="K241" s="462"/>
      <c r="L241" s="462"/>
    </row>
    <row r="242" spans="1:12">
      <c r="A242" s="462"/>
      <c r="B242" s="462"/>
      <c r="C242" s="462"/>
      <c r="D242" s="462"/>
      <c r="E242" s="462"/>
      <c r="F242" s="462"/>
      <c r="G242" s="462"/>
      <c r="H242" s="462"/>
      <c r="I242" s="462"/>
      <c r="J242" s="462"/>
      <c r="K242" s="462"/>
      <c r="L242" s="462"/>
    </row>
    <row r="243" spans="1:12">
      <c r="A243" s="462"/>
      <c r="B243" s="462"/>
      <c r="C243" s="462"/>
      <c r="D243" s="462"/>
      <c r="E243" s="462"/>
      <c r="F243" s="462"/>
      <c r="G243" s="462"/>
      <c r="H243" s="462"/>
      <c r="I243" s="462"/>
      <c r="J243" s="462"/>
      <c r="K243" s="462"/>
      <c r="L243" s="462"/>
    </row>
    <row r="244" spans="1:12">
      <c r="A244" s="462"/>
      <c r="B244" s="462"/>
      <c r="C244" s="462"/>
      <c r="D244" s="462"/>
      <c r="E244" s="462"/>
      <c r="F244" s="462"/>
      <c r="G244" s="462"/>
      <c r="H244" s="462"/>
      <c r="I244" s="462"/>
      <c r="J244" s="462"/>
      <c r="K244" s="462"/>
      <c r="L244" s="462"/>
    </row>
    <row r="245" spans="1:12">
      <c r="A245" s="462"/>
      <c r="B245" s="462"/>
      <c r="C245" s="462"/>
      <c r="D245" s="462"/>
      <c r="E245" s="462"/>
      <c r="F245" s="462"/>
      <c r="G245" s="462"/>
      <c r="H245" s="462"/>
      <c r="I245" s="462"/>
      <c r="J245" s="462"/>
      <c r="K245" s="462"/>
      <c r="L245" s="462"/>
    </row>
    <row r="246" spans="1:12">
      <c r="A246" s="462"/>
      <c r="B246" s="462"/>
      <c r="C246" s="462"/>
      <c r="D246" s="462"/>
      <c r="E246" s="462"/>
      <c r="F246" s="462"/>
      <c r="G246" s="462"/>
      <c r="H246" s="462"/>
      <c r="I246" s="462"/>
      <c r="J246" s="462"/>
      <c r="K246" s="462"/>
      <c r="L246" s="462"/>
    </row>
    <row r="247" spans="1:12">
      <c r="A247" s="462"/>
      <c r="B247" s="462"/>
      <c r="C247" s="462"/>
      <c r="D247" s="462"/>
      <c r="E247" s="462"/>
      <c r="F247" s="462"/>
      <c r="G247" s="462"/>
      <c r="H247" s="462"/>
      <c r="I247" s="462"/>
      <c r="J247" s="462"/>
      <c r="K247" s="462"/>
      <c r="L247" s="462"/>
    </row>
    <row r="248" spans="1:12">
      <c r="A248" s="462"/>
      <c r="B248" s="462"/>
      <c r="C248" s="462"/>
      <c r="D248" s="462"/>
      <c r="E248" s="462"/>
      <c r="F248" s="462"/>
      <c r="G248" s="462"/>
      <c r="H248" s="462"/>
      <c r="I248" s="462"/>
      <c r="J248" s="462"/>
      <c r="K248" s="462"/>
      <c r="L248" s="462"/>
    </row>
    <row r="249" spans="1:12">
      <c r="A249" s="462"/>
      <c r="B249" s="462"/>
      <c r="C249" s="462"/>
      <c r="D249" s="462"/>
      <c r="E249" s="462"/>
      <c r="F249" s="462"/>
      <c r="G249" s="462"/>
      <c r="H249" s="462"/>
      <c r="I249" s="462"/>
      <c r="J249" s="462"/>
      <c r="K249" s="462"/>
      <c r="L249" s="462"/>
    </row>
    <row r="250" spans="1:12">
      <c r="A250" s="462"/>
      <c r="B250" s="462"/>
      <c r="C250" s="462"/>
      <c r="D250" s="462"/>
      <c r="E250" s="462"/>
      <c r="F250" s="462"/>
      <c r="G250" s="462"/>
      <c r="H250" s="462"/>
      <c r="I250" s="462"/>
      <c r="J250" s="462"/>
      <c r="K250" s="462"/>
      <c r="L250" s="462"/>
    </row>
    <row r="251" spans="1:12">
      <c r="A251" s="462"/>
      <c r="B251" s="462"/>
      <c r="C251" s="462"/>
      <c r="D251" s="462"/>
      <c r="E251" s="462"/>
      <c r="F251" s="462"/>
      <c r="G251" s="462"/>
      <c r="H251" s="462"/>
      <c r="I251" s="462"/>
      <c r="J251" s="462"/>
      <c r="K251" s="462"/>
      <c r="L251" s="462"/>
    </row>
    <row r="252" spans="1:12">
      <c r="A252" s="462"/>
      <c r="B252" s="462"/>
      <c r="C252" s="462"/>
      <c r="D252" s="462"/>
      <c r="E252" s="462"/>
      <c r="F252" s="462"/>
      <c r="G252" s="462"/>
      <c r="H252" s="462"/>
      <c r="I252" s="462"/>
      <c r="J252" s="462"/>
      <c r="K252" s="462"/>
      <c r="L252" s="462"/>
    </row>
    <row r="253" spans="1:12">
      <c r="A253" s="462"/>
      <c r="B253" s="462"/>
      <c r="C253" s="462"/>
      <c r="D253" s="462"/>
      <c r="E253" s="462"/>
      <c r="F253" s="462"/>
      <c r="G253" s="462"/>
      <c r="H253" s="462"/>
      <c r="I253" s="462"/>
      <c r="J253" s="462"/>
      <c r="K253" s="462"/>
      <c r="L253" s="462"/>
    </row>
    <row r="254" spans="1:12">
      <c r="A254" s="462"/>
      <c r="B254" s="462"/>
      <c r="C254" s="462"/>
      <c r="D254" s="462"/>
      <c r="E254" s="462"/>
      <c r="F254" s="462"/>
      <c r="G254" s="462"/>
      <c r="H254" s="462"/>
      <c r="I254" s="462"/>
      <c r="J254" s="462"/>
      <c r="K254" s="462"/>
      <c r="L254" s="462"/>
    </row>
    <row r="255" spans="1:12">
      <c r="A255" s="462"/>
      <c r="B255" s="462"/>
      <c r="C255" s="462"/>
      <c r="D255" s="462"/>
      <c r="E255" s="462"/>
      <c r="F255" s="462"/>
      <c r="G255" s="462"/>
      <c r="H255" s="462"/>
      <c r="I255" s="462"/>
      <c r="J255" s="462"/>
      <c r="K255" s="462"/>
      <c r="L255" s="462"/>
    </row>
    <row r="256" spans="1:12">
      <c r="A256" s="462"/>
      <c r="B256" s="462"/>
      <c r="C256" s="462"/>
      <c r="D256" s="462"/>
      <c r="E256" s="462"/>
      <c r="F256" s="462"/>
      <c r="G256" s="462"/>
      <c r="H256" s="462"/>
      <c r="I256" s="462"/>
      <c r="J256" s="462"/>
      <c r="K256" s="462"/>
      <c r="L256" s="462"/>
    </row>
    <row r="257" spans="1:12">
      <c r="A257" s="462"/>
      <c r="B257" s="462"/>
      <c r="C257" s="462"/>
      <c r="D257" s="462"/>
      <c r="E257" s="462"/>
      <c r="F257" s="462"/>
      <c r="G257" s="462"/>
      <c r="H257" s="462"/>
      <c r="I257" s="462"/>
      <c r="J257" s="462"/>
      <c r="K257" s="462"/>
      <c r="L257" s="462"/>
    </row>
    <row r="258" spans="1:12">
      <c r="A258" s="462"/>
      <c r="B258" s="462"/>
      <c r="C258" s="462"/>
      <c r="D258" s="462"/>
      <c r="E258" s="462"/>
      <c r="F258" s="462"/>
      <c r="G258" s="462"/>
      <c r="H258" s="462"/>
      <c r="I258" s="462"/>
      <c r="J258" s="462"/>
      <c r="K258" s="462"/>
      <c r="L258" s="462"/>
    </row>
    <row r="259" spans="1:12">
      <c r="A259" s="462"/>
      <c r="B259" s="462"/>
      <c r="C259" s="462"/>
      <c r="D259" s="462"/>
      <c r="E259" s="462"/>
      <c r="F259" s="462"/>
      <c r="G259" s="462"/>
      <c r="H259" s="462"/>
      <c r="I259" s="462"/>
      <c r="J259" s="462"/>
      <c r="K259" s="462"/>
      <c r="L259" s="462"/>
    </row>
    <row r="260" spans="1:12">
      <c r="A260" s="462"/>
      <c r="B260" s="462"/>
      <c r="C260" s="462"/>
      <c r="D260" s="462"/>
      <c r="E260" s="462"/>
      <c r="F260" s="462"/>
      <c r="G260" s="462"/>
      <c r="H260" s="462"/>
      <c r="I260" s="462"/>
      <c r="J260" s="462"/>
      <c r="K260" s="462"/>
      <c r="L260" s="462"/>
    </row>
    <row r="261" spans="1:12">
      <c r="A261" s="462"/>
      <c r="B261" s="462"/>
      <c r="C261" s="462"/>
      <c r="D261" s="462"/>
      <c r="E261" s="462"/>
      <c r="F261" s="462"/>
      <c r="G261" s="462"/>
      <c r="H261" s="462"/>
      <c r="I261" s="462"/>
      <c r="J261" s="462"/>
      <c r="K261" s="462"/>
      <c r="L261" s="462"/>
    </row>
    <row r="262" spans="1:12">
      <c r="A262" s="462"/>
      <c r="B262" s="462"/>
      <c r="C262" s="462"/>
      <c r="D262" s="462"/>
      <c r="E262" s="462"/>
      <c r="F262" s="462"/>
      <c r="G262" s="462"/>
      <c r="H262" s="462"/>
      <c r="I262" s="462"/>
      <c r="J262" s="462"/>
      <c r="K262" s="462"/>
      <c r="L262" s="462"/>
    </row>
    <row r="263" spans="1:12">
      <c r="A263" s="462"/>
      <c r="B263" s="462"/>
      <c r="C263" s="462"/>
      <c r="D263" s="462"/>
      <c r="E263" s="462"/>
      <c r="F263" s="462"/>
      <c r="G263" s="462"/>
      <c r="H263" s="462"/>
      <c r="I263" s="462"/>
      <c r="J263" s="462"/>
      <c r="K263" s="462"/>
      <c r="L263" s="462"/>
    </row>
    <row r="264" spans="1:12">
      <c r="A264" s="462"/>
      <c r="B264" s="462"/>
      <c r="C264" s="462"/>
      <c r="D264" s="462"/>
      <c r="E264" s="462"/>
      <c r="F264" s="462"/>
      <c r="G264" s="462"/>
      <c r="H264" s="462"/>
      <c r="I264" s="462"/>
      <c r="J264" s="462"/>
      <c r="K264" s="462"/>
      <c r="L264" s="462"/>
    </row>
    <row r="265" spans="1:12">
      <c r="A265" s="462"/>
      <c r="B265" s="462"/>
      <c r="C265" s="462"/>
      <c r="D265" s="462"/>
      <c r="E265" s="462"/>
      <c r="F265" s="462"/>
      <c r="G265" s="462"/>
      <c r="H265" s="462"/>
      <c r="I265" s="462"/>
      <c r="J265" s="462"/>
      <c r="K265" s="462"/>
      <c r="L265" s="462"/>
    </row>
    <row r="266" spans="1:12">
      <c r="A266" s="462"/>
      <c r="B266" s="462"/>
      <c r="C266" s="462"/>
      <c r="D266" s="462"/>
      <c r="E266" s="462"/>
      <c r="F266" s="462"/>
      <c r="G266" s="462"/>
      <c r="H266" s="462"/>
      <c r="I266" s="462"/>
      <c r="J266" s="462"/>
      <c r="K266" s="462"/>
      <c r="L266" s="462"/>
    </row>
    <row r="267" spans="1:12">
      <c r="A267" s="462"/>
      <c r="B267" s="462"/>
      <c r="C267" s="462"/>
      <c r="D267" s="462"/>
      <c r="E267" s="462"/>
      <c r="F267" s="462"/>
      <c r="G267" s="462"/>
      <c r="H267" s="462"/>
      <c r="I267" s="462"/>
      <c r="J267" s="462"/>
      <c r="K267" s="462"/>
      <c r="L267" s="462"/>
    </row>
    <row r="268" spans="1:12">
      <c r="A268" s="462"/>
      <c r="B268" s="462"/>
      <c r="C268" s="462"/>
      <c r="D268" s="462"/>
      <c r="E268" s="462"/>
      <c r="F268" s="462"/>
      <c r="G268" s="462"/>
      <c r="H268" s="462"/>
      <c r="I268" s="462"/>
      <c r="J268" s="462"/>
      <c r="K268" s="462"/>
      <c r="L268" s="462"/>
    </row>
    <row r="269" spans="1:12">
      <c r="A269" s="462"/>
      <c r="B269" s="462"/>
      <c r="C269" s="462"/>
      <c r="D269" s="462"/>
      <c r="E269" s="462"/>
      <c r="F269" s="462"/>
      <c r="G269" s="462"/>
      <c r="H269" s="462"/>
      <c r="I269" s="462"/>
      <c r="J269" s="462"/>
      <c r="K269" s="462"/>
      <c r="L269" s="462"/>
    </row>
    <row r="270" spans="1:12">
      <c r="A270" s="462"/>
      <c r="B270" s="462"/>
      <c r="C270" s="462"/>
      <c r="D270" s="462"/>
      <c r="E270" s="462"/>
      <c r="F270" s="462"/>
      <c r="G270" s="462"/>
      <c r="H270" s="462"/>
      <c r="I270" s="462"/>
      <c r="J270" s="462"/>
      <c r="K270" s="462"/>
      <c r="L270" s="462"/>
    </row>
    <row r="271" spans="1:12">
      <c r="A271" s="462"/>
      <c r="B271" s="462"/>
      <c r="C271" s="462"/>
      <c r="D271" s="462"/>
      <c r="E271" s="462"/>
      <c r="F271" s="462"/>
      <c r="G271" s="462"/>
      <c r="H271" s="462"/>
      <c r="I271" s="462"/>
      <c r="J271" s="462"/>
      <c r="K271" s="462"/>
      <c r="L271" s="462"/>
    </row>
    <row r="272" spans="1:12">
      <c r="A272" s="462"/>
      <c r="B272" s="462"/>
      <c r="C272" s="462"/>
      <c r="D272" s="462"/>
      <c r="E272" s="462"/>
      <c r="F272" s="462"/>
      <c r="G272" s="462"/>
      <c r="H272" s="462"/>
      <c r="I272" s="462"/>
      <c r="J272" s="462"/>
      <c r="K272" s="462"/>
      <c r="L272" s="462"/>
    </row>
    <row r="273" spans="1:12">
      <c r="A273" s="462"/>
      <c r="B273" s="462"/>
      <c r="C273" s="462"/>
      <c r="D273" s="462"/>
      <c r="E273" s="462"/>
      <c r="F273" s="462"/>
      <c r="G273" s="462"/>
      <c r="H273" s="462"/>
      <c r="I273" s="462"/>
      <c r="J273" s="462"/>
      <c r="K273" s="462"/>
      <c r="L273" s="462"/>
    </row>
    <row r="274" spans="1:12">
      <c r="A274" s="462"/>
      <c r="B274" s="462"/>
      <c r="C274" s="462"/>
      <c r="D274" s="462"/>
      <c r="E274" s="462"/>
      <c r="F274" s="462"/>
      <c r="G274" s="462"/>
      <c r="H274" s="462"/>
      <c r="I274" s="462"/>
      <c r="J274" s="462"/>
      <c r="K274" s="462"/>
      <c r="L274" s="462"/>
    </row>
    <row r="275" spans="1:12">
      <c r="A275" s="462"/>
      <c r="B275" s="462"/>
      <c r="C275" s="462"/>
      <c r="D275" s="462"/>
      <c r="E275" s="462"/>
      <c r="F275" s="462"/>
      <c r="G275" s="462"/>
      <c r="H275" s="462"/>
      <c r="I275" s="462"/>
      <c r="J275" s="462"/>
      <c r="K275" s="462"/>
      <c r="L275" s="462"/>
    </row>
    <row r="276" spans="1:12">
      <c r="A276" s="462"/>
      <c r="B276" s="462"/>
      <c r="C276" s="462"/>
      <c r="D276" s="462"/>
      <c r="E276" s="462"/>
      <c r="F276" s="462"/>
      <c r="G276" s="462"/>
      <c r="H276" s="462"/>
      <c r="I276" s="462"/>
      <c r="J276" s="462"/>
      <c r="K276" s="462"/>
      <c r="L276" s="462"/>
    </row>
    <row r="277" spans="1:12">
      <c r="A277" s="462"/>
      <c r="B277" s="462"/>
      <c r="C277" s="462"/>
      <c r="D277" s="462"/>
      <c r="E277" s="462"/>
      <c r="F277" s="462"/>
      <c r="G277" s="462"/>
      <c r="H277" s="462"/>
      <c r="I277" s="462"/>
      <c r="J277" s="462"/>
      <c r="K277" s="462"/>
      <c r="L277" s="462"/>
    </row>
    <row r="278" spans="1:12">
      <c r="A278" s="462"/>
      <c r="B278" s="462"/>
      <c r="C278" s="462"/>
      <c r="D278" s="462"/>
      <c r="E278" s="462"/>
      <c r="F278" s="462"/>
      <c r="G278" s="462"/>
      <c r="H278" s="462"/>
      <c r="I278" s="462"/>
      <c r="J278" s="462"/>
      <c r="K278" s="462"/>
      <c r="L278" s="462"/>
    </row>
    <row r="279" spans="1:12">
      <c r="A279" s="462"/>
      <c r="B279" s="462"/>
      <c r="C279" s="462"/>
      <c r="D279" s="462"/>
      <c r="E279" s="462"/>
      <c r="F279" s="462"/>
      <c r="G279" s="462"/>
      <c r="H279" s="462"/>
      <c r="I279" s="462"/>
      <c r="J279" s="462"/>
      <c r="K279" s="462"/>
      <c r="L279" s="462"/>
    </row>
    <row r="280" spans="1:12">
      <c r="A280" s="462"/>
      <c r="B280" s="462"/>
      <c r="C280" s="462"/>
      <c r="D280" s="462"/>
      <c r="E280" s="462"/>
      <c r="F280" s="462"/>
      <c r="G280" s="462"/>
      <c r="H280" s="462"/>
      <c r="I280" s="462"/>
      <c r="J280" s="462"/>
      <c r="K280" s="462"/>
      <c r="L280" s="462"/>
    </row>
    <row r="281" spans="1:12">
      <c r="A281" s="462"/>
      <c r="B281" s="462"/>
      <c r="C281" s="462"/>
      <c r="D281" s="462"/>
      <c r="E281" s="462"/>
      <c r="F281" s="462"/>
      <c r="G281" s="462"/>
      <c r="H281" s="462"/>
      <c r="I281" s="462"/>
      <c r="J281" s="462"/>
      <c r="K281" s="462"/>
      <c r="L281" s="462"/>
    </row>
    <row r="282" spans="1:12">
      <c r="A282" s="462"/>
      <c r="B282" s="462"/>
      <c r="C282" s="462"/>
      <c r="D282" s="462"/>
      <c r="E282" s="462"/>
      <c r="F282" s="462"/>
      <c r="G282" s="462"/>
      <c r="H282" s="462"/>
      <c r="I282" s="462"/>
      <c r="J282" s="462"/>
      <c r="K282" s="462"/>
      <c r="L282" s="462"/>
    </row>
    <row r="283" spans="1:12">
      <c r="A283" s="462"/>
      <c r="B283" s="462"/>
      <c r="C283" s="462"/>
      <c r="D283" s="462"/>
      <c r="E283" s="462"/>
      <c r="F283" s="462"/>
      <c r="G283" s="462"/>
      <c r="H283" s="462"/>
      <c r="I283" s="462"/>
      <c r="J283" s="462"/>
      <c r="K283" s="462"/>
      <c r="L283" s="462"/>
    </row>
    <row r="284" spans="1:12">
      <c r="A284" s="462"/>
      <c r="B284" s="462"/>
      <c r="C284" s="462"/>
      <c r="D284" s="462"/>
      <c r="E284" s="462"/>
      <c r="F284" s="462"/>
      <c r="G284" s="462"/>
      <c r="H284" s="462"/>
      <c r="I284" s="462"/>
      <c r="J284" s="462"/>
      <c r="K284" s="462"/>
      <c r="L284" s="462"/>
    </row>
    <row r="285" spans="1:12">
      <c r="A285" s="462"/>
      <c r="B285" s="462"/>
      <c r="C285" s="462"/>
      <c r="D285" s="462"/>
      <c r="E285" s="462"/>
      <c r="F285" s="462"/>
      <c r="G285" s="462"/>
      <c r="H285" s="462"/>
      <c r="I285" s="462"/>
      <c r="J285" s="462"/>
      <c r="K285" s="462"/>
      <c r="L285" s="462"/>
    </row>
    <row r="286" spans="1:12">
      <c r="A286" s="462"/>
      <c r="B286" s="462"/>
      <c r="C286" s="462"/>
      <c r="D286" s="462"/>
      <c r="E286" s="462"/>
      <c r="F286" s="462"/>
      <c r="G286" s="462"/>
      <c r="H286" s="462"/>
      <c r="I286" s="462"/>
      <c r="J286" s="462"/>
      <c r="K286" s="462"/>
      <c r="L286" s="462"/>
    </row>
    <row r="287" spans="1:12">
      <c r="A287" s="462"/>
      <c r="B287" s="462"/>
      <c r="C287" s="462"/>
      <c r="D287" s="462"/>
      <c r="E287" s="462"/>
      <c r="F287" s="462"/>
      <c r="G287" s="462"/>
      <c r="H287" s="462"/>
      <c r="I287" s="462"/>
      <c r="J287" s="462"/>
      <c r="K287" s="462"/>
      <c r="L287" s="462"/>
    </row>
    <row r="288" spans="1:12">
      <c r="A288" s="462"/>
      <c r="B288" s="462"/>
      <c r="C288" s="462"/>
      <c r="D288" s="462"/>
      <c r="E288" s="462"/>
      <c r="F288" s="462"/>
      <c r="G288" s="462"/>
      <c r="H288" s="462"/>
      <c r="I288" s="462"/>
      <c r="J288" s="462"/>
      <c r="K288" s="462"/>
      <c r="L288" s="462"/>
    </row>
    <row r="289" spans="1:12">
      <c r="A289" s="462"/>
      <c r="B289" s="462"/>
      <c r="C289" s="462"/>
      <c r="D289" s="462"/>
      <c r="E289" s="462"/>
      <c r="F289" s="462"/>
      <c r="G289" s="462"/>
      <c r="H289" s="462"/>
      <c r="I289" s="462"/>
      <c r="J289" s="462"/>
      <c r="K289" s="462"/>
      <c r="L289" s="462"/>
    </row>
    <row r="290" spans="1:12">
      <c r="A290" s="462"/>
      <c r="B290" s="462"/>
      <c r="C290" s="462"/>
      <c r="D290" s="462"/>
      <c r="E290" s="462"/>
      <c r="F290" s="462"/>
      <c r="G290" s="462"/>
      <c r="H290" s="462"/>
      <c r="I290" s="462"/>
      <c r="J290" s="462"/>
      <c r="K290" s="462"/>
      <c r="L290" s="462"/>
    </row>
    <row r="291" spans="1:12">
      <c r="A291" s="462"/>
      <c r="B291" s="462"/>
      <c r="C291" s="462"/>
      <c r="D291" s="462"/>
      <c r="E291" s="462"/>
      <c r="F291" s="462"/>
      <c r="G291" s="462"/>
      <c r="H291" s="462"/>
      <c r="I291" s="462"/>
      <c r="J291" s="462"/>
      <c r="K291" s="462"/>
      <c r="L291" s="462"/>
    </row>
    <row r="292" spans="1:12">
      <c r="A292" s="462"/>
      <c r="B292" s="462"/>
      <c r="C292" s="462"/>
      <c r="D292" s="462"/>
      <c r="E292" s="462"/>
      <c r="F292" s="462"/>
      <c r="G292" s="462"/>
      <c r="H292" s="462"/>
      <c r="I292" s="462"/>
      <c r="J292" s="462"/>
      <c r="K292" s="462"/>
      <c r="L292" s="462"/>
    </row>
    <row r="293" spans="1:12">
      <c r="A293" s="462"/>
      <c r="B293" s="462"/>
      <c r="C293" s="462"/>
      <c r="D293" s="462"/>
      <c r="E293" s="462"/>
      <c r="F293" s="462"/>
      <c r="G293" s="462"/>
      <c r="H293" s="462"/>
      <c r="I293" s="462"/>
      <c r="J293" s="462"/>
      <c r="K293" s="462"/>
      <c r="L293" s="462"/>
    </row>
    <row r="294" spans="1:12">
      <c r="A294" s="462"/>
      <c r="B294" s="462"/>
      <c r="C294" s="462"/>
      <c r="D294" s="462"/>
      <c r="E294" s="462"/>
      <c r="F294" s="462"/>
      <c r="G294" s="462"/>
      <c r="H294" s="462"/>
      <c r="I294" s="462"/>
      <c r="J294" s="462"/>
      <c r="K294" s="462"/>
      <c r="L294" s="462"/>
    </row>
    <row r="295" spans="1:12">
      <c r="A295" s="462"/>
      <c r="B295" s="462"/>
      <c r="C295" s="462"/>
      <c r="D295" s="462"/>
      <c r="E295" s="462"/>
      <c r="F295" s="462"/>
      <c r="G295" s="462"/>
      <c r="H295" s="462"/>
      <c r="I295" s="462"/>
      <c r="J295" s="462"/>
      <c r="K295" s="462"/>
      <c r="L295" s="462"/>
    </row>
    <row r="296" spans="1:12">
      <c r="A296" s="462"/>
      <c r="B296" s="462"/>
      <c r="C296" s="462"/>
      <c r="D296" s="462"/>
      <c r="E296" s="462"/>
      <c r="F296" s="462"/>
      <c r="G296" s="462"/>
      <c r="H296" s="462"/>
      <c r="I296" s="462"/>
      <c r="J296" s="462"/>
      <c r="K296" s="462"/>
      <c r="L296" s="462"/>
    </row>
    <row r="297" spans="1:12">
      <c r="A297" s="462"/>
      <c r="B297" s="462"/>
      <c r="C297" s="462"/>
      <c r="D297" s="462"/>
      <c r="E297" s="462"/>
      <c r="F297" s="462"/>
      <c r="G297" s="462"/>
      <c r="H297" s="462"/>
      <c r="I297" s="462"/>
      <c r="J297" s="462"/>
      <c r="K297" s="462"/>
      <c r="L297" s="462"/>
    </row>
    <row r="298" spans="1:12">
      <c r="A298" s="462"/>
      <c r="B298" s="462"/>
      <c r="C298" s="462"/>
      <c r="D298" s="462"/>
      <c r="E298" s="462"/>
      <c r="F298" s="462"/>
      <c r="G298" s="462"/>
      <c r="H298" s="462"/>
      <c r="I298" s="462"/>
      <c r="J298" s="462"/>
      <c r="K298" s="462"/>
      <c r="L298" s="462"/>
    </row>
    <row r="299" spans="1:12">
      <c r="A299" s="462"/>
      <c r="B299" s="462"/>
      <c r="C299" s="462"/>
      <c r="D299" s="462"/>
      <c r="E299" s="462"/>
      <c r="F299" s="462"/>
      <c r="G299" s="462"/>
      <c r="H299" s="462"/>
      <c r="I299" s="462"/>
      <c r="J299" s="462"/>
      <c r="K299" s="462"/>
      <c r="L299" s="462"/>
    </row>
    <row r="300" spans="1:12">
      <c r="A300" s="462"/>
      <c r="B300" s="462"/>
      <c r="C300" s="462"/>
      <c r="D300" s="462"/>
      <c r="E300" s="462"/>
      <c r="F300" s="462"/>
      <c r="G300" s="462"/>
      <c r="H300" s="462"/>
      <c r="I300" s="462"/>
      <c r="J300" s="462"/>
      <c r="K300" s="462"/>
      <c r="L300" s="462"/>
    </row>
    <row r="301" spans="1:12">
      <c r="A301" s="462"/>
      <c r="B301" s="462"/>
      <c r="C301" s="462"/>
      <c r="D301" s="462"/>
      <c r="E301" s="462"/>
      <c r="F301" s="462"/>
      <c r="G301" s="462"/>
      <c r="H301" s="462"/>
      <c r="I301" s="462"/>
      <c r="J301" s="462"/>
      <c r="K301" s="462"/>
      <c r="L301" s="462"/>
    </row>
    <row r="302" spans="1:12">
      <c r="A302" s="462"/>
      <c r="B302" s="462"/>
      <c r="C302" s="462"/>
      <c r="D302" s="462"/>
      <c r="E302" s="462"/>
      <c r="F302" s="462"/>
      <c r="G302" s="462"/>
      <c r="H302" s="462"/>
      <c r="I302" s="462"/>
      <c r="J302" s="462"/>
      <c r="K302" s="462"/>
      <c r="L302" s="462"/>
    </row>
    <row r="303" spans="1:12">
      <c r="A303" s="462"/>
      <c r="B303" s="462"/>
      <c r="C303" s="462"/>
      <c r="D303" s="462"/>
      <c r="E303" s="462"/>
      <c r="F303" s="462"/>
      <c r="G303" s="462"/>
      <c r="H303" s="462"/>
      <c r="I303" s="462"/>
      <c r="J303" s="462"/>
      <c r="K303" s="462"/>
      <c r="L303" s="462"/>
    </row>
    <row r="304" spans="1:12">
      <c r="A304" s="462"/>
      <c r="B304" s="462"/>
      <c r="C304" s="462"/>
      <c r="D304" s="462"/>
      <c r="E304" s="462"/>
      <c r="F304" s="462"/>
      <c r="G304" s="462"/>
      <c r="H304" s="462"/>
      <c r="I304" s="462"/>
      <c r="J304" s="462"/>
      <c r="K304" s="462"/>
      <c r="L304" s="462"/>
    </row>
    <row r="305" spans="1:12">
      <c r="A305" s="462"/>
      <c r="B305" s="462"/>
      <c r="C305" s="462"/>
      <c r="D305" s="462"/>
      <c r="E305" s="462"/>
      <c r="F305" s="462"/>
      <c r="G305" s="462"/>
      <c r="H305" s="462"/>
      <c r="I305" s="462"/>
      <c r="J305" s="462"/>
      <c r="K305" s="462"/>
      <c r="L305" s="462"/>
    </row>
    <row r="306" spans="1:12">
      <c r="A306" s="462"/>
      <c r="B306" s="462"/>
      <c r="C306" s="462"/>
      <c r="D306" s="462"/>
      <c r="E306" s="462"/>
      <c r="F306" s="462"/>
      <c r="G306" s="462"/>
      <c r="H306" s="462"/>
      <c r="I306" s="462"/>
      <c r="J306" s="462"/>
      <c r="K306" s="462"/>
      <c r="L306" s="462"/>
    </row>
    <row r="307" spans="1:12">
      <c r="A307" s="462"/>
      <c r="B307" s="462"/>
      <c r="C307" s="462"/>
      <c r="D307" s="462"/>
      <c r="E307" s="462"/>
      <c r="F307" s="462"/>
      <c r="G307" s="462"/>
      <c r="H307" s="462"/>
      <c r="I307" s="462"/>
      <c r="J307" s="462"/>
      <c r="K307" s="462"/>
      <c r="L307" s="462"/>
    </row>
    <row r="308" spans="1:12">
      <c r="A308" s="462"/>
      <c r="B308" s="462"/>
      <c r="C308" s="462"/>
      <c r="D308" s="462"/>
      <c r="E308" s="462"/>
      <c r="F308" s="462"/>
      <c r="G308" s="462"/>
      <c r="H308" s="462"/>
      <c r="I308" s="462"/>
      <c r="J308" s="462"/>
      <c r="K308" s="462"/>
      <c r="L308" s="462"/>
    </row>
    <row r="309" spans="1:12">
      <c r="A309" s="462"/>
      <c r="B309" s="462"/>
      <c r="C309" s="462"/>
      <c r="D309" s="462"/>
      <c r="E309" s="462"/>
      <c r="F309" s="462"/>
      <c r="G309" s="462"/>
      <c r="H309" s="462"/>
      <c r="I309" s="462"/>
      <c r="J309" s="462"/>
      <c r="K309" s="462"/>
      <c r="L309" s="462"/>
    </row>
    <row r="310" spans="1:12">
      <c r="A310" s="462"/>
      <c r="B310" s="462"/>
      <c r="C310" s="462"/>
      <c r="D310" s="462"/>
      <c r="E310" s="462"/>
      <c r="F310" s="462"/>
      <c r="G310" s="462"/>
      <c r="H310" s="462"/>
      <c r="I310" s="462"/>
      <c r="J310" s="462"/>
      <c r="K310" s="462"/>
      <c r="L310" s="462"/>
    </row>
    <row r="311" spans="1:12">
      <c r="A311" s="462"/>
      <c r="B311" s="462"/>
      <c r="C311" s="462"/>
      <c r="D311" s="462"/>
      <c r="E311" s="462"/>
      <c r="F311" s="462"/>
      <c r="G311" s="462"/>
      <c r="H311" s="462"/>
      <c r="I311" s="462"/>
      <c r="J311" s="462"/>
      <c r="K311" s="462"/>
      <c r="L311" s="462"/>
    </row>
    <row r="312" spans="1:12">
      <c r="A312" s="462"/>
      <c r="B312" s="462"/>
      <c r="C312" s="462"/>
      <c r="D312" s="462"/>
      <c r="E312" s="462"/>
      <c r="F312" s="462"/>
      <c r="G312" s="462"/>
      <c r="H312" s="462"/>
      <c r="I312" s="462"/>
      <c r="J312" s="462"/>
      <c r="K312" s="462"/>
      <c r="L312" s="462"/>
    </row>
    <row r="313" spans="1:12">
      <c r="A313" s="462"/>
      <c r="B313" s="462"/>
      <c r="C313" s="462"/>
      <c r="D313" s="462"/>
      <c r="E313" s="462"/>
      <c r="F313" s="462"/>
      <c r="G313" s="462"/>
      <c r="H313" s="462"/>
      <c r="I313" s="462"/>
      <c r="J313" s="462"/>
      <c r="K313" s="462"/>
      <c r="L313" s="462"/>
    </row>
    <row r="314" spans="1:12">
      <c r="A314" s="462"/>
      <c r="B314" s="462"/>
      <c r="C314" s="462"/>
      <c r="D314" s="462"/>
      <c r="E314" s="462"/>
      <c r="F314" s="462"/>
      <c r="G314" s="462"/>
      <c r="H314" s="462"/>
      <c r="I314" s="462"/>
      <c r="J314" s="462"/>
      <c r="K314" s="462"/>
      <c r="L314" s="462"/>
    </row>
    <row r="315" spans="1:12">
      <c r="A315" s="462"/>
      <c r="B315" s="462"/>
      <c r="C315" s="462"/>
      <c r="D315" s="462"/>
      <c r="E315" s="462"/>
      <c r="F315" s="462"/>
      <c r="G315" s="462"/>
      <c r="H315" s="462"/>
      <c r="I315" s="462"/>
      <c r="J315" s="462"/>
      <c r="K315" s="462"/>
      <c r="L315" s="462"/>
    </row>
    <row r="316" spans="1:12">
      <c r="A316" s="462"/>
      <c r="B316" s="462"/>
      <c r="C316" s="462"/>
      <c r="D316" s="462"/>
      <c r="E316" s="462"/>
      <c r="F316" s="462"/>
      <c r="G316" s="462"/>
      <c r="H316" s="462"/>
      <c r="I316" s="462"/>
      <c r="J316" s="462"/>
      <c r="K316" s="462"/>
      <c r="L316" s="462"/>
    </row>
    <row r="317" spans="1:12">
      <c r="A317" s="462"/>
      <c r="B317" s="462"/>
      <c r="C317" s="462"/>
      <c r="D317" s="462"/>
      <c r="E317" s="462"/>
      <c r="F317" s="462"/>
      <c r="G317" s="462"/>
      <c r="H317" s="462"/>
      <c r="I317" s="462"/>
      <c r="J317" s="462"/>
      <c r="K317" s="462"/>
      <c r="L317" s="462"/>
    </row>
    <row r="318" spans="1:12">
      <c r="A318" s="462"/>
      <c r="B318" s="462"/>
      <c r="C318" s="462"/>
      <c r="D318" s="462"/>
      <c r="E318" s="462"/>
      <c r="F318" s="462"/>
      <c r="G318" s="462"/>
      <c r="H318" s="462"/>
      <c r="I318" s="462"/>
      <c r="J318" s="462"/>
      <c r="K318" s="462"/>
      <c r="L318" s="462"/>
    </row>
    <row r="319" spans="1:12">
      <c r="A319" s="462"/>
      <c r="B319" s="462"/>
      <c r="C319" s="462"/>
      <c r="D319" s="462"/>
      <c r="E319" s="462"/>
      <c r="F319" s="462"/>
      <c r="G319" s="462"/>
      <c r="H319" s="462"/>
      <c r="I319" s="462"/>
      <c r="J319" s="462"/>
      <c r="K319" s="462"/>
      <c r="L319" s="462"/>
    </row>
    <row r="320" spans="1:12">
      <c r="A320" s="462"/>
      <c r="B320" s="462"/>
      <c r="C320" s="462"/>
      <c r="D320" s="462"/>
      <c r="E320" s="462"/>
      <c r="F320" s="462"/>
      <c r="G320" s="462"/>
      <c r="H320" s="462"/>
      <c r="I320" s="462"/>
      <c r="J320" s="462"/>
      <c r="K320" s="462"/>
      <c r="L320" s="462"/>
    </row>
    <row r="321" spans="1:12">
      <c r="A321" s="462"/>
      <c r="B321" s="462"/>
      <c r="C321" s="462"/>
      <c r="D321" s="462"/>
      <c r="E321" s="462"/>
      <c r="F321" s="462"/>
      <c r="G321" s="462"/>
      <c r="H321" s="462"/>
      <c r="I321" s="462"/>
      <c r="J321" s="462"/>
      <c r="K321" s="462"/>
      <c r="L321" s="462"/>
    </row>
    <row r="322" spans="1:12">
      <c r="A322" s="462"/>
      <c r="B322" s="462"/>
      <c r="C322" s="462"/>
      <c r="D322" s="462"/>
      <c r="E322" s="462"/>
      <c r="F322" s="462"/>
      <c r="G322" s="462"/>
      <c r="H322" s="462"/>
      <c r="I322" s="462"/>
      <c r="J322" s="462"/>
      <c r="K322" s="462"/>
      <c r="L322" s="462"/>
    </row>
    <row r="323" spans="1:12">
      <c r="A323" s="462"/>
      <c r="B323" s="462"/>
      <c r="C323" s="462"/>
      <c r="D323" s="462"/>
      <c r="E323" s="462"/>
      <c r="F323" s="462"/>
      <c r="G323" s="462"/>
      <c r="H323" s="462"/>
      <c r="I323" s="462"/>
      <c r="J323" s="462"/>
      <c r="K323" s="462"/>
      <c r="L323" s="462"/>
    </row>
    <row r="324" spans="1:12">
      <c r="A324" s="462"/>
      <c r="B324" s="462"/>
      <c r="C324" s="462"/>
      <c r="D324" s="462"/>
      <c r="E324" s="462"/>
      <c r="F324" s="462"/>
      <c r="G324" s="462"/>
      <c r="H324" s="462"/>
      <c r="I324" s="462"/>
      <c r="J324" s="462"/>
      <c r="K324" s="462"/>
      <c r="L324" s="462"/>
    </row>
    <row r="325" spans="1:12">
      <c r="A325" s="462"/>
      <c r="B325" s="462"/>
      <c r="C325" s="462"/>
      <c r="D325" s="462"/>
      <c r="E325" s="462"/>
      <c r="F325" s="462"/>
      <c r="G325" s="462"/>
      <c r="H325" s="462"/>
      <c r="I325" s="462"/>
      <c r="J325" s="462"/>
      <c r="K325" s="462"/>
      <c r="L325" s="462"/>
    </row>
    <row r="326" spans="1:12">
      <c r="A326" s="462"/>
      <c r="B326" s="462"/>
      <c r="C326" s="462"/>
      <c r="D326" s="462"/>
      <c r="E326" s="462"/>
      <c r="F326" s="462"/>
      <c r="G326" s="462"/>
      <c r="H326" s="462"/>
      <c r="I326" s="462"/>
      <c r="J326" s="462"/>
      <c r="K326" s="462"/>
      <c r="L326" s="462"/>
    </row>
    <row r="327" spans="1:12">
      <c r="A327" s="462"/>
      <c r="B327" s="462"/>
      <c r="C327" s="462"/>
      <c r="D327" s="462"/>
      <c r="E327" s="462"/>
      <c r="F327" s="462"/>
      <c r="G327" s="462"/>
      <c r="H327" s="462"/>
      <c r="I327" s="462"/>
      <c r="J327" s="462"/>
      <c r="K327" s="462"/>
      <c r="L327" s="462"/>
    </row>
    <row r="328" spans="1:12">
      <c r="A328" s="462"/>
      <c r="B328" s="462"/>
      <c r="C328" s="462"/>
      <c r="D328" s="462"/>
      <c r="E328" s="462"/>
      <c r="F328" s="462"/>
      <c r="G328" s="462"/>
      <c r="H328" s="462"/>
      <c r="I328" s="462"/>
      <c r="J328" s="462"/>
      <c r="K328" s="462"/>
      <c r="L328" s="462"/>
    </row>
    <row r="329" spans="1:12">
      <c r="A329" s="462"/>
      <c r="B329" s="462"/>
      <c r="C329" s="462"/>
      <c r="D329" s="462"/>
      <c r="E329" s="462"/>
      <c r="F329" s="462"/>
      <c r="G329" s="462"/>
      <c r="H329" s="462"/>
      <c r="I329" s="462"/>
      <c r="J329" s="462"/>
      <c r="K329" s="462"/>
      <c r="L329" s="462"/>
    </row>
    <row r="330" spans="1:12">
      <c r="A330" s="462"/>
      <c r="B330" s="462"/>
      <c r="C330" s="462"/>
      <c r="D330" s="462"/>
      <c r="E330" s="462"/>
      <c r="F330" s="462"/>
      <c r="G330" s="462"/>
      <c r="H330" s="462"/>
      <c r="I330" s="462"/>
      <c r="J330" s="462"/>
      <c r="K330" s="462"/>
      <c r="L330" s="462"/>
    </row>
    <row r="331" spans="1:12">
      <c r="A331" s="462"/>
      <c r="B331" s="462"/>
      <c r="C331" s="462"/>
      <c r="D331" s="462"/>
      <c r="E331" s="462"/>
      <c r="F331" s="462"/>
      <c r="G331" s="462"/>
      <c r="H331" s="462"/>
      <c r="I331" s="462"/>
      <c r="J331" s="462"/>
      <c r="K331" s="462"/>
      <c r="L331" s="462"/>
    </row>
    <row r="332" spans="1:12">
      <c r="A332" s="462"/>
      <c r="B332" s="462"/>
      <c r="C332" s="462"/>
      <c r="D332" s="462"/>
      <c r="E332" s="462"/>
      <c r="F332" s="462"/>
      <c r="G332" s="462"/>
      <c r="H332" s="462"/>
      <c r="I332" s="462"/>
      <c r="J332" s="462"/>
      <c r="K332" s="462"/>
      <c r="L332" s="462"/>
    </row>
    <row r="333" spans="1:12">
      <c r="A333" s="462"/>
      <c r="B333" s="462"/>
      <c r="C333" s="462"/>
      <c r="D333" s="462"/>
      <c r="E333" s="462"/>
      <c r="F333" s="462"/>
      <c r="G333" s="462"/>
      <c r="H333" s="462"/>
      <c r="I333" s="462"/>
      <c r="J333" s="462"/>
      <c r="K333" s="462"/>
      <c r="L333" s="462"/>
    </row>
    <row r="334" spans="1:12">
      <c r="A334" s="462"/>
      <c r="B334" s="462"/>
      <c r="C334" s="462"/>
      <c r="D334" s="462"/>
      <c r="E334" s="462"/>
      <c r="F334" s="462"/>
      <c r="G334" s="462"/>
      <c r="H334" s="462"/>
      <c r="I334" s="462"/>
      <c r="J334" s="462"/>
      <c r="K334" s="462"/>
      <c r="L334" s="462"/>
    </row>
    <row r="335" spans="1:12">
      <c r="A335" s="462"/>
      <c r="B335" s="462"/>
      <c r="C335" s="462"/>
      <c r="D335" s="462"/>
      <c r="E335" s="462"/>
      <c r="F335" s="462"/>
      <c r="G335" s="462"/>
      <c r="H335" s="462"/>
      <c r="I335" s="462"/>
      <c r="J335" s="462"/>
      <c r="K335" s="462"/>
      <c r="L335" s="462"/>
    </row>
    <row r="336" spans="1:12">
      <c r="A336" s="462"/>
      <c r="B336" s="462"/>
      <c r="C336" s="462"/>
      <c r="D336" s="462"/>
      <c r="E336" s="462"/>
      <c r="F336" s="462"/>
      <c r="G336" s="462"/>
      <c r="H336" s="462"/>
      <c r="I336" s="462"/>
      <c r="J336" s="462"/>
      <c r="K336" s="462"/>
      <c r="L336" s="462"/>
    </row>
    <row r="337" spans="1:12">
      <c r="A337" s="462"/>
      <c r="B337" s="462"/>
      <c r="C337" s="462"/>
      <c r="D337" s="462"/>
      <c r="E337" s="462"/>
      <c r="F337" s="462"/>
      <c r="G337" s="462"/>
      <c r="H337" s="462"/>
      <c r="I337" s="462"/>
      <c r="J337" s="462"/>
      <c r="K337" s="462"/>
      <c r="L337" s="462"/>
    </row>
    <row r="338" spans="1:12">
      <c r="A338" s="462"/>
      <c r="B338" s="462"/>
      <c r="C338" s="462"/>
      <c r="D338" s="462"/>
      <c r="E338" s="462"/>
      <c r="F338" s="462"/>
      <c r="G338" s="462"/>
      <c r="H338" s="462"/>
      <c r="I338" s="462"/>
      <c r="J338" s="462"/>
      <c r="K338" s="462"/>
      <c r="L338" s="462"/>
    </row>
    <row r="339" spans="1:12">
      <c r="A339" s="462"/>
      <c r="B339" s="462"/>
      <c r="C339" s="462"/>
      <c r="D339" s="462"/>
      <c r="E339" s="462"/>
      <c r="F339" s="462"/>
      <c r="G339" s="462"/>
      <c r="H339" s="462"/>
      <c r="I339" s="462"/>
      <c r="J339" s="462"/>
      <c r="K339" s="462"/>
      <c r="L339" s="462"/>
    </row>
    <row r="340" spans="1:12">
      <c r="A340" s="462"/>
      <c r="B340" s="462"/>
      <c r="C340" s="462"/>
      <c r="D340" s="462"/>
      <c r="E340" s="462"/>
      <c r="F340" s="462"/>
      <c r="G340" s="462"/>
      <c r="H340" s="462"/>
      <c r="I340" s="462"/>
      <c r="J340" s="462"/>
      <c r="K340" s="462"/>
      <c r="L340" s="462"/>
    </row>
    <row r="341" spans="1:12">
      <c r="A341" s="462"/>
      <c r="B341" s="462"/>
      <c r="C341" s="462"/>
      <c r="D341" s="462"/>
      <c r="E341" s="462"/>
      <c r="F341" s="462"/>
      <c r="G341" s="462"/>
      <c r="H341" s="462"/>
      <c r="I341" s="462"/>
      <c r="J341" s="462"/>
      <c r="K341" s="462"/>
      <c r="L341" s="462"/>
    </row>
    <row r="342" spans="1:12">
      <c r="A342" s="462"/>
      <c r="B342" s="462"/>
      <c r="C342" s="462"/>
      <c r="D342" s="462"/>
      <c r="E342" s="462"/>
      <c r="F342" s="462"/>
      <c r="G342" s="462"/>
      <c r="H342" s="462"/>
      <c r="I342" s="462"/>
      <c r="J342" s="462"/>
      <c r="K342" s="462"/>
      <c r="L342" s="462"/>
    </row>
    <row r="343" spans="1:12">
      <c r="A343" s="462"/>
      <c r="B343" s="462"/>
      <c r="C343" s="462"/>
      <c r="D343" s="462"/>
      <c r="E343" s="462"/>
      <c r="F343" s="462"/>
      <c r="G343" s="462"/>
      <c r="H343" s="462"/>
      <c r="I343" s="462"/>
      <c r="J343" s="462"/>
      <c r="K343" s="462"/>
      <c r="L343" s="462"/>
    </row>
    <row r="344" spans="1:12">
      <c r="A344" s="462"/>
      <c r="B344" s="462"/>
      <c r="C344" s="462"/>
      <c r="D344" s="462"/>
      <c r="E344" s="462"/>
      <c r="F344" s="462"/>
      <c r="G344" s="462"/>
      <c r="H344" s="462"/>
      <c r="I344" s="462"/>
      <c r="J344" s="462"/>
      <c r="K344" s="462"/>
      <c r="L344" s="462"/>
    </row>
    <row r="345" spans="1:12">
      <c r="A345" s="462"/>
      <c r="B345" s="462"/>
      <c r="C345" s="462"/>
      <c r="D345" s="462"/>
      <c r="E345" s="462"/>
      <c r="F345" s="462"/>
      <c r="G345" s="462"/>
      <c r="H345" s="462"/>
      <c r="I345" s="462"/>
      <c r="J345" s="462"/>
      <c r="K345" s="462"/>
      <c r="L345" s="462"/>
    </row>
    <row r="346" spans="1:12">
      <c r="A346" s="462"/>
      <c r="B346" s="462"/>
      <c r="C346" s="462"/>
      <c r="D346" s="462"/>
      <c r="E346" s="462"/>
      <c r="F346" s="462"/>
      <c r="G346" s="462"/>
      <c r="H346" s="462"/>
      <c r="I346" s="462"/>
      <c r="J346" s="462"/>
      <c r="K346" s="462"/>
      <c r="L346" s="462"/>
    </row>
    <row r="347" spans="1:12">
      <c r="A347" s="462"/>
      <c r="B347" s="462"/>
      <c r="C347" s="462"/>
      <c r="D347" s="462"/>
      <c r="E347" s="462"/>
      <c r="F347" s="462"/>
      <c r="G347" s="462"/>
      <c r="H347" s="462"/>
      <c r="I347" s="462"/>
      <c r="J347" s="462"/>
      <c r="K347" s="462"/>
      <c r="L347" s="462"/>
    </row>
    <row r="348" spans="1:12">
      <c r="A348" s="462"/>
      <c r="B348" s="462"/>
      <c r="C348" s="462"/>
      <c r="D348" s="462"/>
      <c r="E348" s="462"/>
      <c r="F348" s="462"/>
      <c r="G348" s="462"/>
      <c r="H348" s="462"/>
      <c r="I348" s="462"/>
      <c r="J348" s="462"/>
      <c r="K348" s="462"/>
      <c r="L348" s="462"/>
    </row>
    <row r="349" spans="1:12">
      <c r="A349" s="462"/>
      <c r="B349" s="462"/>
      <c r="C349" s="462"/>
      <c r="D349" s="462"/>
      <c r="E349" s="462"/>
      <c r="F349" s="462"/>
      <c r="G349" s="462"/>
      <c r="H349" s="462"/>
      <c r="I349" s="462"/>
      <c r="J349" s="462"/>
      <c r="K349" s="462"/>
      <c r="L349" s="462"/>
    </row>
    <row r="350" spans="1:12">
      <c r="A350" s="462"/>
      <c r="B350" s="462"/>
      <c r="C350" s="462"/>
      <c r="D350" s="462"/>
      <c r="E350" s="462"/>
      <c r="F350" s="462"/>
      <c r="G350" s="462"/>
      <c r="H350" s="462"/>
      <c r="I350" s="462"/>
      <c r="J350" s="462"/>
      <c r="K350" s="462"/>
      <c r="L350" s="462"/>
    </row>
    <row r="351" spans="1:12">
      <c r="A351" s="462"/>
      <c r="B351" s="462"/>
      <c r="C351" s="462"/>
      <c r="D351" s="462"/>
      <c r="E351" s="462"/>
      <c r="F351" s="462"/>
      <c r="G351" s="462"/>
      <c r="H351" s="462"/>
      <c r="I351" s="462"/>
      <c r="J351" s="462"/>
      <c r="K351" s="462"/>
      <c r="L351" s="462"/>
    </row>
    <row r="352" spans="1:12">
      <c r="A352" s="462"/>
      <c r="B352" s="462"/>
      <c r="C352" s="462"/>
      <c r="D352" s="462"/>
      <c r="E352" s="462"/>
      <c r="F352" s="462"/>
      <c r="G352" s="462"/>
      <c r="H352" s="462"/>
      <c r="I352" s="462"/>
      <c r="J352" s="462"/>
      <c r="K352" s="462"/>
      <c r="L352" s="462"/>
    </row>
    <row r="353" spans="1:12">
      <c r="A353" s="462"/>
      <c r="B353" s="462"/>
      <c r="C353" s="462"/>
      <c r="D353" s="462"/>
      <c r="E353" s="462"/>
      <c r="F353" s="462"/>
      <c r="G353" s="462"/>
      <c r="H353" s="462"/>
      <c r="I353" s="462"/>
      <c r="J353" s="462"/>
      <c r="K353" s="462"/>
      <c r="L353" s="462"/>
    </row>
    <row r="354" spans="1:12">
      <c r="A354" s="462"/>
      <c r="B354" s="462"/>
      <c r="C354" s="462"/>
      <c r="D354" s="462"/>
      <c r="E354" s="462"/>
      <c r="F354" s="462"/>
      <c r="G354" s="462"/>
      <c r="H354" s="462"/>
      <c r="I354" s="462"/>
      <c r="J354" s="462"/>
      <c r="K354" s="462"/>
      <c r="L354" s="462"/>
    </row>
  </sheetData>
  <sheetProtection sheet="1" objects="1" scenarios="1"/>
  <mergeCells count="55">
    <mergeCell ref="B110:K110"/>
    <mergeCell ref="C120:D120"/>
    <mergeCell ref="B106:K106"/>
    <mergeCell ref="B108:K108"/>
    <mergeCell ref="B6:K6"/>
    <mergeCell ref="B7:K7"/>
    <mergeCell ref="B8:K8"/>
    <mergeCell ref="B10:K10"/>
    <mergeCell ref="B12:K12"/>
    <mergeCell ref="C25:D25"/>
    <mergeCell ref="F23:G23"/>
    <mergeCell ref="B30:K30"/>
    <mergeCell ref="B31:K31"/>
    <mergeCell ref="B33:K33"/>
    <mergeCell ref="B35:K35"/>
    <mergeCell ref="C41:D41"/>
    <mergeCell ref="B48:C48"/>
    <mergeCell ref="G50:H50"/>
    <mergeCell ref="I51:K51"/>
    <mergeCell ref="B52:K52"/>
    <mergeCell ref="B53:K53"/>
    <mergeCell ref="B58:K58"/>
    <mergeCell ref="B55:K55"/>
    <mergeCell ref="B57:K57"/>
    <mergeCell ref="C74:D74"/>
    <mergeCell ref="C77:D77"/>
    <mergeCell ref="C80:D80"/>
    <mergeCell ref="C83:D83"/>
    <mergeCell ref="B85:K85"/>
    <mergeCell ref="B86:K86"/>
    <mergeCell ref="B88:K88"/>
    <mergeCell ref="B90:K90"/>
    <mergeCell ref="C94:D94"/>
    <mergeCell ref="C97:D97"/>
    <mergeCell ref="C100:D100"/>
    <mergeCell ref="B105:K105"/>
    <mergeCell ref="C103:D103"/>
    <mergeCell ref="C136:D136"/>
    <mergeCell ref="C137:D137"/>
    <mergeCell ref="C114:D114"/>
    <mergeCell ref="C117:D117"/>
    <mergeCell ref="B125:K125"/>
    <mergeCell ref="B126:K126"/>
    <mergeCell ref="B128:K128"/>
    <mergeCell ref="B130:K130"/>
    <mergeCell ref="C123:D123"/>
    <mergeCell ref="C133:D133"/>
    <mergeCell ref="H133:I133"/>
    <mergeCell ref="C134:D134"/>
    <mergeCell ref="H134:I134"/>
    <mergeCell ref="B144:K144"/>
    <mergeCell ref="C147:D147"/>
    <mergeCell ref="J147:K147"/>
    <mergeCell ref="C148:D148"/>
    <mergeCell ref="J148:K148"/>
  </mergeCells>
  <pageMargins left="0.7" right="0.7" top="0.75" bottom="0.75" header="0.3" footer="0.3"/>
  <pageSetup scale="71" orientation="portrait" blackAndWhite="1" r:id="rId1"/>
</worksheet>
</file>

<file path=xl/worksheets/sheet41.xml><?xml version="1.0" encoding="utf-8"?>
<worksheet xmlns="http://schemas.openxmlformats.org/spreadsheetml/2006/main" xmlns:r="http://schemas.openxmlformats.org/officeDocument/2006/relationships">
  <dimension ref="A1:A40"/>
  <sheetViews>
    <sheetView workbookViewId="0">
      <selection activeCell="C11" sqref="C11"/>
    </sheetView>
  </sheetViews>
  <sheetFormatPr defaultRowHeight="15"/>
  <cols>
    <col min="1" max="1" width="71.21875" customWidth="1"/>
  </cols>
  <sheetData>
    <row r="1" spans="1:1" ht="16.5">
      <c r="A1" s="485" t="s">
        <v>646</v>
      </c>
    </row>
    <row r="3" spans="1:1" ht="31.5">
      <c r="A3" s="486" t="s">
        <v>647</v>
      </c>
    </row>
    <row r="4" spans="1:1" ht="15.75">
      <c r="A4" s="487" t="s">
        <v>648</v>
      </c>
    </row>
    <row r="7" spans="1:1" ht="31.5">
      <c r="A7" s="486" t="s">
        <v>649</v>
      </c>
    </row>
    <row r="8" spans="1:1" ht="15.75">
      <c r="A8" s="487" t="s">
        <v>650</v>
      </c>
    </row>
    <row r="11" spans="1:1" ht="15.75">
      <c r="A11" s="387" t="s">
        <v>651</v>
      </c>
    </row>
    <row r="12" spans="1:1" ht="15.75">
      <c r="A12" s="487" t="s">
        <v>652</v>
      </c>
    </row>
    <row r="15" spans="1:1" ht="15.75">
      <c r="A15" s="387" t="s">
        <v>653</v>
      </c>
    </row>
    <row r="16" spans="1:1" ht="15.75">
      <c r="A16" s="487" t="s">
        <v>654</v>
      </c>
    </row>
    <row r="19" spans="1:1" ht="15.75">
      <c r="A19" s="387" t="s">
        <v>655</v>
      </c>
    </row>
    <row r="20" spans="1:1" ht="15.75">
      <c r="A20" s="487" t="s">
        <v>656</v>
      </c>
    </row>
    <row r="23" spans="1:1" ht="15.75">
      <c r="A23" s="387" t="s">
        <v>657</v>
      </c>
    </row>
    <row r="24" spans="1:1" ht="15.75">
      <c r="A24" s="487" t="s">
        <v>658</v>
      </c>
    </row>
    <row r="27" spans="1:1" ht="15.75">
      <c r="A27" s="387" t="s">
        <v>659</v>
      </c>
    </row>
    <row r="28" spans="1:1" ht="15.75">
      <c r="A28" s="487" t="s">
        <v>660</v>
      </c>
    </row>
    <row r="31" spans="1:1" ht="15.75">
      <c r="A31" s="387" t="s">
        <v>661</v>
      </c>
    </row>
    <row r="32" spans="1:1" ht="15.75">
      <c r="A32" s="487" t="s">
        <v>662</v>
      </c>
    </row>
    <row r="35" spans="1:1" ht="15.75">
      <c r="A35" s="387" t="s">
        <v>663</v>
      </c>
    </row>
    <row r="36" spans="1:1" ht="15.75">
      <c r="A36" s="487" t="s">
        <v>664</v>
      </c>
    </row>
    <row r="39" spans="1:1" ht="15.75">
      <c r="A39" s="387" t="s">
        <v>665</v>
      </c>
    </row>
    <row r="40" spans="1:1" ht="15.75">
      <c r="A40" s="487" t="s">
        <v>666</v>
      </c>
    </row>
  </sheetData>
  <sheetProtection sheet="1" objects="1" scenarios="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42.xml><?xml version="1.0" encoding="utf-8"?>
<worksheet xmlns="http://schemas.openxmlformats.org/spreadsheetml/2006/main" xmlns:r="http://schemas.openxmlformats.org/officeDocument/2006/relationships">
  <dimension ref="A1:A207"/>
  <sheetViews>
    <sheetView topLeftCell="A121" workbookViewId="0">
      <selection activeCell="F8" sqref="F8"/>
    </sheetView>
  </sheetViews>
  <sheetFormatPr defaultRowHeight="15.75"/>
  <cols>
    <col min="1" max="1" width="82.88671875" style="8" customWidth="1"/>
    <col min="2" max="16384" width="8.88671875" style="8"/>
  </cols>
  <sheetData>
    <row r="1" spans="1:1">
      <c r="A1" s="406" t="s">
        <v>983</v>
      </c>
    </row>
    <row r="2" spans="1:1">
      <c r="A2" s="8" t="s">
        <v>984</v>
      </c>
    </row>
    <row r="4" spans="1:1">
      <c r="A4" s="406" t="s">
        <v>980</v>
      </c>
    </row>
    <row r="5" spans="1:1">
      <c r="A5" s="8" t="s">
        <v>981</v>
      </c>
    </row>
    <row r="7" spans="1:1">
      <c r="A7" s="406" t="s">
        <v>978</v>
      </c>
    </row>
    <row r="8" spans="1:1">
      <c r="A8" s="740" t="s">
        <v>979</v>
      </c>
    </row>
    <row r="10" spans="1:1">
      <c r="A10" s="406" t="s">
        <v>975</v>
      </c>
    </row>
    <row r="11" spans="1:1">
      <c r="A11" s="8" t="s">
        <v>976</v>
      </c>
    </row>
    <row r="13" spans="1:1">
      <c r="A13" s="406" t="s">
        <v>972</v>
      </c>
    </row>
    <row r="14" spans="1:1">
      <c r="A14" s="8" t="s">
        <v>973</v>
      </c>
    </row>
    <row r="16" spans="1:1">
      <c r="A16" s="406" t="s">
        <v>969</v>
      </c>
    </row>
    <row r="17" spans="1:1">
      <c r="A17" s="8" t="s">
        <v>970</v>
      </c>
    </row>
    <row r="18" spans="1:1">
      <c r="A18" s="8" t="s">
        <v>971</v>
      </c>
    </row>
    <row r="20" spans="1:1">
      <c r="A20" s="406" t="s">
        <v>894</v>
      </c>
    </row>
    <row r="21" spans="1:1">
      <c r="A21" s="740" t="s">
        <v>895</v>
      </c>
    </row>
    <row r="22" spans="1:1">
      <c r="A22" s="8" t="s">
        <v>896</v>
      </c>
    </row>
    <row r="23" spans="1:1">
      <c r="A23" s="8" t="s">
        <v>897</v>
      </c>
    </row>
    <row r="24" spans="1:1">
      <c r="A24" s="8" t="s">
        <v>898</v>
      </c>
    </row>
    <row r="25" spans="1:1">
      <c r="A25" s="8" t="s">
        <v>899</v>
      </c>
    </row>
    <row r="26" spans="1:1">
      <c r="A26" s="8" t="s">
        <v>900</v>
      </c>
    </row>
    <row r="27" spans="1:1">
      <c r="A27" s="8" t="s">
        <v>901</v>
      </c>
    </row>
    <row r="28" spans="1:1">
      <c r="A28" s="8" t="s">
        <v>902</v>
      </c>
    </row>
    <row r="29" spans="1:1">
      <c r="A29" s="8" t="s">
        <v>903</v>
      </c>
    </row>
    <row r="30" spans="1:1">
      <c r="A30" s="8" t="s">
        <v>904</v>
      </c>
    </row>
    <row r="31" spans="1:1">
      <c r="A31" s="8" t="s">
        <v>905</v>
      </c>
    </row>
    <row r="32" spans="1:1">
      <c r="A32" s="8" t="s">
        <v>906</v>
      </c>
    </row>
    <row r="33" spans="1:1">
      <c r="A33" s="8" t="s">
        <v>907</v>
      </c>
    </row>
    <row r="34" spans="1:1">
      <c r="A34" s="8" t="s">
        <v>908</v>
      </c>
    </row>
    <row r="35" spans="1:1">
      <c r="A35" s="8" t="s">
        <v>909</v>
      </c>
    </row>
    <row r="36" spans="1:1">
      <c r="A36" s="8" t="s">
        <v>910</v>
      </c>
    </row>
    <row r="37" spans="1:1" ht="47.25">
      <c r="A37" s="10" t="s">
        <v>911</v>
      </c>
    </row>
    <row r="38" spans="1:1">
      <c r="A38" s="9" t="s">
        <v>912</v>
      </c>
    </row>
    <row r="39" spans="1:1" ht="31.5">
      <c r="A39" s="10" t="s">
        <v>913</v>
      </c>
    </row>
    <row r="40" spans="1:1">
      <c r="A40" s="8" t="s">
        <v>914</v>
      </c>
    </row>
    <row r="41" spans="1:1">
      <c r="A41" s="8" t="s">
        <v>915</v>
      </c>
    </row>
    <row r="42" spans="1:1">
      <c r="A42" s="8" t="s">
        <v>916</v>
      </c>
    </row>
    <row r="43" spans="1:1">
      <c r="A43" s="8" t="s">
        <v>917</v>
      </c>
    </row>
    <row r="44" spans="1:1">
      <c r="A44" s="8" t="s">
        <v>918</v>
      </c>
    </row>
    <row r="45" spans="1:1">
      <c r="A45" s="8" t="s">
        <v>919</v>
      </c>
    </row>
    <row r="46" spans="1:1">
      <c r="A46" s="8" t="s">
        <v>920</v>
      </c>
    </row>
    <row r="47" spans="1:1">
      <c r="A47" s="8" t="s">
        <v>921</v>
      </c>
    </row>
    <row r="48" spans="1:1">
      <c r="A48" s="8" t="s">
        <v>922</v>
      </c>
    </row>
    <row r="49" spans="1:1">
      <c r="A49" s="8" t="s">
        <v>923</v>
      </c>
    </row>
    <row r="50" spans="1:1">
      <c r="A50" s="8" t="s">
        <v>924</v>
      </c>
    </row>
    <row r="51" spans="1:1">
      <c r="A51" s="8" t="s">
        <v>925</v>
      </c>
    </row>
    <row r="52" spans="1:1">
      <c r="A52" s="8" t="s">
        <v>926</v>
      </c>
    </row>
    <row r="53" spans="1:1">
      <c r="A53" s="8" t="s">
        <v>927</v>
      </c>
    </row>
    <row r="54" spans="1:1">
      <c r="A54" s="8" t="s">
        <v>928</v>
      </c>
    </row>
    <row r="55" spans="1:1">
      <c r="A55" s="8" t="s">
        <v>929</v>
      </c>
    </row>
    <row r="57" spans="1:1">
      <c r="A57" s="406" t="s">
        <v>801</v>
      </c>
    </row>
    <row r="58" spans="1:1">
      <c r="A58" s="8" t="s">
        <v>802</v>
      </c>
    </row>
    <row r="59" spans="1:1">
      <c r="A59" s="8" t="s">
        <v>803</v>
      </c>
    </row>
    <row r="61" spans="1:1">
      <c r="A61" s="406" t="s">
        <v>799</v>
      </c>
    </row>
    <row r="62" spans="1:1">
      <c r="A62" s="8" t="s">
        <v>800</v>
      </c>
    </row>
    <row r="64" spans="1:1">
      <c r="A64" s="406" t="s">
        <v>797</v>
      </c>
    </row>
    <row r="65" spans="1:1">
      <c r="A65" s="8" t="s">
        <v>798</v>
      </c>
    </row>
    <row r="67" spans="1:1">
      <c r="A67" s="406" t="s">
        <v>796</v>
      </c>
    </row>
    <row r="68" spans="1:1">
      <c r="A68" s="408" t="s">
        <v>795</v>
      </c>
    </row>
    <row r="70" spans="1:1">
      <c r="A70" s="406" t="s">
        <v>643</v>
      </c>
    </row>
    <row r="71" spans="1:1">
      <c r="A71" s="408" t="s">
        <v>640</v>
      </c>
    </row>
    <row r="72" spans="1:1">
      <c r="A72" s="408" t="s">
        <v>641</v>
      </c>
    </row>
    <row r="73" spans="1:1" ht="31.5">
      <c r="A73" s="407" t="s">
        <v>642</v>
      </c>
    </row>
    <row r="74" spans="1:1">
      <c r="A74" s="408" t="s">
        <v>759</v>
      </c>
    </row>
    <row r="75" spans="1:1">
      <c r="A75" s="408" t="s">
        <v>760</v>
      </c>
    </row>
    <row r="76" spans="1:1">
      <c r="A76" s="408" t="s">
        <v>761</v>
      </c>
    </row>
    <row r="77" spans="1:1">
      <c r="A77" s="408" t="s">
        <v>762</v>
      </c>
    </row>
    <row r="78" spans="1:1">
      <c r="A78" s="408" t="s">
        <v>763</v>
      </c>
    </row>
    <row r="79" spans="1:1">
      <c r="A79" s="408" t="s">
        <v>764</v>
      </c>
    </row>
    <row r="80" spans="1:1">
      <c r="A80" s="408" t="s">
        <v>765</v>
      </c>
    </row>
    <row r="81" spans="1:1">
      <c r="A81" s="408" t="s">
        <v>766</v>
      </c>
    </row>
    <row r="82" spans="1:1">
      <c r="A82" s="408" t="s">
        <v>767</v>
      </c>
    </row>
    <row r="83" spans="1:1">
      <c r="A83" s="408" t="s">
        <v>768</v>
      </c>
    </row>
    <row r="84" spans="1:1">
      <c r="A84" s="408" t="s">
        <v>769</v>
      </c>
    </row>
    <row r="85" spans="1:1">
      <c r="A85" s="408" t="s">
        <v>770</v>
      </c>
    </row>
    <row r="86" spans="1:1">
      <c r="A86" s="408" t="s">
        <v>771</v>
      </c>
    </row>
    <row r="87" spans="1:1">
      <c r="A87" s="408" t="s">
        <v>772</v>
      </c>
    </row>
    <row r="88" spans="1:1">
      <c r="A88" s="408" t="s">
        <v>773</v>
      </c>
    </row>
    <row r="89" spans="1:1">
      <c r="A89" s="408" t="s">
        <v>774</v>
      </c>
    </row>
    <row r="90" spans="1:1">
      <c r="A90" s="408" t="s">
        <v>775</v>
      </c>
    </row>
    <row r="91" spans="1:1">
      <c r="A91" s="408" t="s">
        <v>776</v>
      </c>
    </row>
    <row r="92" spans="1:1">
      <c r="A92" s="408" t="s">
        <v>777</v>
      </c>
    </row>
    <row r="93" spans="1:1">
      <c r="A93" s="408" t="s">
        <v>778</v>
      </c>
    </row>
    <row r="94" spans="1:1">
      <c r="A94" s="408" t="s">
        <v>779</v>
      </c>
    </row>
    <row r="95" spans="1:1">
      <c r="A95" s="408" t="s">
        <v>780</v>
      </c>
    </row>
    <row r="96" spans="1:1">
      <c r="A96" s="408" t="s">
        <v>781</v>
      </c>
    </row>
    <row r="97" spans="1:1">
      <c r="A97" s="408" t="s">
        <v>782</v>
      </c>
    </row>
    <row r="98" spans="1:1">
      <c r="A98" s="408" t="s">
        <v>783</v>
      </c>
    </row>
    <row r="101" spans="1:1">
      <c r="A101" s="343" t="s">
        <v>624</v>
      </c>
    </row>
    <row r="102" spans="1:1">
      <c r="A102" s="8" t="s">
        <v>625</v>
      </c>
    </row>
    <row r="103" spans="1:1">
      <c r="A103" s="8" t="s">
        <v>626</v>
      </c>
    </row>
    <row r="104" spans="1:1">
      <c r="A104" s="8" t="s">
        <v>627</v>
      </c>
    </row>
    <row r="106" spans="1:1">
      <c r="A106" s="343" t="s">
        <v>614</v>
      </c>
    </row>
    <row r="107" spans="1:1">
      <c r="A107" s="8" t="s">
        <v>623</v>
      </c>
    </row>
    <row r="109" spans="1:1">
      <c r="A109" s="343" t="s">
        <v>598</v>
      </c>
    </row>
    <row r="110" spans="1:1">
      <c r="A110" s="341" t="s">
        <v>599</v>
      </c>
    </row>
    <row r="111" spans="1:1">
      <c r="A111" s="341" t="s">
        <v>600</v>
      </c>
    </row>
    <row r="112" spans="1:1">
      <c r="A112" s="341" t="s">
        <v>601</v>
      </c>
    </row>
    <row r="114" spans="1:1">
      <c r="A114" s="319" t="s">
        <v>371</v>
      </c>
    </row>
    <row r="115" spans="1:1">
      <c r="A115" s="328" t="s">
        <v>373</v>
      </c>
    </row>
    <row r="116" spans="1:1">
      <c r="A116" s="326" t="s">
        <v>374</v>
      </c>
    </row>
    <row r="117" spans="1:1">
      <c r="A117" s="326" t="s">
        <v>375</v>
      </c>
    </row>
    <row r="118" spans="1:1" ht="21" customHeight="1">
      <c r="A118" s="327" t="s">
        <v>376</v>
      </c>
    </row>
    <row r="119" spans="1:1">
      <c r="A119" s="326" t="s">
        <v>377</v>
      </c>
    </row>
    <row r="120" spans="1:1">
      <c r="A120" s="326" t="s">
        <v>378</v>
      </c>
    </row>
    <row r="121" spans="1:1">
      <c r="A121" s="326" t="s">
        <v>379</v>
      </c>
    </row>
    <row r="122" spans="1:1">
      <c r="A122" s="326" t="s">
        <v>380</v>
      </c>
    </row>
    <row r="123" spans="1:1">
      <c r="A123" s="8" t="s">
        <v>381</v>
      </c>
    </row>
    <row r="125" spans="1:1">
      <c r="A125" s="319" t="s">
        <v>342</v>
      </c>
    </row>
    <row r="126" spans="1:1">
      <c r="A126" s="8" t="s">
        <v>343</v>
      </c>
    </row>
    <row r="127" spans="1:1">
      <c r="A127" s="8" t="s">
        <v>344</v>
      </c>
    </row>
    <row r="128" spans="1:1">
      <c r="A128" s="8" t="s">
        <v>345</v>
      </c>
    </row>
    <row r="129" spans="1:1">
      <c r="A129" s="8" t="s">
        <v>346</v>
      </c>
    </row>
    <row r="131" spans="1:1">
      <c r="A131" s="319" t="s">
        <v>339</v>
      </c>
    </row>
    <row r="132" spans="1:1">
      <c r="A132" s="8" t="s">
        <v>340</v>
      </c>
    </row>
    <row r="133" spans="1:1">
      <c r="A133" s="8" t="s">
        <v>341</v>
      </c>
    </row>
    <row r="135" spans="1:1">
      <c r="A135" s="319" t="s">
        <v>321</v>
      </c>
    </row>
    <row r="136" spans="1:1">
      <c r="A136" s="8" t="s">
        <v>309</v>
      </c>
    </row>
    <row r="137" spans="1:1">
      <c r="A137" s="8" t="s">
        <v>310</v>
      </c>
    </row>
    <row r="138" spans="1:1">
      <c r="A138" s="8" t="s">
        <v>311</v>
      </c>
    </row>
    <row r="139" spans="1:1">
      <c r="A139" s="8" t="s">
        <v>304</v>
      </c>
    </row>
    <row r="140" spans="1:1">
      <c r="A140" s="8" t="s">
        <v>312</v>
      </c>
    </row>
    <row r="141" spans="1:1">
      <c r="A141" s="8" t="s">
        <v>313</v>
      </c>
    </row>
    <row r="142" spans="1:1" ht="31.5">
      <c r="A142" s="10" t="s">
        <v>314</v>
      </c>
    </row>
    <row r="143" spans="1:1" ht="31.5">
      <c r="A143" s="10" t="s">
        <v>315</v>
      </c>
    </row>
    <row r="144" spans="1:1">
      <c r="A144" s="10" t="s">
        <v>322</v>
      </c>
    </row>
    <row r="145" spans="1:1">
      <c r="A145" s="10" t="s">
        <v>316</v>
      </c>
    </row>
    <row r="146" spans="1:1" ht="31.5">
      <c r="A146" s="10" t="s">
        <v>317</v>
      </c>
    </row>
    <row r="147" spans="1:1">
      <c r="A147" s="8" t="s">
        <v>318</v>
      </c>
    </row>
    <row r="148" spans="1:1" ht="31.5">
      <c r="A148" s="10" t="s">
        <v>323</v>
      </c>
    </row>
    <row r="149" spans="1:1">
      <c r="A149" s="8" t="s">
        <v>190</v>
      </c>
    </row>
    <row r="150" spans="1:1">
      <c r="A150" s="8" t="s">
        <v>319</v>
      </c>
    </row>
    <row r="151" spans="1:1" ht="35.25" customHeight="1">
      <c r="A151" s="8" t="s">
        <v>320</v>
      </c>
    </row>
    <row r="152" spans="1:1" ht="20.25" customHeight="1">
      <c r="A152" s="10" t="s">
        <v>189</v>
      </c>
    </row>
    <row r="153" spans="1:1">
      <c r="A153" s="8" t="s">
        <v>191</v>
      </c>
    </row>
    <row r="154" spans="1:1" ht="31.5">
      <c r="A154" s="10" t="s">
        <v>187</v>
      </c>
    </row>
    <row r="155" spans="1:1">
      <c r="A155" s="8" t="s">
        <v>188</v>
      </c>
    </row>
    <row r="157" spans="1:1">
      <c r="A157" s="319" t="s">
        <v>324</v>
      </c>
    </row>
    <row r="158" spans="1:1">
      <c r="A158" s="8" t="s">
        <v>325</v>
      </c>
    </row>
    <row r="159" spans="1:1">
      <c r="A159" s="8" t="s">
        <v>326</v>
      </c>
    </row>
    <row r="160" spans="1:1">
      <c r="A160" s="8" t="s">
        <v>327</v>
      </c>
    </row>
    <row r="161" spans="1:1">
      <c r="A161" s="8" t="s">
        <v>328</v>
      </c>
    </row>
    <row r="163" spans="1:1">
      <c r="A163" s="319" t="s">
        <v>301</v>
      </c>
    </row>
    <row r="164" spans="1:1">
      <c r="A164" s="8" t="s">
        <v>302</v>
      </c>
    </row>
    <row r="166" spans="1:1">
      <c r="A166" s="319" t="s">
        <v>296</v>
      </c>
    </row>
    <row r="167" spans="1:1" ht="31.5">
      <c r="A167" s="10" t="s">
        <v>297</v>
      </c>
    </row>
    <row r="168" spans="1:1">
      <c r="A168" s="8" t="s">
        <v>298</v>
      </c>
    </row>
    <row r="169" spans="1:1">
      <c r="A169" s="8" t="s">
        <v>300</v>
      </c>
    </row>
    <row r="170" spans="1:1">
      <c r="A170" s="8" t="s">
        <v>299</v>
      </c>
    </row>
    <row r="171" spans="1:1" ht="18" customHeight="1"/>
    <row r="172" spans="1:1" ht="48.75" customHeight="1">
      <c r="A172" s="8" t="s">
        <v>224</v>
      </c>
    </row>
    <row r="173" spans="1:1" ht="47.25">
      <c r="A173" s="10" t="s">
        <v>254</v>
      </c>
    </row>
    <row r="174" spans="1:1">
      <c r="A174" s="8" t="s">
        <v>225</v>
      </c>
    </row>
    <row r="175" spans="1:1">
      <c r="A175" s="8" t="s">
        <v>226</v>
      </c>
    </row>
    <row r="176" spans="1:1">
      <c r="A176" s="8" t="s">
        <v>255</v>
      </c>
    </row>
    <row r="177" spans="1:1">
      <c r="A177" s="8" t="s">
        <v>227</v>
      </c>
    </row>
    <row r="178" spans="1:1">
      <c r="A178" s="8" t="s">
        <v>228</v>
      </c>
    </row>
    <row r="179" spans="1:1">
      <c r="A179" s="8" t="s">
        <v>264</v>
      </c>
    </row>
    <row r="180" spans="1:1">
      <c r="A180" s="8" t="s">
        <v>229</v>
      </c>
    </row>
    <row r="181" spans="1:1">
      <c r="A181" s="8" t="s">
        <v>230</v>
      </c>
    </row>
    <row r="182" spans="1:1" ht="31.5">
      <c r="A182" s="10" t="s">
        <v>231</v>
      </c>
    </row>
    <row r="183" spans="1:1" ht="31.5">
      <c r="A183" s="10" t="s">
        <v>330</v>
      </c>
    </row>
    <row r="184" spans="1:1">
      <c r="A184" s="8" t="s">
        <v>232</v>
      </c>
    </row>
    <row r="185" spans="1:1">
      <c r="A185" s="8" t="s">
        <v>233</v>
      </c>
    </row>
    <row r="186" spans="1:1">
      <c r="A186" s="8" t="s">
        <v>256</v>
      </c>
    </row>
    <row r="187" spans="1:1">
      <c r="A187" s="8" t="s">
        <v>234</v>
      </c>
    </row>
    <row r="188" spans="1:1">
      <c r="A188" s="8" t="s">
        <v>257</v>
      </c>
    </row>
    <row r="189" spans="1:1" ht="31.5">
      <c r="A189" s="10" t="s">
        <v>258</v>
      </c>
    </row>
    <row r="190" spans="1:1">
      <c r="A190" s="8" t="s">
        <v>240</v>
      </c>
    </row>
    <row r="191" spans="1:1">
      <c r="A191" s="8" t="s">
        <v>241</v>
      </c>
    </row>
    <row r="192" spans="1:1" ht="31.5">
      <c r="A192" s="10" t="s">
        <v>242</v>
      </c>
    </row>
    <row r="193" spans="1:1">
      <c r="A193" s="8" t="s">
        <v>282</v>
      </c>
    </row>
    <row r="194" spans="1:1">
      <c r="A194" s="8" t="s">
        <v>281</v>
      </c>
    </row>
    <row r="195" spans="1:1">
      <c r="A195" s="8" t="s">
        <v>283</v>
      </c>
    </row>
    <row r="196" spans="1:1">
      <c r="A196" s="8" t="s">
        <v>284</v>
      </c>
    </row>
    <row r="197" spans="1:1">
      <c r="A197" s="8" t="s">
        <v>285</v>
      </c>
    </row>
    <row r="198" spans="1:1">
      <c r="A198" s="8" t="s">
        <v>286</v>
      </c>
    </row>
    <row r="199" spans="1:1">
      <c r="A199" s="8" t="s">
        <v>287</v>
      </c>
    </row>
    <row r="200" spans="1:1">
      <c r="A200" s="8" t="s">
        <v>288</v>
      </c>
    </row>
    <row r="201" spans="1:1">
      <c r="A201" s="8" t="s">
        <v>289</v>
      </c>
    </row>
    <row r="202" spans="1:1">
      <c r="A202" s="8" t="s">
        <v>290</v>
      </c>
    </row>
    <row r="203" spans="1:1">
      <c r="A203" s="8" t="s">
        <v>291</v>
      </c>
    </row>
    <row r="204" spans="1:1">
      <c r="A204" s="8" t="s">
        <v>292</v>
      </c>
    </row>
    <row r="205" spans="1:1">
      <c r="A205" s="8" t="s">
        <v>293</v>
      </c>
    </row>
    <row r="206" spans="1:1">
      <c r="A206" s="8" t="s">
        <v>295</v>
      </c>
    </row>
    <row r="207" spans="1:1">
      <c r="A207" s="8" t="s">
        <v>294</v>
      </c>
    </row>
  </sheetData>
  <sheetProtection sheet="1"/>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B1:G92"/>
  <sheetViews>
    <sheetView topLeftCell="A19" workbookViewId="0">
      <selection activeCell="E21" sqref="E21"/>
    </sheetView>
  </sheetViews>
  <sheetFormatPr defaultRowHeight="15.75"/>
  <cols>
    <col min="1" max="1" width="8.88671875" style="82"/>
    <col min="2" max="2" width="24.44140625" style="22" customWidth="1"/>
    <col min="3" max="3" width="10.77734375" style="22" customWidth="1"/>
    <col min="4" max="4" width="5.77734375" style="22" customWidth="1"/>
    <col min="5" max="5" width="14" style="22" customWidth="1"/>
    <col min="6" max="7" width="13.77734375" style="22" customWidth="1"/>
    <col min="8" max="16384" width="8.88671875" style="82"/>
  </cols>
  <sheetData>
    <row r="1" spans="2:7">
      <c r="B1" s="21"/>
      <c r="C1" s="21"/>
      <c r="D1" s="21"/>
      <c r="E1" s="21"/>
      <c r="F1" s="21"/>
      <c r="G1" s="21">
        <f>inputPrYr!C5</f>
        <v>2014</v>
      </c>
    </row>
    <row r="2" spans="2:7">
      <c r="B2" s="21"/>
      <c r="C2" s="21"/>
      <c r="D2" s="23" t="s">
        <v>86</v>
      </c>
      <c r="E2" s="21"/>
      <c r="F2" s="21"/>
      <c r="G2" s="118"/>
    </row>
    <row r="3" spans="2:7">
      <c r="B3" s="810" t="str">
        <f>CONCATENATE("To the Clerk of ",inputPrYr!D3,", State of Kansas")</f>
        <v>To the Clerk of SHERIDAN COUNTY, State of Kansas</v>
      </c>
      <c r="C3" s="800"/>
      <c r="D3" s="800"/>
      <c r="E3" s="800"/>
      <c r="F3" s="800"/>
      <c r="G3" s="800"/>
    </row>
    <row r="4" spans="2:7">
      <c r="B4" s="33" t="s">
        <v>628</v>
      </c>
      <c r="C4" s="32"/>
      <c r="D4" s="32"/>
      <c r="E4" s="32"/>
      <c r="F4" s="32"/>
      <c r="G4" s="32"/>
    </row>
    <row r="5" spans="2:7">
      <c r="B5" s="808" t="str">
        <f>(inputPrYr!D2)</f>
        <v>CITY OF HOXIE</v>
      </c>
      <c r="C5" s="809"/>
      <c r="D5" s="809"/>
      <c r="E5" s="809"/>
      <c r="F5" s="809"/>
      <c r="G5" s="809"/>
    </row>
    <row r="6" spans="2:7">
      <c r="B6" s="33" t="s">
        <v>338</v>
      </c>
      <c r="C6" s="32"/>
      <c r="D6" s="32"/>
      <c r="E6" s="32"/>
      <c r="F6" s="32"/>
      <c r="G6" s="32"/>
    </row>
    <row r="7" spans="2:7">
      <c r="B7" s="33" t="s">
        <v>0</v>
      </c>
      <c r="C7" s="32"/>
      <c r="D7" s="32"/>
      <c r="E7" s="32"/>
      <c r="F7" s="32"/>
      <c r="G7" s="32"/>
    </row>
    <row r="8" spans="2:7">
      <c r="B8" s="33" t="str">
        <f>CONCATENATE("maximum expenditures for the various funds for the year ",G1,"; and")</f>
        <v>maximum expenditures for the various funds for the year 2014; and</v>
      </c>
      <c r="C8" s="32"/>
      <c r="D8" s="32"/>
      <c r="E8" s="32"/>
      <c r="F8" s="32"/>
      <c r="G8" s="32"/>
    </row>
    <row r="9" spans="2:7">
      <c r="B9" s="33" t="str">
        <f>CONCATENATE("(3) the Amount(s) of ",G1-1," Ad Valorem Tax are within statutory limitations.")</f>
        <v>(3) the Amount(s) of 2013 Ad Valorem Tax are within statutory limitations.</v>
      </c>
      <c r="C9" s="32"/>
      <c r="D9" s="32"/>
      <c r="E9" s="32"/>
      <c r="F9" s="32"/>
      <c r="G9" s="32"/>
    </row>
    <row r="10" spans="2:7">
      <c r="B10" s="21"/>
      <c r="C10" s="21"/>
      <c r="D10" s="21"/>
      <c r="E10" s="119" t="str">
        <f>CONCATENATE("",G1," Adopted Budget")</f>
        <v>2014 Adopted Budget</v>
      </c>
      <c r="F10" s="120"/>
      <c r="G10" s="121"/>
    </row>
    <row r="11" spans="2:7" ht="21" customHeight="1">
      <c r="B11" s="21"/>
      <c r="C11" s="21"/>
      <c r="D11" s="122"/>
      <c r="E11" s="123" t="s">
        <v>1</v>
      </c>
      <c r="F11" s="124" t="s">
        <v>183</v>
      </c>
      <c r="G11" s="124" t="s">
        <v>2</v>
      </c>
    </row>
    <row r="12" spans="2:7">
      <c r="B12" s="28"/>
      <c r="C12" s="21"/>
      <c r="D12" s="124" t="s">
        <v>3</v>
      </c>
      <c r="E12" s="125" t="s">
        <v>267</v>
      </c>
      <c r="F12" s="126" t="str">
        <f>CONCATENATE("",G1-1," Ad")</f>
        <v>2013 Ad</v>
      </c>
      <c r="G12" s="125" t="s">
        <v>4</v>
      </c>
    </row>
    <row r="13" spans="2:7">
      <c r="B13" s="127" t="s">
        <v>5</v>
      </c>
      <c r="C13" s="54"/>
      <c r="D13" s="128" t="s">
        <v>6</v>
      </c>
      <c r="E13" s="128" t="s">
        <v>636</v>
      </c>
      <c r="F13" s="129" t="s">
        <v>184</v>
      </c>
      <c r="G13" s="128" t="s">
        <v>7</v>
      </c>
    </row>
    <row r="14" spans="2:7">
      <c r="B14" s="130" t="str">
        <f>CONCATENATE("Computation to Determine Limit for ",G1,"")</f>
        <v>Computation to Determine Limit for 2014</v>
      </c>
      <c r="C14" s="76"/>
      <c r="D14" s="131">
        <v>2</v>
      </c>
      <c r="E14" s="132"/>
      <c r="F14" s="132"/>
      <c r="G14" s="132"/>
    </row>
    <row r="15" spans="2:7">
      <c r="B15" s="130" t="s">
        <v>809</v>
      </c>
      <c r="C15" s="54"/>
      <c r="D15" s="128">
        <v>3</v>
      </c>
      <c r="E15" s="125"/>
      <c r="F15" s="125"/>
      <c r="G15" s="125"/>
    </row>
    <row r="16" spans="2:7">
      <c r="B16" s="130" t="s">
        <v>150</v>
      </c>
      <c r="C16" s="54"/>
      <c r="D16" s="128">
        <v>4</v>
      </c>
      <c r="E16" s="125"/>
      <c r="F16" s="125"/>
      <c r="G16" s="125"/>
    </row>
    <row r="17" spans="2:7">
      <c r="B17" s="130" t="s">
        <v>8</v>
      </c>
      <c r="C17" s="76"/>
      <c r="D17" s="131">
        <v>5</v>
      </c>
      <c r="E17" s="133"/>
      <c r="F17" s="133"/>
      <c r="G17" s="133"/>
    </row>
    <row r="18" spans="2:7">
      <c r="B18" s="130" t="s">
        <v>9</v>
      </c>
      <c r="C18" s="76"/>
      <c r="D18" s="131">
        <v>6</v>
      </c>
      <c r="E18" s="133"/>
      <c r="F18" s="133"/>
      <c r="G18" s="133"/>
    </row>
    <row r="19" spans="2:7">
      <c r="B19" s="141" t="str">
        <f>IF(inputPrYr!D19="","","Computation to Determine State Library Grant")</f>
        <v>Computation to Determine State Library Grant</v>
      </c>
      <c r="C19" s="76"/>
      <c r="D19" s="139">
        <f>IF(inputPrYr!D19="","",'Library Grant '!F40)</f>
        <v>7</v>
      </c>
      <c r="E19" s="133"/>
      <c r="F19" s="133"/>
      <c r="G19" s="133"/>
    </row>
    <row r="20" spans="2:7">
      <c r="B20" s="134" t="s">
        <v>10</v>
      </c>
      <c r="C20" s="135" t="s">
        <v>11</v>
      </c>
      <c r="D20" s="136"/>
      <c r="E20" s="68"/>
      <c r="F20" s="68"/>
      <c r="G20" s="68"/>
    </row>
    <row r="21" spans="2:7">
      <c r="B21" s="46" t="str">
        <f>inputPrYr!B17</f>
        <v>General</v>
      </c>
      <c r="C21" s="137" t="str">
        <f>IF(inputPrYr!C17&gt;0,(inputPrYr!C17),"  ")</f>
        <v>12-101a</v>
      </c>
      <c r="D21" s="131">
        <f>IF(general!D59&gt;0,general!D59,"")</f>
        <v>8</v>
      </c>
      <c r="E21" s="517">
        <f>IF(general!$E$111&lt;&gt;0,general!$E$111,"  ")</f>
        <v>489535</v>
      </c>
      <c r="F21" s="558">
        <f>IF(general!$E$118&lt;&gt;0,general!$E$118,0)</f>
        <v>86176</v>
      </c>
      <c r="G21" s="557" t="str">
        <f>IF($G$50=0,"",ROUND(F21/$G$50*1000,3))</f>
        <v/>
      </c>
    </row>
    <row r="22" spans="2:7">
      <c r="B22" s="67" t="str">
        <f>IF(inputPrYr!$B18&gt;"  ",(inputPrYr!$B18),"  ")</f>
        <v>Debt Service</v>
      </c>
      <c r="C22" s="137" t="str">
        <f>IF(inputPrYr!C18&gt;0,(inputPrYr!C18),"  ")</f>
        <v>10-113</v>
      </c>
      <c r="D22" s="131">
        <f>IF('DebtSvs-Library'!C83=0,"",'DebtSvs-Library'!C83)</f>
        <v>9</v>
      </c>
      <c r="E22" s="517">
        <f>IF('DebtSvs-Library'!E33&lt;&gt;0,'DebtSvs-Library'!E33,"  ")</f>
        <v>72788</v>
      </c>
      <c r="F22" s="558">
        <f>IF('DebtSvs-Library'!E40&lt;&gt;0,'DebtSvs-Library'!E40,0)</f>
        <v>20181.079999999987</v>
      </c>
      <c r="G22" s="557" t="str">
        <f>IF($G$50=0,"",ROUND(F22/$G$50*1000,3))</f>
        <v/>
      </c>
    </row>
    <row r="23" spans="2:7">
      <c r="B23" s="67" t="str">
        <f>IF(inputPrYr!$B19&gt;"  ",(inputPrYr!$B19),"  ")</f>
        <v>Library</v>
      </c>
      <c r="C23" s="137" t="str">
        <f>IF(inputPrYr!C19&gt;0,(inputPrYr!C19),"  ")</f>
        <v>12-1220</v>
      </c>
      <c r="D23" s="131">
        <f>IF('DebtSvs-Library'!C83=0,"",'DebtSvs-Library'!C83)</f>
        <v>9</v>
      </c>
      <c r="E23" s="517">
        <f>IF('DebtSvs-Library'!E73&lt;&gt;0,'DebtSvs-Library'!E73,"  ")</f>
        <v>37571</v>
      </c>
      <c r="F23" s="558">
        <f>IF('DebtSvs-Library'!E80&lt;&gt;0,'DebtSvs-Library'!E80,0)</f>
        <v>30075</v>
      </c>
      <c r="G23" s="557" t="str">
        <f>IF($G$50=0,"",ROUND(F23/$G$50*1000,3))</f>
        <v/>
      </c>
    </row>
    <row r="24" spans="2:7">
      <c r="B24" s="67" t="str">
        <f>IF(inputPrYr!$B21&gt;"  ",(inputPrYr!$B21),"  ")</f>
        <v>Employee Benefits</v>
      </c>
      <c r="C24" s="137" t="str">
        <f>IF(inputPrYr!C21&gt;0,(inputPrYr!C21),"  ")</f>
        <v>12-16, 102</v>
      </c>
      <c r="D24" s="131">
        <f>IF('Emp Ben-St Res'!C83&gt;0,'Emp Ben-St Res'!C83,"  ")</f>
        <v>10</v>
      </c>
      <c r="E24" s="517">
        <f>IF('Emp Ben-St Res'!$E$33&gt;0,'Emp Ben-St Res'!$E$33,"  ")</f>
        <v>167017</v>
      </c>
      <c r="F24" s="558">
        <f>IF('Emp Ben-St Res'!$E$40&lt;&gt;0,'Emp Ben-St Res'!$E$40,0)</f>
        <v>106313</v>
      </c>
      <c r="G24" s="557" t="str">
        <f t="shared" ref="G24:G33" si="0">IF($G$50=0,"",ROUND(F24/$G$50*1000,3))</f>
        <v/>
      </c>
    </row>
    <row r="25" spans="2:7">
      <c r="B25" s="67" t="str">
        <f>IF(inputPrYr!$B22&gt;"  ",(inputPrYr!$B22),"  ")</f>
        <v>Street Resurfacing</v>
      </c>
      <c r="C25" s="137" t="str">
        <f>IF(inputPrYr!C22&gt;0,(inputPrYr!C22),"  ")</f>
        <v>14-353</v>
      </c>
      <c r="D25" s="131">
        <f>IF('Emp Ben-St Res'!C83&gt;0,'Emp Ben-St Res'!C83,"  ")</f>
        <v>10</v>
      </c>
      <c r="E25" s="517">
        <f>IF('Emp Ben-St Res'!$E$73&gt;0,'Emp Ben-St Res'!$E$73,"  ")</f>
        <v>212761</v>
      </c>
      <c r="F25" s="558">
        <f>IF('Emp Ben-St Res'!$E$80&lt;&gt;0,'Emp Ben-St Res'!$E$80,0)</f>
        <v>56065</v>
      </c>
      <c r="G25" s="557" t="str">
        <f t="shared" si="0"/>
        <v/>
      </c>
    </row>
    <row r="26" spans="2:7">
      <c r="B26" s="67" t="str">
        <f>IF(inputPrYr!$B23&gt;"  ",(inputPrYr!$B23),"  ")</f>
        <v>Airport</v>
      </c>
      <c r="C26" s="137" t="str">
        <f>IF(inputPrYr!C23&gt;0,(inputPrYr!C23),"  ")</f>
        <v>3-113</v>
      </c>
      <c r="D26" s="131">
        <f>IF(Airport!C83&gt;0,Airport!C83,"  ")</f>
        <v>11</v>
      </c>
      <c r="E26" s="517">
        <f>IF(Airport!$E$33&gt;0,Airport!$E$33,"  ")</f>
        <v>22978</v>
      </c>
      <c r="F26" s="558">
        <f>IF(Airport!$E$40&lt;&gt;0,Airport!$E$40,0)</f>
        <v>3302</v>
      </c>
      <c r="G26" s="557" t="str">
        <f t="shared" si="0"/>
        <v/>
      </c>
    </row>
    <row r="27" spans="2:7">
      <c r="B27" s="67" t="str">
        <f>IF(inputPrYr!$B24&gt;"  ",(inputPrYr!$B24),"  ")</f>
        <v xml:space="preserve">  </v>
      </c>
      <c r="C27" s="137" t="str">
        <f>IF(inputPrYr!C24&gt;0,(inputPrYr!C24),"  ")</f>
        <v xml:space="preserve">  </v>
      </c>
      <c r="D27" s="131">
        <f>IF(Airport!C83&gt;0,Airport!C83,"  ")</f>
        <v>11</v>
      </c>
      <c r="E27" s="517" t="str">
        <f>IF(Airport!$E$73&gt;0,Airport!$E$73,"  ")</f>
        <v xml:space="preserve">  </v>
      </c>
      <c r="F27" s="558">
        <f>IF(Airport!$E$80&lt;&gt;0,Airport!$E$80,0)</f>
        <v>0</v>
      </c>
      <c r="G27" s="557" t="str">
        <f t="shared" si="0"/>
        <v/>
      </c>
    </row>
    <row r="28" spans="2:7">
      <c r="B28" s="67" t="str">
        <f>IF(inputPrYr!$B25&gt;"  ",(inputPrYr!$B25),"  ")</f>
        <v xml:space="preserve">  </v>
      </c>
      <c r="C28" s="137" t="str">
        <f>IF(inputPrYr!C25&gt;0,(inputPrYr!C25),"  ")</f>
        <v xml:space="preserve">  </v>
      </c>
      <c r="D28" s="131" t="str">
        <f>IF('levy page11'!C83&gt;0,'levy page11'!C83,"  ")</f>
        <v xml:space="preserve">  </v>
      </c>
      <c r="E28" s="517" t="str">
        <f>IF('levy page11'!$E$33&gt;0,'levy page11'!$E$33,"  ")</f>
        <v xml:space="preserve">  </v>
      </c>
      <c r="F28" s="558">
        <f>IF('levy page11'!$E$40&lt;&gt;0,'levy page11'!$E$40,0)</f>
        <v>0</v>
      </c>
      <c r="G28" s="557" t="str">
        <f t="shared" si="0"/>
        <v/>
      </c>
    </row>
    <row r="29" spans="2:7">
      <c r="B29" s="67" t="str">
        <f>IF(inputPrYr!$B26&gt;"  ",(inputPrYr!$B26),"  ")</f>
        <v xml:space="preserve">  </v>
      </c>
      <c r="C29" s="137" t="str">
        <f>IF(inputPrYr!C26&gt;0,(inputPrYr!C26),"  ")</f>
        <v xml:space="preserve">  </v>
      </c>
      <c r="D29" s="131" t="str">
        <f>IF('levy page11'!C83&gt;0,'levy page11'!C83,"  ")</f>
        <v xml:space="preserve">  </v>
      </c>
      <c r="E29" s="517" t="str">
        <f>IF('levy page11'!$E$73&gt;0,'levy page11'!$E$73,"  ")</f>
        <v xml:space="preserve">  </v>
      </c>
      <c r="F29" s="558">
        <f>IF('levy page11'!$E$80&lt;&gt;0,'levy page11'!$E$80,0)</f>
        <v>0</v>
      </c>
      <c r="G29" s="557" t="str">
        <f t="shared" si="0"/>
        <v/>
      </c>
    </row>
    <row r="30" spans="2:7">
      <c r="B30" s="67" t="str">
        <f>IF(inputPrYr!$B27&gt;"  ",(inputPrYr!$B27),"  ")</f>
        <v xml:space="preserve">  </v>
      </c>
      <c r="C30" s="137" t="str">
        <f>IF(inputPrYr!C27&gt;0,(inputPrYr!C27),"  ")</f>
        <v xml:space="preserve">  </v>
      </c>
      <c r="D30" s="131" t="str">
        <f>IF('levy page12'!C83&gt;0,'levy page12'!C83,"  ")</f>
        <v xml:space="preserve">  </v>
      </c>
      <c r="E30" s="517" t="str">
        <f>IF('levy page12'!$E$33&gt;0,'levy page12'!$E$33,"  ")</f>
        <v xml:space="preserve">  </v>
      </c>
      <c r="F30" s="558">
        <f>IF('levy page12'!$E$40&lt;&gt;0,'levy page12'!$E$40,0)</f>
        <v>0</v>
      </c>
      <c r="G30" s="557" t="str">
        <f t="shared" si="0"/>
        <v/>
      </c>
    </row>
    <row r="31" spans="2:7">
      <c r="B31" s="67" t="str">
        <f>IF(inputPrYr!$B28&gt;"  ",(inputPrYr!$B28),"  ")</f>
        <v xml:space="preserve">  </v>
      </c>
      <c r="C31" s="137" t="str">
        <f>IF(inputPrYr!C28&gt;0,(inputPrYr!C28),"  ")</f>
        <v xml:space="preserve">  </v>
      </c>
      <c r="D31" s="131" t="str">
        <f>IF('levy page12'!C83&gt;0,'levy page12'!C83,"  ")</f>
        <v xml:space="preserve">  </v>
      </c>
      <c r="E31" s="517" t="str">
        <f>IF('levy page12'!$E$73&gt;0,'levy page12'!$E$73,"  ")</f>
        <v xml:space="preserve">  </v>
      </c>
      <c r="F31" s="558">
        <f>IF('levy page12'!$E$80&lt;&gt;0,'levy page12'!$E$80,0)</f>
        <v>0</v>
      </c>
      <c r="G31" s="557" t="str">
        <f t="shared" si="0"/>
        <v/>
      </c>
    </row>
    <row r="32" spans="2:7">
      <c r="B32" s="67" t="str">
        <f>IF(inputPrYr!$B29&gt;"  ",(inputPrYr!$B29),"  ")</f>
        <v xml:space="preserve">  </v>
      </c>
      <c r="C32" s="137" t="str">
        <f>IF(inputPrYr!C29&gt;0,(inputPrYr!C29),"  ")</f>
        <v xml:space="preserve">  </v>
      </c>
      <c r="D32" s="131" t="str">
        <f>IF('levy page13'!C83&gt;0,'levy page13'!C83,"  ")</f>
        <v xml:space="preserve">  </v>
      </c>
      <c r="E32" s="517" t="str">
        <f>IF('levy page13'!$E$33&gt;0,'levy page13'!$E$33,"  ")</f>
        <v xml:space="preserve">  </v>
      </c>
      <c r="F32" s="558">
        <f>IF('levy page13'!$E$40&lt;&gt;0,'levy page13'!$E$40,0)</f>
        <v>0</v>
      </c>
      <c r="G32" s="557" t="str">
        <f t="shared" si="0"/>
        <v/>
      </c>
    </row>
    <row r="33" spans="2:7">
      <c r="B33" s="67" t="str">
        <f>IF(inputPrYr!$B30&gt;"  ",(inputPrYr!$B30),"  ")</f>
        <v xml:space="preserve">  </v>
      </c>
      <c r="C33" s="137" t="str">
        <f>IF(inputPrYr!C30&gt;0,(inputPrYr!C30),"  ")</f>
        <v xml:space="preserve">  </v>
      </c>
      <c r="D33" s="131" t="str">
        <f>IF('levy page13'!C83&gt;0,'levy page13'!C83,"  ")</f>
        <v xml:space="preserve">  </v>
      </c>
      <c r="E33" s="517" t="str">
        <f>IF('levy page13'!$E$73&gt;0,'levy page13'!$E$73,"  ")</f>
        <v xml:space="preserve">  </v>
      </c>
      <c r="F33" s="558">
        <f>IF('levy page13'!$E$80&lt;&gt;0,'levy page13'!$E$80,0)</f>
        <v>0</v>
      </c>
      <c r="G33" s="557" t="str">
        <f t="shared" si="0"/>
        <v/>
      </c>
    </row>
    <row r="34" spans="2:7">
      <c r="B34" s="138" t="str">
        <f>IF(inputPrYr!$B34&gt;"  ",(inputPrYr!$B34),"  ")</f>
        <v>Special Highway</v>
      </c>
      <c r="C34" s="76"/>
      <c r="D34" s="139">
        <f>IF('Sp Hwy-Sp Parks'!C65&gt;0,'Sp Hwy-Sp Parks'!C65,"  ")</f>
        <v>12</v>
      </c>
      <c r="E34" s="517">
        <f>IF('Sp Hwy-Sp Parks'!$E$28&gt;0,'Sp Hwy-Sp Parks'!$E$28,"  ")</f>
        <v>32318</v>
      </c>
      <c r="F34" s="517"/>
      <c r="G34" s="561"/>
    </row>
    <row r="35" spans="2:7">
      <c r="B35" s="138" t="str">
        <f>IF(inputPrYr!$B35&gt;"  ",(inputPrYr!$B35),"  ")</f>
        <v>Special Parks &amp; Recreation</v>
      </c>
      <c r="C35" s="76"/>
      <c r="D35" s="139">
        <f>IF('Sp Hwy-Sp Parks'!C65&gt;0,'Sp Hwy-Sp Parks'!C65,"  ")</f>
        <v>12</v>
      </c>
      <c r="E35" s="517">
        <f>IF('Sp Hwy-Sp Parks'!$E$59&gt;0,'Sp Hwy-Sp Parks'!$E$59,"  ")</f>
        <v>3851</v>
      </c>
      <c r="F35" s="517"/>
      <c r="G35" s="561"/>
    </row>
    <row r="36" spans="2:7">
      <c r="B36" s="138" t="str">
        <f>IF(inputPrYr!$B36&gt;"  ",(inputPrYr!$B36),"  ")</f>
        <v>Fuller Cemetery</v>
      </c>
      <c r="C36" s="76"/>
      <c r="D36" s="139">
        <f>IF('Fuller-Refuse'!C65&gt;0,'Fuller-Refuse'!C65,"  ")</f>
        <v>13</v>
      </c>
      <c r="E36" s="517">
        <f>IF('Fuller-Refuse'!$E$28&gt;0,'Fuller-Refuse'!$E$28,"  ")</f>
        <v>53158</v>
      </c>
      <c r="F36" s="517"/>
      <c r="G36" s="561"/>
    </row>
    <row r="37" spans="2:7">
      <c r="B37" s="138" t="str">
        <f>IF(inputPrYr!$B37&gt;"  ",(inputPrYr!$B37),"  ")</f>
        <v>Refuse Utiltiy</v>
      </c>
      <c r="C37" s="76"/>
      <c r="D37" s="139">
        <f>IF('Fuller-Refuse'!C65&gt;0,'Fuller-Refuse'!C65,"  ")</f>
        <v>13</v>
      </c>
      <c r="E37" s="517">
        <f>IF('Fuller-Refuse'!$E$59&gt;0,'Fuller-Refuse'!$E$59,"  ")</f>
        <v>176800</v>
      </c>
      <c r="F37" s="517"/>
      <c r="G37" s="561"/>
    </row>
    <row r="38" spans="2:7">
      <c r="B38" s="138" t="str">
        <f>IF(inputPrYr!$B38&gt;"  ",(inputPrYr!$B38),"  ")</f>
        <v xml:space="preserve">  </v>
      </c>
      <c r="C38" s="76"/>
      <c r="D38" s="139">
        <f>IF('Bed Tax'!C65&gt;0,'Bed Tax'!C65,"  ")</f>
        <v>14</v>
      </c>
      <c r="E38" s="517" t="str">
        <f>IF('Bed Tax'!$E$28&gt;0,'Bed Tax'!$E$28,"  ")</f>
        <v xml:space="preserve">  </v>
      </c>
      <c r="F38" s="517"/>
      <c r="G38" s="561"/>
    </row>
    <row r="39" spans="2:7">
      <c r="B39" s="140" t="str">
        <f>IF(inputPrYr!$B39&gt;"  ",(inputPrYr!$B39),"  ")</f>
        <v>Bed Tax</v>
      </c>
      <c r="C39" s="76"/>
      <c r="D39" s="139">
        <f>IF('Bed Tax'!C65&gt;0,'Bed Tax'!C65,"  ")</f>
        <v>14</v>
      </c>
      <c r="E39" s="517">
        <f>IF('Bed Tax'!$E$59&gt;0,'Bed Tax'!$E$59,"  ")</f>
        <v>5000</v>
      </c>
      <c r="F39" s="517"/>
      <c r="G39" s="561"/>
    </row>
    <row r="40" spans="2:7">
      <c r="B40" s="138" t="str">
        <f>IF(inputPrYr!$B40&gt;"  ",(inputPrYr!$B40),"  ")</f>
        <v>Water Utiltiy</v>
      </c>
      <c r="C40" s="76"/>
      <c r="D40" s="139">
        <f>IF(Water!C66&gt;0,Water!C66,"  ")</f>
        <v>15</v>
      </c>
      <c r="E40" s="517">
        <f>IF(Water!$E$28&gt;0,Water!$E$28,"  ")</f>
        <v>354100</v>
      </c>
      <c r="F40" s="517"/>
      <c r="G40" s="561"/>
    </row>
    <row r="41" spans="2:7">
      <c r="B41" s="138" t="str">
        <f>IF(inputPrYr!$B41&gt;"  ",(inputPrYr!$B41),"  ")</f>
        <v xml:space="preserve">  </v>
      </c>
      <c r="C41" s="76"/>
      <c r="D41" s="139">
        <f>IF(Water!C66&gt;0,Water!C66,"  ")</f>
        <v>15</v>
      </c>
      <c r="E41" s="517" t="str">
        <f>IF(Water!$E$60&gt;0,Water!$E$60,"  ")</f>
        <v xml:space="preserve">  </v>
      </c>
      <c r="F41" s="517"/>
      <c r="G41" s="561"/>
    </row>
    <row r="42" spans="2:7">
      <c r="B42" s="138" t="str">
        <f>IF(inputPrYr!$B44&gt;"  ",(inputPrYr!$B44),"  ")</f>
        <v xml:space="preserve">  </v>
      </c>
      <c r="C42" s="73"/>
      <c r="D42" s="139" t="str">
        <f>IF(SinNoLevy18!$C$53&gt;0,SinNoLevy18!$C$53,"  ")</f>
        <v xml:space="preserve">  </v>
      </c>
      <c r="E42" s="517" t="str">
        <f>IF(SinNoLevy18!$E$47&gt;0,SinNoLevy18!$E$47,"  ")</f>
        <v xml:space="preserve">  </v>
      </c>
      <c r="F42" s="517"/>
      <c r="G42" s="561"/>
    </row>
    <row r="43" spans="2:7">
      <c r="B43" s="138" t="str">
        <f>IF(inputPrYr!$B45&gt;"  ",(inputPrYr!$B45),"  ")</f>
        <v xml:space="preserve">  </v>
      </c>
      <c r="C43" s="73"/>
      <c r="D43" s="139" t="str">
        <f>IF(SinNoLevy19!$C$53&gt;0,SinNoLevy19!$C$53,"  ")</f>
        <v xml:space="preserve">  </v>
      </c>
      <c r="E43" s="517" t="str">
        <f>IF(SinNoLevy19!$E$47&gt;0,SinNoLevy19!$E$47,"  ")</f>
        <v xml:space="preserve">  </v>
      </c>
      <c r="F43" s="517"/>
      <c r="G43" s="561"/>
    </row>
    <row r="44" spans="2:7">
      <c r="B44" s="138" t="str">
        <f>IF(inputPrYr!$B46&gt;"  ",(inputPrYr!$B46),"  ")</f>
        <v xml:space="preserve">  </v>
      </c>
      <c r="C44" s="73"/>
      <c r="D44" s="139" t="str">
        <f>IF(SinNoLevy20!$C$53&gt;0,SinNoLevy20!$C$53,"  ")</f>
        <v xml:space="preserve">  </v>
      </c>
      <c r="E44" s="517" t="str">
        <f>IF(SinNoLevy20!$E$47&gt;0,SinNoLevy20!$E$47,"  ")</f>
        <v xml:space="preserve">  </v>
      </c>
      <c r="F44" s="517"/>
      <c r="G44" s="561"/>
    </row>
    <row r="45" spans="2:7">
      <c r="B45" s="138" t="str">
        <f>IF(inputPrYr!$B47&gt;"  ",(inputPrYr!$B47),"  ")</f>
        <v xml:space="preserve">  </v>
      </c>
      <c r="C45" s="73"/>
      <c r="D45" s="139" t="str">
        <f>IF(SinNoLevy21!$C$53&gt;0,SinNoLevy21!$C$53,"  ")</f>
        <v xml:space="preserve">  </v>
      </c>
      <c r="E45" s="517" t="str">
        <f>IF(SinNoLevy21!$E$47&gt;0,SinNoLevy21!$E$47,"  ")</f>
        <v xml:space="preserve">  </v>
      </c>
      <c r="F45" s="517"/>
      <c r="G45" s="561"/>
    </row>
    <row r="46" spans="2:7">
      <c r="B46" s="138" t="str">
        <f>IF(inputPrYr!$B51&gt;"  ",('Cap Imp-Eq Res'!$A3),"  ")</f>
        <v>Non-Budgeted Funds-A</v>
      </c>
      <c r="C46" s="73"/>
      <c r="D46" s="139">
        <f>IF('Cap Imp-Eq Res'!F33&gt;0,'Cap Imp-Eq Res'!F33,"  ")</f>
        <v>16</v>
      </c>
      <c r="E46" s="517"/>
      <c r="F46" s="517"/>
      <c r="G46" s="561"/>
    </row>
    <row r="47" spans="2:7" ht="16.5" thickBot="1">
      <c r="B47" s="138" t="str">
        <f>IF(inputPrYr!$B57&gt;"  ",(NonBudB!$A3),"  ")</f>
        <v xml:space="preserve">  </v>
      </c>
      <c r="C47" s="73"/>
      <c r="D47" s="139" t="str">
        <f>IF(NonBudB!F33&gt;0,NonBudB!F33,"  ")</f>
        <v xml:space="preserve">  </v>
      </c>
      <c r="E47" s="517"/>
      <c r="F47" s="517"/>
      <c r="G47" s="561"/>
    </row>
    <row r="48" spans="2:7" ht="16.5" thickBot="1">
      <c r="B48" s="372" t="s">
        <v>758</v>
      </c>
      <c r="C48" s="73"/>
      <c r="D48" s="227" t="s">
        <v>13</v>
      </c>
      <c r="E48" s="560">
        <f>SUM(E21:E47)</f>
        <v>1627877</v>
      </c>
      <c r="F48" s="560">
        <f>SUM(F21:F47)</f>
        <v>302112.07999999996</v>
      </c>
      <c r="G48" s="559" t="str">
        <f>IF(SUM(G21:G47)=0,"",SUM(G21:G47))</f>
        <v/>
      </c>
    </row>
    <row r="49" spans="2:7" ht="16.5" thickTop="1">
      <c r="B49" s="143" t="s">
        <v>247</v>
      </c>
      <c r="C49" s="144"/>
      <c r="D49" s="145"/>
      <c r="E49" s="514"/>
      <c r="F49" s="515" t="str">
        <f>IF(F48&gt;computation!J40,"Yes","No")</f>
        <v>No</v>
      </c>
      <c r="G49" s="548" t="s">
        <v>154</v>
      </c>
    </row>
    <row r="50" spans="2:7">
      <c r="B50" s="130" t="s">
        <v>246</v>
      </c>
      <c r="C50" s="76"/>
      <c r="D50" s="131">
        <f>summ!D61</f>
        <v>17</v>
      </c>
      <c r="E50" s="142"/>
      <c r="F50" s="21"/>
      <c r="G50" s="381"/>
    </row>
    <row r="51" spans="2:7">
      <c r="B51" s="130" t="s">
        <v>271</v>
      </c>
      <c r="C51" s="76"/>
      <c r="D51" s="131">
        <f>IF(nhood!C40&gt;0,nhood!C40,"")</f>
        <v>18</v>
      </c>
      <c r="E51" s="142"/>
      <c r="F51" s="21"/>
      <c r="G51" s="813" t="str">
        <f>CONCATENATE("Nov 1, ",G1-1," Total Assessed Valuation")</f>
        <v>Nov 1, 2013 Total Assessed Valuation</v>
      </c>
    </row>
    <row r="52" spans="2:7">
      <c r="B52" s="376"/>
      <c r="C52" s="377"/>
      <c r="D52" s="378"/>
      <c r="E52" s="374"/>
      <c r="F52" s="375"/>
      <c r="G52" s="814"/>
    </row>
    <row r="53" spans="2:7">
      <c r="B53" s="60" t="s">
        <v>14</v>
      </c>
      <c r="C53" s="59"/>
      <c r="D53" s="21"/>
      <c r="E53" s="373"/>
      <c r="F53" s="59"/>
      <c r="G53" s="59"/>
    </row>
    <row r="54" spans="2:7">
      <c r="B54" s="330"/>
      <c r="C54" s="59"/>
      <c r="D54" s="59" t="s">
        <v>807</v>
      </c>
      <c r="E54" s="555"/>
      <c r="F54" s="59"/>
      <c r="G54" s="59"/>
    </row>
    <row r="55" spans="2:7">
      <c r="B55" s="329"/>
      <c r="C55" s="21"/>
      <c r="D55" s="60"/>
      <c r="E55" s="556"/>
      <c r="F55" s="59"/>
      <c r="G55" s="59"/>
    </row>
    <row r="56" spans="2:7">
      <c r="B56" s="60" t="s">
        <v>166</v>
      </c>
      <c r="C56" s="59"/>
      <c r="D56" s="59" t="s">
        <v>807</v>
      </c>
      <c r="E56" s="554"/>
      <c r="F56" s="256"/>
      <c r="G56" s="256"/>
    </row>
    <row r="57" spans="2:7">
      <c r="B57" s="330"/>
      <c r="C57" s="28"/>
      <c r="D57" s="59"/>
      <c r="E57" s="59"/>
      <c r="F57" s="21"/>
      <c r="G57" s="21"/>
    </row>
    <row r="58" spans="2:7">
      <c r="B58" s="329"/>
      <c r="C58" s="146"/>
      <c r="D58" s="59" t="s">
        <v>807</v>
      </c>
      <c r="E58" s="59"/>
      <c r="F58" s="256"/>
      <c r="G58" s="256"/>
    </row>
    <row r="59" spans="2:7">
      <c r="B59" s="60" t="s">
        <v>868</v>
      </c>
      <c r="C59" s="59"/>
      <c r="D59" s="21"/>
      <c r="E59" s="21"/>
      <c r="F59" s="21"/>
      <c r="G59" s="21"/>
    </row>
    <row r="60" spans="2:7">
      <c r="B60" s="330"/>
      <c r="C60" s="147"/>
      <c r="D60" s="59" t="s">
        <v>807</v>
      </c>
      <c r="E60" s="59"/>
      <c r="F60" s="256"/>
      <c r="G60" s="256"/>
    </row>
    <row r="61" spans="2:7">
      <c r="B61" s="29" t="s">
        <v>263</v>
      </c>
      <c r="C61" s="148">
        <f>G1-1</f>
        <v>2013</v>
      </c>
      <c r="D61" s="21"/>
      <c r="E61" s="21"/>
      <c r="F61" s="33"/>
      <c r="G61" s="21"/>
    </row>
    <row r="62" spans="2:7">
      <c r="B62" s="520"/>
      <c r="C62" s="21"/>
      <c r="D62" s="59" t="s">
        <v>807</v>
      </c>
      <c r="E62" s="59"/>
      <c r="F62" s="59"/>
      <c r="G62" s="59"/>
    </row>
    <row r="63" spans="2:7">
      <c r="B63" s="43" t="s">
        <v>16</v>
      </c>
      <c r="C63" s="21"/>
      <c r="D63" s="811" t="s">
        <v>15</v>
      </c>
      <c r="E63" s="812"/>
      <c r="F63" s="812"/>
      <c r="G63" s="812"/>
    </row>
    <row r="64" spans="2:7">
      <c r="B64" s="8"/>
    </row>
    <row r="74" spans="2:7" ht="15">
      <c r="B74" s="82"/>
      <c r="C74" s="82"/>
      <c r="D74" s="82"/>
      <c r="E74" s="82"/>
      <c r="F74" s="82"/>
      <c r="G74" s="82"/>
    </row>
    <row r="75" spans="2:7" ht="15">
      <c r="B75" s="82"/>
      <c r="C75" s="82"/>
      <c r="D75" s="82"/>
      <c r="E75" s="82"/>
      <c r="F75" s="82"/>
      <c r="G75" s="82"/>
    </row>
    <row r="76" spans="2:7" ht="15">
      <c r="B76" s="82"/>
      <c r="C76" s="82"/>
      <c r="D76" s="82"/>
      <c r="E76" s="82"/>
      <c r="F76" s="82"/>
      <c r="G76" s="82"/>
    </row>
    <row r="77" spans="2:7" ht="15">
      <c r="B77" s="82"/>
      <c r="C77" s="82"/>
      <c r="D77" s="82"/>
      <c r="E77" s="82"/>
      <c r="F77" s="82"/>
      <c r="G77" s="82"/>
    </row>
    <row r="78" spans="2:7" ht="15">
      <c r="B78" s="82"/>
      <c r="C78" s="82"/>
      <c r="D78" s="82"/>
      <c r="E78" s="82"/>
      <c r="F78" s="82"/>
      <c r="G78" s="82"/>
    </row>
    <row r="79" spans="2:7" ht="15">
      <c r="B79" s="82"/>
      <c r="C79" s="82"/>
      <c r="D79" s="82"/>
      <c r="E79" s="82"/>
      <c r="F79" s="82"/>
      <c r="G79" s="82"/>
    </row>
    <row r="80" spans="2:7" ht="15">
      <c r="B80" s="82"/>
      <c r="C80" s="82"/>
      <c r="D80" s="82"/>
      <c r="E80" s="82"/>
      <c r="F80" s="82"/>
      <c r="G80" s="82"/>
    </row>
    <row r="81" spans="2:7" ht="15">
      <c r="B81" s="82"/>
      <c r="C81" s="82"/>
      <c r="D81" s="82"/>
      <c r="E81" s="82"/>
      <c r="F81" s="82"/>
      <c r="G81" s="82"/>
    </row>
    <row r="82" spans="2:7" ht="15">
      <c r="B82" s="82"/>
      <c r="C82" s="82"/>
      <c r="D82" s="82"/>
      <c r="E82" s="82"/>
      <c r="F82" s="82"/>
      <c r="G82" s="82"/>
    </row>
    <row r="83" spans="2:7" ht="15">
      <c r="B83" s="82"/>
      <c r="C83" s="82"/>
      <c r="D83" s="82"/>
      <c r="E83" s="82"/>
      <c r="F83" s="82"/>
      <c r="G83" s="82"/>
    </row>
    <row r="84" spans="2:7" ht="15">
      <c r="B84" s="82"/>
      <c r="C84" s="82"/>
      <c r="D84" s="82"/>
      <c r="E84" s="82"/>
      <c r="F84" s="82"/>
      <c r="G84" s="82"/>
    </row>
    <row r="85" spans="2:7" ht="15">
      <c r="B85" s="82"/>
      <c r="C85" s="82"/>
      <c r="D85" s="82"/>
      <c r="E85" s="82"/>
      <c r="F85" s="82"/>
      <c r="G85" s="82"/>
    </row>
    <row r="86" spans="2:7" ht="15">
      <c r="B86" s="82"/>
      <c r="C86" s="82"/>
      <c r="D86" s="82"/>
      <c r="E86" s="82"/>
      <c r="F86" s="82"/>
      <c r="G86" s="82"/>
    </row>
    <row r="87" spans="2:7" ht="15">
      <c r="B87" s="82"/>
      <c r="C87" s="82"/>
      <c r="D87" s="82"/>
      <c r="E87" s="82"/>
      <c r="F87" s="82"/>
      <c r="G87" s="82"/>
    </row>
    <row r="88" spans="2:7" ht="15">
      <c r="B88" s="82"/>
      <c r="C88" s="82"/>
      <c r="D88" s="82"/>
      <c r="E88" s="82"/>
      <c r="F88" s="82"/>
      <c r="G88" s="82"/>
    </row>
    <row r="89" spans="2:7" ht="15">
      <c r="B89" s="82"/>
      <c r="C89" s="82"/>
      <c r="D89" s="82"/>
      <c r="E89" s="82"/>
      <c r="F89" s="82"/>
      <c r="G89" s="82"/>
    </row>
    <row r="92" spans="2:7">
      <c r="B92" s="8"/>
      <c r="C92" s="8"/>
      <c r="D92" s="8"/>
      <c r="E92" s="8"/>
      <c r="F92" s="8"/>
      <c r="G92" s="8"/>
    </row>
  </sheetData>
  <sheetProtection sheet="1"/>
  <mergeCells count="4">
    <mergeCell ref="B5:G5"/>
    <mergeCell ref="B3:G3"/>
    <mergeCell ref="D63:G63"/>
    <mergeCell ref="G51:G52"/>
  </mergeCells>
  <phoneticPr fontId="0" type="noConversion"/>
  <pageMargins left="1" right="0.5" top="0.75" bottom="0.5" header="0.5" footer="0.25"/>
  <pageSetup scale="75" orientation="portrait" blackAndWhite="1" r:id="rId1"/>
  <headerFooter alignWithMargins="0">
    <oddHeader xml:space="preserve">&amp;RState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topLeftCell="A16" zoomScale="85" workbookViewId="0">
      <selection activeCell="O18" sqref="O18"/>
    </sheetView>
  </sheetViews>
  <sheetFormatPr defaultRowHeight="15.95" customHeight="1"/>
  <cols>
    <col min="1" max="2" width="3.33203125" style="8" customWidth="1"/>
    <col min="3" max="3" width="31.33203125" style="8" customWidth="1"/>
    <col min="4" max="4" width="2.33203125" style="8" customWidth="1"/>
    <col min="5" max="5" width="15.77734375" style="8" customWidth="1"/>
    <col min="6" max="6" width="2" style="8" customWidth="1"/>
    <col min="7" max="7" width="15.77734375" style="8" customWidth="1"/>
    <col min="8" max="8" width="1.88671875" style="8" customWidth="1"/>
    <col min="9" max="9" width="1.77734375" style="8" customWidth="1"/>
    <col min="10" max="10" width="15.77734375" style="8" customWidth="1"/>
    <col min="11" max="16384" width="8.88671875" style="8"/>
  </cols>
  <sheetData>
    <row r="1" spans="1:10" ht="15.95" customHeight="1">
      <c r="A1" s="21"/>
      <c r="B1" s="21"/>
      <c r="C1" s="150" t="str">
        <f>inputPrYr!D2</f>
        <v>CITY OF HOXIE</v>
      </c>
      <c r="D1" s="21"/>
      <c r="E1" s="21"/>
      <c r="F1" s="21"/>
      <c r="G1" s="21"/>
      <c r="H1" s="21"/>
      <c r="I1" s="21"/>
      <c r="J1" s="21">
        <f>inputPrYr!$C$5</f>
        <v>2014</v>
      </c>
    </row>
    <row r="2" spans="1:10" ht="15.95" customHeight="1">
      <c r="A2" s="21"/>
      <c r="B2" s="21"/>
      <c r="C2" s="21"/>
      <c r="D2" s="21"/>
      <c r="E2" s="21"/>
      <c r="F2" s="21"/>
      <c r="G2" s="21"/>
      <c r="H2" s="21"/>
      <c r="I2" s="21"/>
      <c r="J2" s="21"/>
    </row>
    <row r="3" spans="1:10" ht="15.75">
      <c r="A3" s="818" t="str">
        <f>CONCATENATE("Computation to Determine Limit for ",J1,"")</f>
        <v>Computation to Determine Limit for 2014</v>
      </c>
      <c r="B3" s="819"/>
      <c r="C3" s="819"/>
      <c r="D3" s="819"/>
      <c r="E3" s="819"/>
      <c r="F3" s="819"/>
      <c r="G3" s="819"/>
      <c r="H3" s="819"/>
      <c r="I3" s="819"/>
      <c r="J3" s="819"/>
    </row>
    <row r="4" spans="1:10" ht="15.75">
      <c r="A4" s="21"/>
      <c r="B4" s="21"/>
      <c r="C4" s="21"/>
      <c r="D4" s="21"/>
      <c r="E4" s="819"/>
      <c r="F4" s="819"/>
      <c r="G4" s="819"/>
      <c r="H4" s="151"/>
      <c r="I4" s="21"/>
      <c r="J4" s="152" t="s">
        <v>99</v>
      </c>
    </row>
    <row r="5" spans="1:10" ht="15.75">
      <c r="A5" s="153" t="s">
        <v>100</v>
      </c>
      <c r="B5" s="21" t="str">
        <f>CONCATENATE("Total Tax Levy Amount in ",J1-1," Budget")</f>
        <v>Total Tax Levy Amount in 2013 Budget</v>
      </c>
      <c r="C5" s="21"/>
      <c r="D5" s="21"/>
      <c r="E5" s="50"/>
      <c r="F5" s="50"/>
      <c r="G5" s="50"/>
      <c r="H5" s="154" t="s">
        <v>101</v>
      </c>
      <c r="I5" s="50" t="s">
        <v>102</v>
      </c>
      <c r="J5" s="155">
        <f>inputPrYr!E31</f>
        <v>304504</v>
      </c>
    </row>
    <row r="6" spans="1:10" ht="15.75">
      <c r="A6" s="153" t="s">
        <v>103</v>
      </c>
      <c r="B6" s="21" t="str">
        <f>CONCATENATE("Debt Service Levy in ",J1-1," Budget")</f>
        <v>Debt Service Levy in 2013 Budget</v>
      </c>
      <c r="C6" s="21"/>
      <c r="D6" s="21"/>
      <c r="E6" s="50"/>
      <c r="F6" s="50"/>
      <c r="G6" s="50"/>
      <c r="H6" s="154" t="s">
        <v>104</v>
      </c>
      <c r="I6" s="50" t="s">
        <v>102</v>
      </c>
      <c r="J6" s="55">
        <f>inputPrYr!E18</f>
        <v>24711</v>
      </c>
    </row>
    <row r="7" spans="1:10" ht="15.75">
      <c r="A7" s="153" t="s">
        <v>131</v>
      </c>
      <c r="B7" s="40" t="s">
        <v>128</v>
      </c>
      <c r="C7" s="21"/>
      <c r="D7" s="21"/>
      <c r="E7" s="50"/>
      <c r="F7" s="50"/>
      <c r="G7" s="50"/>
      <c r="H7" s="50"/>
      <c r="I7" s="50" t="s">
        <v>102</v>
      </c>
      <c r="J7" s="55">
        <f>J5-J6</f>
        <v>279793</v>
      </c>
    </row>
    <row r="8" spans="1:10" ht="15.75">
      <c r="A8" s="21"/>
      <c r="B8" s="21"/>
      <c r="C8" s="21"/>
      <c r="D8" s="21"/>
      <c r="E8" s="50"/>
      <c r="F8" s="50"/>
      <c r="G8" s="50"/>
      <c r="H8" s="50"/>
      <c r="I8" s="50"/>
      <c r="J8" s="50"/>
    </row>
    <row r="9" spans="1:10" ht="15.75">
      <c r="A9" s="21"/>
      <c r="B9" s="40" t="str">
        <f>CONCATENATE("",J1-1," Valuation Information for Valuation Adjustments:")</f>
        <v>2013 Valuation Information for Valuation Adjustments:</v>
      </c>
      <c r="C9" s="21"/>
      <c r="D9" s="21"/>
      <c r="E9" s="50"/>
      <c r="F9" s="50"/>
      <c r="G9" s="50"/>
      <c r="H9" s="50"/>
      <c r="I9" s="50"/>
      <c r="J9" s="50"/>
    </row>
    <row r="10" spans="1:10" ht="15.75">
      <c r="A10" s="21"/>
      <c r="B10" s="21"/>
      <c r="C10" s="40"/>
      <c r="D10" s="21"/>
      <c r="E10" s="50"/>
      <c r="F10" s="50"/>
      <c r="G10" s="50"/>
      <c r="H10" s="50"/>
      <c r="I10" s="50"/>
      <c r="J10" s="50"/>
    </row>
    <row r="11" spans="1:10" ht="15.75">
      <c r="A11" s="153" t="s">
        <v>105</v>
      </c>
      <c r="B11" s="40" t="str">
        <f>CONCATENATE("New Improvements for ",J1-1,":")</f>
        <v>New Improvements for 2013:</v>
      </c>
      <c r="C11" s="21"/>
      <c r="D11" s="21"/>
      <c r="E11" s="154"/>
      <c r="F11" s="154" t="s">
        <v>101</v>
      </c>
      <c r="G11" s="155">
        <f>inputOth!E8</f>
        <v>40242</v>
      </c>
      <c r="H11" s="57"/>
      <c r="I11" s="50"/>
      <c r="J11" s="50"/>
    </row>
    <row r="12" spans="1:10" ht="15.75">
      <c r="A12" s="153"/>
      <c r="B12" s="156"/>
      <c r="C12" s="21"/>
      <c r="D12" s="21"/>
      <c r="E12" s="154"/>
      <c r="F12" s="154"/>
      <c r="G12" s="57"/>
      <c r="H12" s="57"/>
      <c r="I12" s="50"/>
      <c r="J12" s="50"/>
    </row>
    <row r="13" spans="1:10" ht="15.75">
      <c r="A13" s="153" t="s">
        <v>106</v>
      </c>
      <c r="B13" s="40" t="str">
        <f>CONCATENATE("Increase in Personal Property for ",J1-1,":")</f>
        <v>Increase in Personal Property for 2013:</v>
      </c>
      <c r="C13" s="21"/>
      <c r="D13" s="21"/>
      <c r="E13" s="154"/>
      <c r="F13" s="154"/>
      <c r="G13" s="57"/>
      <c r="H13" s="57"/>
      <c r="I13" s="50"/>
      <c r="J13" s="50"/>
    </row>
    <row r="14" spans="1:10" ht="15.75">
      <c r="A14" s="118"/>
      <c r="B14" s="21" t="s">
        <v>107</v>
      </c>
      <c r="C14" s="21" t="str">
        <f>CONCATENATE("Personal Property ",J1-1,"")</f>
        <v>Personal Property 2013</v>
      </c>
      <c r="D14" s="156" t="s">
        <v>101</v>
      </c>
      <c r="E14" s="155">
        <f>inputOth!E9</f>
        <v>310333</v>
      </c>
      <c r="F14" s="154"/>
      <c r="G14" s="50"/>
      <c r="H14" s="50"/>
      <c r="I14" s="57"/>
      <c r="J14" s="50"/>
    </row>
    <row r="15" spans="1:10" ht="15.75">
      <c r="A15" s="156"/>
      <c r="B15" s="21" t="s">
        <v>108</v>
      </c>
      <c r="C15" s="21" t="str">
        <f>CONCATENATE("Personal Property ",J1-2,"")</f>
        <v>Personal Property 2012</v>
      </c>
      <c r="D15" s="156" t="s">
        <v>104</v>
      </c>
      <c r="E15" s="55">
        <f>inputOth!E15</f>
        <v>312253</v>
      </c>
      <c r="F15" s="154"/>
      <c r="G15" s="57"/>
      <c r="H15" s="57"/>
      <c r="I15" s="50"/>
      <c r="J15" s="50"/>
    </row>
    <row r="16" spans="1:10" ht="15.75">
      <c r="A16" s="156"/>
      <c r="B16" s="21" t="s">
        <v>109</v>
      </c>
      <c r="C16" s="21" t="s">
        <v>130</v>
      </c>
      <c r="D16" s="21"/>
      <c r="E16" s="50"/>
      <c r="F16" s="50" t="s">
        <v>101</v>
      </c>
      <c r="G16" s="155">
        <f>IF(E14&gt;E15,E14-E15,0)</f>
        <v>0</v>
      </c>
      <c r="H16" s="57"/>
      <c r="I16" s="50"/>
      <c r="J16" s="50"/>
    </row>
    <row r="17" spans="1:10" ht="15.75">
      <c r="A17" s="156"/>
      <c r="B17" s="156"/>
      <c r="C17" s="21"/>
      <c r="D17" s="21"/>
      <c r="E17" s="50"/>
      <c r="F17" s="50"/>
      <c r="G17" s="57" t="s">
        <v>122</v>
      </c>
      <c r="H17" s="57"/>
      <c r="I17" s="50"/>
      <c r="J17" s="50"/>
    </row>
    <row r="18" spans="1:10" ht="15.75">
      <c r="A18" s="156" t="s">
        <v>110</v>
      </c>
      <c r="B18" s="40" t="str">
        <f>CONCATENATE("Valuation of annexed territory for ",J1-1,":")</f>
        <v>Valuation of annexed territory for 2013:</v>
      </c>
      <c r="C18" s="21"/>
      <c r="D18" s="21"/>
      <c r="E18" s="57"/>
      <c r="F18" s="50"/>
      <c r="G18" s="50"/>
      <c r="H18" s="50"/>
      <c r="I18" s="50"/>
      <c r="J18" s="50"/>
    </row>
    <row r="19" spans="1:10" ht="15.75">
      <c r="A19" s="156"/>
      <c r="B19" s="21" t="s">
        <v>111</v>
      </c>
      <c r="C19" s="21" t="s">
        <v>132</v>
      </c>
      <c r="D19" s="156" t="s">
        <v>101</v>
      </c>
      <c r="E19" s="155">
        <f>inputOth!E11</f>
        <v>0</v>
      </c>
      <c r="F19" s="50"/>
      <c r="G19" s="50"/>
      <c r="H19" s="50"/>
      <c r="I19" s="50"/>
      <c r="J19" s="50"/>
    </row>
    <row r="20" spans="1:10" ht="15.75">
      <c r="A20" s="156"/>
      <c r="B20" s="21" t="s">
        <v>112</v>
      </c>
      <c r="C20" s="21" t="s">
        <v>133</v>
      </c>
      <c r="D20" s="156" t="s">
        <v>101</v>
      </c>
      <c r="E20" s="155">
        <f>inputOth!E12</f>
        <v>0</v>
      </c>
      <c r="F20" s="50"/>
      <c r="G20" s="57"/>
      <c r="H20" s="57"/>
      <c r="I20" s="50"/>
      <c r="J20" s="50"/>
    </row>
    <row r="21" spans="1:10" ht="15.75">
      <c r="A21" s="156"/>
      <c r="B21" s="21" t="s">
        <v>113</v>
      </c>
      <c r="C21" s="21" t="s">
        <v>129</v>
      </c>
      <c r="D21" s="156" t="s">
        <v>104</v>
      </c>
      <c r="E21" s="155">
        <f>inputOth!E13</f>
        <v>0</v>
      </c>
      <c r="F21" s="50"/>
      <c r="G21" s="57"/>
      <c r="H21" s="57"/>
      <c r="I21" s="50"/>
      <c r="J21" s="50"/>
    </row>
    <row r="22" spans="1:10" ht="15.75">
      <c r="A22" s="156"/>
      <c r="B22" s="21" t="s">
        <v>114</v>
      </c>
      <c r="C22" s="21" t="s">
        <v>134</v>
      </c>
      <c r="D22" s="156"/>
      <c r="E22" s="57"/>
      <c r="F22" s="50" t="s">
        <v>101</v>
      </c>
      <c r="G22" s="155">
        <f>E19+E20-E21</f>
        <v>0</v>
      </c>
      <c r="H22" s="57"/>
      <c r="I22" s="50"/>
      <c r="J22" s="50"/>
    </row>
    <row r="23" spans="1:10" ht="15.75">
      <c r="A23" s="156"/>
      <c r="B23" s="156"/>
      <c r="C23" s="21"/>
      <c r="D23" s="156"/>
      <c r="E23" s="57"/>
      <c r="F23" s="50"/>
      <c r="G23" s="57"/>
      <c r="H23" s="57"/>
      <c r="I23" s="50"/>
      <c r="J23" s="50"/>
    </row>
    <row r="24" spans="1:10" ht="15.75">
      <c r="A24" s="156" t="s">
        <v>115</v>
      </c>
      <c r="B24" s="40" t="str">
        <f>CONCATENATE("Valuation of Property that has Changed in Use during ",J1-1,":")</f>
        <v>Valuation of Property that has Changed in Use during 2013:</v>
      </c>
      <c r="C24" s="21"/>
      <c r="D24" s="21"/>
      <c r="E24" s="50"/>
      <c r="F24" s="50"/>
      <c r="G24" s="50">
        <f>inputOth!E14</f>
        <v>9506</v>
      </c>
      <c r="H24" s="50"/>
      <c r="I24" s="50"/>
      <c r="J24" s="50"/>
    </row>
    <row r="25" spans="1:10" ht="15.75">
      <c r="A25" s="21" t="s">
        <v>1</v>
      </c>
      <c r="B25" s="21"/>
      <c r="C25" s="21"/>
      <c r="D25" s="156"/>
      <c r="E25" s="57"/>
      <c r="F25" s="50"/>
      <c r="G25" s="157"/>
      <c r="H25" s="57"/>
      <c r="I25" s="50"/>
      <c r="J25" s="50"/>
    </row>
    <row r="26" spans="1:10" ht="15.75">
      <c r="A26" s="156" t="s">
        <v>116</v>
      </c>
      <c r="B26" s="40" t="s">
        <v>135</v>
      </c>
      <c r="C26" s="21"/>
      <c r="D26" s="21"/>
      <c r="E26" s="50"/>
      <c r="F26" s="50"/>
      <c r="G26" s="155">
        <f>G11+G16+G22+G24</f>
        <v>49748</v>
      </c>
      <c r="H26" s="57"/>
      <c r="I26" s="50"/>
      <c r="J26" s="50"/>
    </row>
    <row r="27" spans="1:10" ht="15.75">
      <c r="A27" s="156"/>
      <c r="B27" s="156"/>
      <c r="C27" s="40"/>
      <c r="D27" s="21"/>
      <c r="E27" s="50"/>
      <c r="F27" s="50"/>
      <c r="G27" s="57"/>
      <c r="H27" s="57"/>
      <c r="I27" s="50"/>
      <c r="J27" s="50"/>
    </row>
    <row r="28" spans="1:10" ht="15.75">
      <c r="A28" s="156" t="s">
        <v>117</v>
      </c>
      <c r="B28" s="21" t="str">
        <f>CONCATENATE("Total Estimated Valuation July 1, ",J1-1,"")</f>
        <v>Total Estimated Valuation July 1, 2013</v>
      </c>
      <c r="C28" s="21"/>
      <c r="D28" s="21"/>
      <c r="E28" s="155">
        <f>inputOth!E7</f>
        <v>6475812</v>
      </c>
      <c r="F28" s="50"/>
      <c r="G28" s="50"/>
      <c r="H28" s="50"/>
      <c r="I28" s="154"/>
      <c r="J28" s="50"/>
    </row>
    <row r="29" spans="1:10" ht="15.75">
      <c r="A29" s="156"/>
      <c r="B29" s="156"/>
      <c r="C29" s="21"/>
      <c r="D29" s="21"/>
      <c r="E29" s="57"/>
      <c r="F29" s="50"/>
      <c r="G29" s="50"/>
      <c r="H29" s="50"/>
      <c r="I29" s="154"/>
      <c r="J29" s="50"/>
    </row>
    <row r="30" spans="1:10" ht="15.75">
      <c r="A30" s="156" t="s">
        <v>118</v>
      </c>
      <c r="B30" s="40" t="s">
        <v>136</v>
      </c>
      <c r="C30" s="21"/>
      <c r="D30" s="21"/>
      <c r="E30" s="50"/>
      <c r="F30" s="50"/>
      <c r="G30" s="155">
        <f>E28-G26</f>
        <v>6426064</v>
      </c>
      <c r="H30" s="57"/>
      <c r="I30" s="154"/>
      <c r="J30" s="50"/>
    </row>
    <row r="31" spans="1:10" ht="15.75">
      <c r="A31" s="156"/>
      <c r="B31" s="156"/>
      <c r="C31" s="40"/>
      <c r="D31" s="21"/>
      <c r="E31" s="21"/>
      <c r="F31" s="21"/>
      <c r="G31" s="93"/>
      <c r="H31" s="59"/>
      <c r="I31" s="156"/>
      <c r="J31" s="21"/>
    </row>
    <row r="32" spans="1:10" ht="15.75">
      <c r="A32" s="156" t="s">
        <v>119</v>
      </c>
      <c r="B32" s="21" t="s">
        <v>137</v>
      </c>
      <c r="C32" s="21"/>
      <c r="D32" s="21"/>
      <c r="E32" s="21"/>
      <c r="F32" s="21"/>
      <c r="G32" s="158">
        <f>IF(G30&gt;0,G26/G30,0)</f>
        <v>7.7415973448132476E-3</v>
      </c>
      <c r="H32" s="59"/>
      <c r="I32" s="21"/>
      <c r="J32" s="21"/>
    </row>
    <row r="33" spans="1:10" ht="15.75">
      <c r="A33" s="156"/>
      <c r="B33" s="156"/>
      <c r="C33" s="21"/>
      <c r="D33" s="21"/>
      <c r="E33" s="21"/>
      <c r="F33" s="21"/>
      <c r="G33" s="59"/>
      <c r="H33" s="59"/>
      <c r="I33" s="21"/>
      <c r="J33" s="21"/>
    </row>
    <row r="34" spans="1:10" ht="15.75">
      <c r="A34" s="156" t="s">
        <v>120</v>
      </c>
      <c r="B34" s="21" t="s">
        <v>138</v>
      </c>
      <c r="C34" s="21"/>
      <c r="D34" s="21"/>
      <c r="E34" s="21"/>
      <c r="F34" s="21"/>
      <c r="G34" s="59"/>
      <c r="H34" s="159" t="s">
        <v>101</v>
      </c>
      <c r="I34" s="21" t="s">
        <v>102</v>
      </c>
      <c r="J34" s="155">
        <f>ROUND(G32*J7,0)</f>
        <v>2166</v>
      </c>
    </row>
    <row r="35" spans="1:10" ht="15.75">
      <c r="A35" s="156"/>
      <c r="B35" s="156"/>
      <c r="C35" s="21"/>
      <c r="D35" s="21"/>
      <c r="E35" s="21"/>
      <c r="F35" s="21"/>
      <c r="G35" s="59"/>
      <c r="H35" s="159"/>
      <c r="I35" s="21"/>
      <c r="J35" s="57"/>
    </row>
    <row r="36" spans="1:10" ht="16.5" thickBot="1">
      <c r="A36" s="156" t="s">
        <v>121</v>
      </c>
      <c r="B36" s="40" t="s">
        <v>144</v>
      </c>
      <c r="C36" s="21"/>
      <c r="D36" s="21"/>
      <c r="E36" s="21"/>
      <c r="F36" s="21"/>
      <c r="G36" s="21"/>
      <c r="H36" s="21"/>
      <c r="I36" s="21" t="s">
        <v>102</v>
      </c>
      <c r="J36" s="160">
        <f>J7+J34</f>
        <v>281959</v>
      </c>
    </row>
    <row r="37" spans="1:10" ht="16.5" thickTop="1">
      <c r="A37" s="21"/>
      <c r="B37" s="21"/>
      <c r="C37" s="21"/>
      <c r="D37" s="21"/>
      <c r="E37" s="21"/>
      <c r="F37" s="21"/>
      <c r="G37" s="21"/>
      <c r="H37" s="21"/>
      <c r="I37" s="21"/>
      <c r="J37" s="21"/>
    </row>
    <row r="38" spans="1:10" ht="15.75">
      <c r="A38" s="156" t="s">
        <v>142</v>
      </c>
      <c r="B38" s="40" t="str">
        <f>CONCATENATE("Debt Service Levy in this ",J1," Budget")</f>
        <v>Debt Service Levy in this 2014 Budget</v>
      </c>
      <c r="C38" s="21"/>
      <c r="D38" s="21"/>
      <c r="E38" s="21"/>
      <c r="F38" s="21"/>
      <c r="G38" s="21"/>
      <c r="H38" s="21"/>
      <c r="I38" s="21"/>
      <c r="J38" s="161">
        <f>'DebtSvs-Library'!E40</f>
        <v>20181.079999999987</v>
      </c>
    </row>
    <row r="39" spans="1:10" ht="15.75">
      <c r="A39" s="156"/>
      <c r="B39" s="40"/>
      <c r="C39" s="21"/>
      <c r="D39" s="21"/>
      <c r="E39" s="21"/>
      <c r="F39" s="21"/>
      <c r="G39" s="21"/>
      <c r="H39" s="21"/>
      <c r="I39" s="21"/>
      <c r="J39" s="59"/>
    </row>
    <row r="40" spans="1:10" ht="16.5" thickBot="1">
      <c r="A40" s="156" t="s">
        <v>143</v>
      </c>
      <c r="B40" s="40" t="s">
        <v>145</v>
      </c>
      <c r="C40" s="21"/>
      <c r="D40" s="21"/>
      <c r="E40" s="21"/>
      <c r="F40" s="21"/>
      <c r="G40" s="21"/>
      <c r="H40" s="21"/>
      <c r="I40" s="21"/>
      <c r="J40" s="160">
        <f>J36+J38</f>
        <v>302140.07999999996</v>
      </c>
    </row>
    <row r="41" spans="1:10" ht="16.5" thickTop="1">
      <c r="A41" s="21"/>
      <c r="B41" s="21"/>
      <c r="C41" s="21"/>
      <c r="D41" s="21"/>
      <c r="E41" s="21"/>
      <c r="F41" s="21"/>
      <c r="G41" s="21"/>
      <c r="H41" s="21"/>
      <c r="I41" s="21"/>
      <c r="J41" s="21"/>
    </row>
    <row r="42" spans="1:10" s="162" customFormat="1" ht="18.75">
      <c r="A42" s="816" t="str">
        <f>CONCATENATE("If the ",J1," budget includes tax levies exceeding the total on line 15, you must")</f>
        <v>If the 2014 budget includes tax levies exceeding the total on line 15, you must</v>
      </c>
      <c r="B42" s="816"/>
      <c r="C42" s="816"/>
      <c r="D42" s="816"/>
      <c r="E42" s="816"/>
      <c r="F42" s="816"/>
      <c r="G42" s="816"/>
      <c r="H42" s="816"/>
      <c r="I42" s="816"/>
      <c r="J42" s="816"/>
    </row>
    <row r="43" spans="1:10" s="162" customFormat="1" ht="18.75">
      <c r="A43" s="817" t="s">
        <v>211</v>
      </c>
      <c r="B43" s="817"/>
      <c r="C43" s="817"/>
      <c r="D43" s="817"/>
      <c r="E43" s="817"/>
      <c r="F43" s="817"/>
      <c r="G43" s="817"/>
      <c r="H43" s="817"/>
      <c r="I43" s="817"/>
      <c r="J43" s="817"/>
    </row>
    <row r="44" spans="1:10" ht="15.95" customHeight="1">
      <c r="A44" s="811" t="s">
        <v>212</v>
      </c>
      <c r="B44" s="811"/>
      <c r="C44" s="811"/>
      <c r="D44" s="811"/>
      <c r="E44" s="815"/>
      <c r="F44" s="811"/>
      <c r="G44" s="811"/>
      <c r="H44" s="811"/>
      <c r="I44" s="811"/>
      <c r="J44" s="811"/>
    </row>
  </sheetData>
  <sheetProtection sheet="1"/>
  <mergeCells count="5">
    <mergeCell ref="A44:J44"/>
    <mergeCell ref="A42:J42"/>
    <mergeCell ref="A43:J43"/>
    <mergeCell ref="A3:J3"/>
    <mergeCell ref="E4:G4"/>
  </mergeCells>
  <phoneticPr fontId="0" type="noConversion"/>
  <pageMargins left="0.5" right="0.5" top="1" bottom="0.5" header="0.5" footer="0.5"/>
  <pageSetup scale="80"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6"/>
  <sheetViews>
    <sheetView workbookViewId="0">
      <selection activeCell="F44" sqref="F44"/>
    </sheetView>
  </sheetViews>
  <sheetFormatPr defaultRowHeight="15.75"/>
  <cols>
    <col min="1" max="1" width="8.88671875" style="22"/>
    <col min="2" max="2" width="17.88671875" style="22" customWidth="1"/>
    <col min="3" max="3" width="15.33203125" style="22" customWidth="1"/>
    <col min="4" max="7" width="10.77734375" style="22" customWidth="1"/>
    <col min="8" max="16384" width="8.88671875" style="22"/>
  </cols>
  <sheetData>
    <row r="1" spans="1:7">
      <c r="A1" s="550"/>
      <c r="B1" s="150" t="str">
        <f>inputPrYr!D2</f>
        <v>CITY OF HOXIE</v>
      </c>
      <c r="C1" s="150"/>
      <c r="D1" s="21"/>
      <c r="E1" s="21"/>
      <c r="F1" s="21"/>
      <c r="G1" s="21"/>
    </row>
    <row r="2" spans="1:7">
      <c r="A2" s="550"/>
      <c r="B2" s="21"/>
      <c r="C2" s="21"/>
      <c r="D2" s="21"/>
      <c r="E2" s="21"/>
      <c r="F2" s="21"/>
      <c r="G2" s="21">
        <f>inputPrYr!$C$5</f>
        <v>2014</v>
      </c>
    </row>
    <row r="3" spans="1:7">
      <c r="A3" s="550"/>
      <c r="B3" s="818" t="s">
        <v>960</v>
      </c>
      <c r="C3" s="818"/>
      <c r="D3" s="818"/>
      <c r="E3" s="818"/>
      <c r="F3" s="818"/>
      <c r="G3" s="21"/>
    </row>
    <row r="4" spans="1:7">
      <c r="A4" s="550"/>
      <c r="B4" s="21"/>
      <c r="C4" s="163"/>
      <c r="D4" s="164"/>
      <c r="E4" s="164"/>
      <c r="F4" s="21"/>
      <c r="G4" s="21"/>
    </row>
    <row r="5" spans="1:7" ht="21" customHeight="1">
      <c r="A5" s="550"/>
      <c r="B5" s="165" t="s">
        <v>210</v>
      </c>
      <c r="C5" s="166" t="s">
        <v>808</v>
      </c>
      <c r="D5" s="820" t="str">
        <f>CONCATENATE("Allocation for Year ",G2,"")</f>
        <v>Allocation for Year 2014</v>
      </c>
      <c r="E5" s="821"/>
      <c r="F5" s="822"/>
      <c r="G5" s="551"/>
    </row>
    <row r="6" spans="1:7">
      <c r="A6" s="550"/>
      <c r="B6" s="167" t="str">
        <f>CONCATENATE("for ",G2-1,"")</f>
        <v>for 2013</v>
      </c>
      <c r="C6" s="167" t="str">
        <f>CONCATENATE("Amount for ",G2-2,"")</f>
        <v>Amount for 2012</v>
      </c>
      <c r="D6" s="128" t="s">
        <v>95</v>
      </c>
      <c r="E6" s="128" t="s">
        <v>96</v>
      </c>
      <c r="F6" s="128" t="s">
        <v>94</v>
      </c>
      <c r="G6" s="553"/>
    </row>
    <row r="7" spans="1:7">
      <c r="A7" s="550"/>
      <c r="B7" s="67" t="str">
        <f>(inputPrYr!B17)</f>
        <v>General</v>
      </c>
      <c r="C7" s="131">
        <f>(inputPrYr!E17)</f>
        <v>74610</v>
      </c>
      <c r="D7" s="131">
        <f>IF(inputOth!E39=0,0,D22-SUM(D8:D19))</f>
        <v>18356</v>
      </c>
      <c r="E7" s="131">
        <f>IF(inputOth!E40=0,0,E23-SUM(E8:E19))</f>
        <v>265</v>
      </c>
      <c r="F7" s="131">
        <f>IF(inputOth!E41=0,0,F24-SUM(F8:F19))</f>
        <v>413</v>
      </c>
      <c r="G7" s="551"/>
    </row>
    <row r="8" spans="1:7">
      <c r="A8" s="550"/>
      <c r="B8" s="67" t="str">
        <f>IF(inputPrYr!$B18&gt;"  ",(inputPrYr!$B18),"  ")</f>
        <v>Debt Service</v>
      </c>
      <c r="C8" s="131">
        <f>IF(inputPrYr!$E18&gt;0,(inputPrYr!$E18),"  ")</f>
        <v>24711</v>
      </c>
      <c r="D8" s="131">
        <f>IF(inputPrYr!E18&gt;0,ROUND(C8*$D$27,0),"  ")</f>
        <v>6080</v>
      </c>
      <c r="E8" s="131">
        <f>IF(inputPrYr!E18&gt;0,ROUND(+C8*E$28,0)," ")</f>
        <v>88</v>
      </c>
      <c r="F8" s="131">
        <f>IF(inputPrYr!E18&gt;0,ROUND(+C8*F$29,0)," ")</f>
        <v>136</v>
      </c>
      <c r="G8" s="551"/>
    </row>
    <row r="9" spans="1:7">
      <c r="A9" s="550"/>
      <c r="B9" s="67" t="str">
        <f>IF(inputPrYr!$B19&gt;"  ",(inputPrYr!$B19),"  ")</f>
        <v>Library</v>
      </c>
      <c r="C9" s="131">
        <f>IF(inputPrYr!$E19&gt;0,(inputPrYr!$E19),"  ")</f>
        <v>28299</v>
      </c>
      <c r="D9" s="131">
        <f>IF(inputPrYr!E19&gt;0,ROUND(C9*$D$27,0),"  ")</f>
        <v>6962</v>
      </c>
      <c r="E9" s="131">
        <f>IF(inputPrYr!E19&gt;0,ROUND(+C9*E$28,0)," ")</f>
        <v>100</v>
      </c>
      <c r="F9" s="131">
        <f>IF(inputPrYr!E19&gt;0,ROUND(+C9*F$29,0)," ")</f>
        <v>156</v>
      </c>
      <c r="G9" s="551"/>
    </row>
    <row r="10" spans="1:7">
      <c r="A10" s="550"/>
      <c r="B10" s="67" t="str">
        <f>IF(inputPrYr!$B21&gt;"  ",(inputPrYr!$B21),"  ")</f>
        <v>Employee Benefits</v>
      </c>
      <c r="C10" s="131">
        <f>IF(inputPrYr!$E21&gt;0,(inputPrYr!$E21),"  ")</f>
        <v>118195</v>
      </c>
      <c r="D10" s="131">
        <f>IF(inputPrYr!E21&gt;0,ROUND(C10*$D$27,0),"  ")</f>
        <v>29079</v>
      </c>
      <c r="E10" s="131">
        <f>IF(inputPrYr!E21&gt;0,ROUND(+C10*E$28,0)," ")</f>
        <v>420</v>
      </c>
      <c r="F10" s="131">
        <f>IF(inputPrYr!E21&gt;0,ROUND(+C10*F$29,0)," ")</f>
        <v>653</v>
      </c>
      <c r="G10" s="551"/>
    </row>
    <row r="11" spans="1:7">
      <c r="A11" s="550"/>
      <c r="B11" s="67" t="str">
        <f>IF(inputPrYr!$B22&gt;"  ",(inputPrYr!$B22),"  ")</f>
        <v>Street Resurfacing</v>
      </c>
      <c r="C11" s="131">
        <f>IF(inputPrYr!$E22&gt;0,(inputPrYr!$E22),"  ")</f>
        <v>55531</v>
      </c>
      <c r="D11" s="131">
        <f>IF(inputPrYr!E22&gt;0,ROUND(C11*$D$27,0),"  ")</f>
        <v>13662</v>
      </c>
      <c r="E11" s="131">
        <f>IF(inputPrYr!E22&gt;0,ROUND(+C11*E$28,0)," ")</f>
        <v>197</v>
      </c>
      <c r="F11" s="131">
        <f>IF(inputPrYr!E22&gt;0,ROUND(+C11*F$29,0)," ")</f>
        <v>307</v>
      </c>
      <c r="G11" s="551"/>
    </row>
    <row r="12" spans="1:7">
      <c r="A12" s="550"/>
      <c r="B12" s="67" t="str">
        <f>IF(inputPrYr!$B23&gt;"  ",(inputPrYr!$B23),"  ")</f>
        <v>Airport</v>
      </c>
      <c r="C12" s="131">
        <f>IF(inputPrYr!$E23&gt;0,(inputPrYr!$E23),"  ")</f>
        <v>3158</v>
      </c>
      <c r="D12" s="131">
        <f>IF(inputPrYr!E23&gt;0,ROUND(C12*$D$27,0),"  ")</f>
        <v>777</v>
      </c>
      <c r="E12" s="131">
        <f>IF(inputPrYr!E23&gt;0,ROUND(+C12*E$28,0)," ")</f>
        <v>11</v>
      </c>
      <c r="F12" s="131">
        <f>IF(inputPrYr!E23&gt;0,ROUND(+C12*F$29,0)," ")</f>
        <v>17</v>
      </c>
      <c r="G12" s="551"/>
    </row>
    <row r="13" spans="1:7">
      <c r="A13" s="550"/>
      <c r="B13" s="67" t="str">
        <f>IF(inputPrYr!$B24&gt;"  ",(inputPrYr!$B24),"  ")</f>
        <v xml:space="preserve">  </v>
      </c>
      <c r="C13" s="131" t="str">
        <f>IF(inputPrYr!$E24&gt;0,(inputPrYr!$E24),"  ")</f>
        <v xml:space="preserve">  </v>
      </c>
      <c r="D13" s="131" t="str">
        <f>IF(inputPrYr!E24&gt;0,ROUND(C13*$D$27,0),"  ")</f>
        <v xml:space="preserve">  </v>
      </c>
      <c r="E13" s="131" t="str">
        <f>IF(inputPrYr!E24&gt;0,ROUND(+C13*E$28,0)," ")</f>
        <v xml:space="preserve"> </v>
      </c>
      <c r="F13" s="131" t="str">
        <f>IF(inputPrYr!E24&gt;0,ROUND(+C13*F$29,0)," ")</f>
        <v xml:space="preserve"> </v>
      </c>
      <c r="G13" s="551"/>
    </row>
    <row r="14" spans="1:7">
      <c r="A14" s="550"/>
      <c r="B14" s="67" t="str">
        <f>IF(inputPrYr!$B25&gt;"  ",(inputPrYr!$B25),"  ")</f>
        <v xml:space="preserve">  </v>
      </c>
      <c r="C14" s="131" t="str">
        <f>IF(inputPrYr!$E25&gt;0,(inputPrYr!$E25),"  ")</f>
        <v xml:space="preserve">  </v>
      </c>
      <c r="D14" s="131" t="str">
        <f>IF(inputPrYr!E25&gt;0,ROUND(C14*$D$27,0),"  ")</f>
        <v xml:space="preserve">  </v>
      </c>
      <c r="E14" s="131" t="str">
        <f>IF(inputPrYr!E25&gt;0,ROUND(+C14*E$28,0)," ")</f>
        <v xml:space="preserve"> </v>
      </c>
      <c r="F14" s="131" t="str">
        <f>IF(inputPrYr!E25&gt;0,ROUND(+C14*F$29,0)," ")</f>
        <v xml:space="preserve"> </v>
      </c>
      <c r="G14" s="551"/>
    </row>
    <row r="15" spans="1:7">
      <c r="A15" s="550"/>
      <c r="B15" s="67" t="str">
        <f>IF(inputPrYr!$B26&gt;"  ",(inputPrYr!$B26),"  ")</f>
        <v xml:space="preserve">  </v>
      </c>
      <c r="C15" s="131" t="str">
        <f>IF(inputPrYr!$E26&gt;0,(inputPrYr!$E26),"  ")</f>
        <v xml:space="preserve">  </v>
      </c>
      <c r="D15" s="131" t="str">
        <f>IF(inputPrYr!E26&gt;0,ROUND(C15*$D$27,0),"  ")</f>
        <v xml:space="preserve">  </v>
      </c>
      <c r="E15" s="131" t="str">
        <f>IF(inputPrYr!E26&gt;0,ROUND(+C15*E$28,0)," ")</f>
        <v xml:space="preserve"> </v>
      </c>
      <c r="F15" s="131" t="str">
        <f>IF(inputPrYr!E26&gt;0,ROUND(+C15*F$29,0)," ")</f>
        <v xml:space="preserve"> </v>
      </c>
      <c r="G15" s="551"/>
    </row>
    <row r="16" spans="1:7">
      <c r="A16" s="550"/>
      <c r="B16" s="67" t="str">
        <f>IF(inputPrYr!$B27&gt;"  ",(inputPrYr!$B27),"  ")</f>
        <v xml:space="preserve">  </v>
      </c>
      <c r="C16" s="131" t="str">
        <f>IF(inputPrYr!$E27&gt;0,(inputPrYr!$E27),"  ")</f>
        <v xml:space="preserve">  </v>
      </c>
      <c r="D16" s="131" t="str">
        <f>IF(inputPrYr!E27&gt;0,ROUND(C16*$D$27,0),"  ")</f>
        <v xml:space="preserve">  </v>
      </c>
      <c r="E16" s="131" t="str">
        <f>IF(inputPrYr!E27&gt;0,ROUND(+C16*E$28,0)," ")</f>
        <v xml:space="preserve"> </v>
      </c>
      <c r="F16" s="131" t="str">
        <f>IF(inputPrYr!E27&gt;0,ROUND(+C16*F$29,0)," ")</f>
        <v xml:space="preserve"> </v>
      </c>
      <c r="G16" s="551"/>
    </row>
    <row r="17" spans="1:7">
      <c r="A17" s="550"/>
      <c r="B17" s="67" t="str">
        <f>IF(inputPrYr!$B28&gt;"  ",(inputPrYr!$B28),"  ")</f>
        <v xml:space="preserve">  </v>
      </c>
      <c r="C17" s="131" t="str">
        <f>IF(inputPrYr!$E28&gt;0,(inputPrYr!$E28),"  ")</f>
        <v xml:space="preserve">  </v>
      </c>
      <c r="D17" s="131" t="str">
        <f>IF(inputPrYr!E28&gt;0,ROUND(C17*$D$27,0),"  ")</f>
        <v xml:space="preserve">  </v>
      </c>
      <c r="E17" s="131" t="str">
        <f>IF(inputPrYr!E28&gt;0,ROUND(+C17*E$28,0)," ")</f>
        <v xml:space="preserve"> </v>
      </c>
      <c r="F17" s="131" t="str">
        <f>IF(inputPrYr!E28&gt;0,ROUND(+C17*F$29,0)," ")</f>
        <v xml:space="preserve"> </v>
      </c>
      <c r="G17" s="551"/>
    </row>
    <row r="18" spans="1:7">
      <c r="A18" s="550"/>
      <c r="B18" s="67" t="str">
        <f>IF(inputPrYr!$B29&gt;"  ",(inputPrYr!$B29),"  ")</f>
        <v xml:space="preserve">  </v>
      </c>
      <c r="C18" s="131" t="str">
        <f>IF(inputPrYr!$E29&gt;0,(inputPrYr!$E29),"  ")</f>
        <v xml:space="preserve">  </v>
      </c>
      <c r="D18" s="131" t="str">
        <f>IF(inputPrYr!E29&gt;0,ROUND(C18*$D$27,0),"  ")</f>
        <v xml:space="preserve">  </v>
      </c>
      <c r="E18" s="131" t="str">
        <f>IF(inputPrYr!E29&gt;0,ROUND(+C18*E$28,0)," ")</f>
        <v xml:space="preserve"> </v>
      </c>
      <c r="F18" s="131" t="str">
        <f>IF(inputPrYr!E29&gt;0,ROUND(+C18*F$29,0)," ")</f>
        <v xml:space="preserve"> </v>
      </c>
      <c r="G18" s="551"/>
    </row>
    <row r="19" spans="1:7">
      <c r="A19" s="550"/>
      <c r="B19" s="67" t="str">
        <f>IF(inputPrYr!$B30&gt;"  ",(inputPrYr!$B30),"  ")</f>
        <v xml:space="preserve">  </v>
      </c>
      <c r="C19" s="131" t="str">
        <f>IF(inputPrYr!$E30&gt;0,(inputPrYr!$E30),"  ")</f>
        <v xml:space="preserve">  </v>
      </c>
      <c r="D19" s="131" t="str">
        <f>IF(inputPrYr!E30&gt;0,ROUND(C19*$D$27,0),"  ")</f>
        <v xml:space="preserve">  </v>
      </c>
      <c r="E19" s="131" t="str">
        <f>IF(inputPrYr!E30&gt;0,ROUND(+C19*E$28,0)," ")</f>
        <v xml:space="preserve"> </v>
      </c>
      <c r="F19" s="131" t="str">
        <f>IF(inputPrYr!E30&gt;0,ROUND(+C19*F$29,0)," ")</f>
        <v xml:space="preserve"> </v>
      </c>
      <c r="G19" s="551"/>
    </row>
    <row r="20" spans="1:7">
      <c r="A20" s="550"/>
      <c r="B20" s="552" t="s">
        <v>19</v>
      </c>
      <c r="C20" s="137">
        <f>SUM(C7:C19)</f>
        <v>304504</v>
      </c>
      <c r="D20" s="137">
        <f>SUM(D7:D19)</f>
        <v>74916</v>
      </c>
      <c r="E20" s="137">
        <f>SUM(E7:E19)</f>
        <v>1081</v>
      </c>
      <c r="F20" s="137">
        <f>SUM(F7:F19)</f>
        <v>1682</v>
      </c>
      <c r="G20" s="551"/>
    </row>
    <row r="21" spans="1:7">
      <c r="A21" s="550"/>
      <c r="B21" s="21"/>
      <c r="C21" s="21"/>
      <c r="D21" s="21"/>
      <c r="E21" s="21"/>
      <c r="F21" s="21"/>
      <c r="G21" s="21"/>
    </row>
    <row r="22" spans="1:7">
      <c r="A22" s="550"/>
      <c r="B22" s="28" t="s">
        <v>20</v>
      </c>
      <c r="C22" s="168"/>
      <c r="D22" s="169">
        <f>(inputOth!E39)</f>
        <v>74916</v>
      </c>
      <c r="E22" s="168"/>
      <c r="F22" s="21"/>
      <c r="G22" s="21"/>
    </row>
    <row r="23" spans="1:7">
      <c r="A23" s="550"/>
      <c r="B23" s="28" t="s">
        <v>21</v>
      </c>
      <c r="C23" s="21"/>
      <c r="D23" s="21"/>
      <c r="E23" s="169">
        <f>(inputOth!E40)</f>
        <v>1081</v>
      </c>
      <c r="F23" s="21"/>
      <c r="G23" s="21"/>
    </row>
    <row r="24" spans="1:7">
      <c r="A24" s="550"/>
      <c r="B24" s="28" t="s">
        <v>97</v>
      </c>
      <c r="C24" s="21"/>
      <c r="D24" s="21"/>
      <c r="E24" s="21"/>
      <c r="F24" s="169">
        <f>inputOth!E41</f>
        <v>1682</v>
      </c>
      <c r="G24" s="21"/>
    </row>
    <row r="25" spans="1:7">
      <c r="A25" s="550"/>
      <c r="B25" s="60"/>
      <c r="C25" s="59"/>
      <c r="D25" s="59"/>
      <c r="E25" s="59"/>
      <c r="F25" s="170"/>
      <c r="G25" s="57"/>
    </row>
    <row r="26" spans="1:7">
      <c r="A26" s="550"/>
      <c r="B26" s="28"/>
      <c r="C26" s="21"/>
      <c r="D26" s="21"/>
      <c r="E26" s="21"/>
      <c r="F26" s="170"/>
      <c r="G26" s="21"/>
    </row>
    <row r="27" spans="1:7">
      <c r="A27" s="550"/>
      <c r="B27" s="28" t="s">
        <v>22</v>
      </c>
      <c r="C27" s="21"/>
      <c r="D27" s="171">
        <f>IF(C20=0,0,D22/C20)</f>
        <v>0.24602632477734282</v>
      </c>
      <c r="E27" s="21"/>
      <c r="F27" s="21"/>
      <c r="G27" s="21"/>
    </row>
    <row r="28" spans="1:7">
      <c r="A28" s="550"/>
      <c r="B28" s="21"/>
      <c r="C28" s="28" t="s">
        <v>23</v>
      </c>
      <c r="D28" s="21"/>
      <c r="E28" s="171">
        <f>IF(C20=0,0,E23/C20)</f>
        <v>3.550035467514384E-3</v>
      </c>
      <c r="F28" s="21"/>
      <c r="G28" s="21"/>
    </row>
    <row r="29" spans="1:7">
      <c r="A29" s="550"/>
      <c r="B29" s="21"/>
      <c r="C29" s="21"/>
      <c r="D29" s="28" t="s">
        <v>98</v>
      </c>
      <c r="E29" s="21"/>
      <c r="F29" s="171">
        <f>IF(F24=0,0,F24/C20)</f>
        <v>5.5237369624044344E-3</v>
      </c>
      <c r="G29" s="21"/>
    </row>
    <row r="30" spans="1:7">
      <c r="A30" s="550"/>
      <c r="B30" s="21"/>
      <c r="C30" s="21"/>
      <c r="D30" s="21"/>
      <c r="E30" s="21"/>
      <c r="F30" s="21"/>
      <c r="G30" s="21"/>
    </row>
    <row r="31" spans="1:7" ht="15" customHeight="1">
      <c r="A31" s="550"/>
      <c r="B31" s="84"/>
      <c r="C31" s="84"/>
      <c r="D31" s="84"/>
      <c r="E31" s="84"/>
      <c r="F31" s="84"/>
      <c r="G31" s="84"/>
    </row>
    <row r="32" spans="1:7" ht="15" customHeight="1"/>
    <row r="33" s="172"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honeticPr fontId="0" type="noConversion"/>
  <pageMargins left="0.5" right="0.5" top="0.5" bottom="0" header="0.25" footer="0"/>
  <pageSetup scale="87" orientation="portrait" blackAndWhite="1"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workbookViewId="0">
      <selection activeCell="E16" sqref="E16"/>
    </sheetView>
  </sheetViews>
  <sheetFormatPr defaultRowHeight="15.75"/>
  <cols>
    <col min="1" max="2" width="17.77734375" style="8" customWidth="1"/>
    <col min="3" max="6" width="12.77734375" style="8" customWidth="1"/>
    <col min="7" max="16384" width="8.88671875" style="8"/>
  </cols>
  <sheetData>
    <row r="1" spans="1:6">
      <c r="A1" s="83" t="str">
        <f>inputPrYr!D2</f>
        <v>CITY OF HOXIE</v>
      </c>
      <c r="B1" s="83"/>
      <c r="C1" s="85"/>
      <c r="D1" s="85"/>
      <c r="E1" s="85"/>
      <c r="F1" s="85">
        <f>inputPrYr!$C$5</f>
        <v>2014</v>
      </c>
    </row>
    <row r="2" spans="1:6">
      <c r="A2" s="85"/>
      <c r="B2" s="85"/>
      <c r="C2" s="85"/>
      <c r="D2" s="85"/>
      <c r="E2" s="85"/>
      <c r="F2" s="85"/>
    </row>
    <row r="3" spans="1:6">
      <c r="A3" s="819" t="s">
        <v>150</v>
      </c>
      <c r="B3" s="819"/>
      <c r="C3" s="819"/>
      <c r="D3" s="819"/>
      <c r="E3" s="819"/>
      <c r="F3" s="819"/>
    </row>
    <row r="4" spans="1:6">
      <c r="A4" s="173"/>
      <c r="B4" s="173"/>
      <c r="C4" s="173"/>
      <c r="D4" s="173"/>
      <c r="E4" s="173"/>
      <c r="F4" s="173"/>
    </row>
    <row r="5" spans="1:6">
      <c r="A5" s="174" t="s">
        <v>618</v>
      </c>
      <c r="B5" s="174" t="s">
        <v>620</v>
      </c>
      <c r="C5" s="174" t="s">
        <v>46</v>
      </c>
      <c r="D5" s="174" t="s">
        <v>164</v>
      </c>
      <c r="E5" s="174" t="s">
        <v>165</v>
      </c>
      <c r="F5" s="174" t="s">
        <v>203</v>
      </c>
    </row>
    <row r="6" spans="1:6">
      <c r="A6" s="175" t="s">
        <v>619</v>
      </c>
      <c r="B6" s="175" t="s">
        <v>621</v>
      </c>
      <c r="C6" s="175" t="s">
        <v>204</v>
      </c>
      <c r="D6" s="175" t="s">
        <v>204</v>
      </c>
      <c r="E6" s="175" t="s">
        <v>204</v>
      </c>
      <c r="F6" s="175" t="s">
        <v>205</v>
      </c>
    </row>
    <row r="7" spans="1:6" ht="15" customHeight="1">
      <c r="A7" s="176" t="s">
        <v>206</v>
      </c>
      <c r="B7" s="176" t="s">
        <v>207</v>
      </c>
      <c r="C7" s="177">
        <f>F1-2</f>
        <v>2012</v>
      </c>
      <c r="D7" s="177">
        <f>F1-1</f>
        <v>2013</v>
      </c>
      <c r="E7" s="177">
        <f>F1</f>
        <v>2014</v>
      </c>
      <c r="F7" s="176" t="s">
        <v>208</v>
      </c>
    </row>
    <row r="8" spans="1:6" ht="14.25" customHeight="1">
      <c r="A8" s="790" t="s">
        <v>1060</v>
      </c>
      <c r="B8" s="790" t="s">
        <v>334</v>
      </c>
      <c r="C8" s="518">
        <v>30000</v>
      </c>
      <c r="D8" s="518">
        <v>31500</v>
      </c>
      <c r="E8" s="518">
        <v>30500</v>
      </c>
      <c r="F8" s="791" t="s">
        <v>1069</v>
      </c>
    </row>
    <row r="9" spans="1:6" ht="15" customHeight="1">
      <c r="A9" s="677" t="s">
        <v>1060</v>
      </c>
      <c r="B9" s="677" t="s">
        <v>1061</v>
      </c>
      <c r="C9" s="519">
        <v>17500</v>
      </c>
      <c r="D9" s="519">
        <v>15000</v>
      </c>
      <c r="E9" s="519">
        <v>17500</v>
      </c>
      <c r="F9" s="791" t="s">
        <v>1069</v>
      </c>
    </row>
    <row r="10" spans="1:6" ht="15" customHeight="1">
      <c r="A10" s="677" t="s">
        <v>1060</v>
      </c>
      <c r="B10" s="677" t="s">
        <v>998</v>
      </c>
      <c r="C10" s="519">
        <v>10000</v>
      </c>
      <c r="D10" s="519">
        <v>3000</v>
      </c>
      <c r="E10" s="519"/>
      <c r="F10" s="791" t="s">
        <v>1070</v>
      </c>
    </row>
    <row r="11" spans="1:6" ht="15" customHeight="1">
      <c r="A11" s="677" t="s">
        <v>1060</v>
      </c>
      <c r="B11" s="677" t="s">
        <v>999</v>
      </c>
      <c r="C11" s="519">
        <v>12500</v>
      </c>
      <c r="D11" s="519">
        <v>15000</v>
      </c>
      <c r="E11" s="519">
        <v>90000</v>
      </c>
      <c r="F11" s="791" t="s">
        <v>1071</v>
      </c>
    </row>
    <row r="12" spans="1:6" ht="15" customHeight="1">
      <c r="A12" s="677" t="s">
        <v>1062</v>
      </c>
      <c r="B12" s="677" t="s">
        <v>999</v>
      </c>
      <c r="C12" s="519">
        <v>10000</v>
      </c>
      <c r="D12" s="519"/>
      <c r="E12" s="519"/>
      <c r="F12" s="791" t="s">
        <v>1071</v>
      </c>
    </row>
    <row r="13" spans="1:6" ht="15" customHeight="1">
      <c r="A13" s="677" t="s">
        <v>1062</v>
      </c>
      <c r="B13" s="677" t="s">
        <v>334</v>
      </c>
      <c r="C13" s="519"/>
      <c r="D13" s="519">
        <v>14500</v>
      </c>
      <c r="E13" s="519"/>
      <c r="F13" s="791" t="s">
        <v>1069</v>
      </c>
    </row>
    <row r="14" spans="1:6" ht="15" customHeight="1">
      <c r="A14" s="178" t="s">
        <v>1062</v>
      </c>
      <c r="B14" s="178" t="s">
        <v>987</v>
      </c>
      <c r="C14" s="519"/>
      <c r="D14" s="519">
        <v>7500</v>
      </c>
      <c r="E14" s="519"/>
      <c r="F14" s="791" t="s">
        <v>1072</v>
      </c>
    </row>
    <row r="15" spans="1:6" ht="15" customHeight="1">
      <c r="A15" s="178" t="s">
        <v>334</v>
      </c>
      <c r="B15" s="178" t="s">
        <v>999</v>
      </c>
      <c r="C15" s="519">
        <v>12500</v>
      </c>
      <c r="D15" s="519"/>
      <c r="E15" s="519">
        <v>32000</v>
      </c>
      <c r="F15" s="791" t="s">
        <v>1071</v>
      </c>
    </row>
    <row r="16" spans="1:6" ht="15" customHeight="1">
      <c r="A16" s="178" t="s">
        <v>334</v>
      </c>
      <c r="B16" s="178" t="s">
        <v>998</v>
      </c>
      <c r="C16" s="519"/>
      <c r="D16" s="519">
        <v>9000</v>
      </c>
      <c r="E16" s="519"/>
      <c r="F16" s="791" t="s">
        <v>1070</v>
      </c>
    </row>
    <row r="17" spans="1:6" ht="15" customHeight="1">
      <c r="A17" s="178"/>
      <c r="B17" s="178"/>
      <c r="C17" s="519"/>
      <c r="D17" s="519"/>
      <c r="E17" s="519"/>
      <c r="F17" s="178"/>
    </row>
    <row r="18" spans="1:6" ht="15" customHeight="1">
      <c r="A18" s="178"/>
      <c r="B18" s="178"/>
      <c r="C18" s="519"/>
      <c r="D18" s="519"/>
      <c r="E18" s="519"/>
      <c r="F18" s="178"/>
    </row>
    <row r="19" spans="1:6" ht="15" customHeight="1">
      <c r="A19" s="178"/>
      <c r="B19" s="178"/>
      <c r="C19" s="519"/>
      <c r="D19" s="519"/>
      <c r="E19" s="519"/>
      <c r="F19" s="178"/>
    </row>
    <row r="20" spans="1:6" ht="15" customHeight="1">
      <c r="A20" s="178"/>
      <c r="B20" s="178"/>
      <c r="C20" s="519"/>
      <c r="D20" s="519"/>
      <c r="E20" s="519"/>
      <c r="F20" s="178"/>
    </row>
    <row r="21" spans="1:6" ht="15" customHeight="1">
      <c r="A21" s="178"/>
      <c r="B21" s="178"/>
      <c r="C21" s="519"/>
      <c r="D21" s="519"/>
      <c r="E21" s="519"/>
      <c r="F21" s="178"/>
    </row>
    <row r="22" spans="1:6" ht="15" customHeight="1">
      <c r="A22" s="178"/>
      <c r="B22" s="178"/>
      <c r="C22" s="519"/>
      <c r="D22" s="519"/>
      <c r="E22" s="519"/>
      <c r="F22" s="178"/>
    </row>
    <row r="23" spans="1:6" ht="15" customHeight="1">
      <c r="A23" s="178"/>
      <c r="B23" s="178"/>
      <c r="C23" s="519"/>
      <c r="D23" s="519"/>
      <c r="E23" s="519"/>
      <c r="F23" s="178"/>
    </row>
    <row r="24" spans="1:6" ht="15" customHeight="1">
      <c r="A24" s="178"/>
      <c r="B24" s="178"/>
      <c r="C24" s="519"/>
      <c r="D24" s="519"/>
      <c r="E24" s="519"/>
      <c r="F24" s="178"/>
    </row>
    <row r="25" spans="1:6" ht="15" customHeight="1">
      <c r="A25" s="178"/>
      <c r="B25" s="178"/>
      <c r="C25" s="519"/>
      <c r="D25" s="519"/>
      <c r="E25" s="519"/>
      <c r="F25" s="178"/>
    </row>
    <row r="26" spans="1:6" ht="15" customHeight="1">
      <c r="A26" s="179"/>
      <c r="B26" s="180" t="s">
        <v>12</v>
      </c>
      <c r="C26" s="517">
        <f>SUM(C8:C25)</f>
        <v>92500</v>
      </c>
      <c r="D26" s="517">
        <f>SUM(D8:D25)</f>
        <v>95500</v>
      </c>
      <c r="E26" s="517">
        <f>SUM(E8:E25)</f>
        <v>170000</v>
      </c>
      <c r="F26" s="179"/>
    </row>
    <row r="27" spans="1:6" ht="15" customHeight="1">
      <c r="A27" s="179"/>
      <c r="B27" s="182" t="s">
        <v>622</v>
      </c>
      <c r="C27" s="136"/>
      <c r="D27" s="178"/>
      <c r="E27" s="178"/>
      <c r="F27" s="179"/>
    </row>
    <row r="28" spans="1:6" ht="15" customHeight="1">
      <c r="A28" s="179"/>
      <c r="B28" s="180" t="s">
        <v>209</v>
      </c>
      <c r="C28" s="517">
        <f>C26</f>
        <v>92500</v>
      </c>
      <c r="D28" s="517">
        <f>SUM(D26-D27)</f>
        <v>95500</v>
      </c>
      <c r="E28" s="517">
        <f>SUM(E26-E27)</f>
        <v>170000</v>
      </c>
      <c r="F28" s="179"/>
    </row>
    <row r="29" spans="1:6" ht="15" customHeight="1">
      <c r="A29" s="77"/>
      <c r="B29" s="77"/>
      <c r="C29" s="77"/>
      <c r="D29" s="77"/>
      <c r="E29" s="77"/>
      <c r="F29" s="77"/>
    </row>
    <row r="30" spans="1:6" ht="15" customHeight="1">
      <c r="A30" s="77"/>
      <c r="B30" s="77"/>
      <c r="C30" s="77"/>
      <c r="D30" s="77"/>
      <c r="E30" s="77"/>
      <c r="F30" s="77"/>
    </row>
    <row r="31" spans="1:6" ht="21.75" customHeight="1">
      <c r="A31" s="345" t="s">
        <v>617</v>
      </c>
      <c r="B31" s="346" t="str">
        <f>CONCATENATE("Adjustments are required only if the transfer is being made in ",D7," and/or ",E7," from a non-budgeted fund.")</f>
        <v>Adjustments are required only if the transfer is being made in 2013 and/or 2014 from a non-budgeted fund.</v>
      </c>
      <c r="C31" s="77"/>
      <c r="D31" s="77"/>
      <c r="E31" s="77"/>
      <c r="F31" s="77"/>
    </row>
    <row r="32" spans="1:6" ht="15" customHeight="1"/>
  </sheetData>
  <sheetProtection sheet="1"/>
  <mergeCells count="1">
    <mergeCell ref="A3:F3"/>
  </mergeCells>
  <phoneticPr fontId="11" type="noConversion"/>
  <pageMargins left="1" right="1" top="1" bottom="1" header="0.5" footer="0.5"/>
  <pageSetup scale="74" orientation="portrait" blackAndWhite="1"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topLeftCell="A25" workbookViewId="0">
      <selection activeCell="B2" sqref="B2"/>
    </sheetView>
  </sheetViews>
  <sheetFormatPr defaultRowHeight="15"/>
  <cols>
    <col min="1" max="1" width="70.5546875" style="320" customWidth="1"/>
    <col min="2" max="16384" width="8.88671875" style="320"/>
  </cols>
  <sheetData>
    <row r="1" spans="1:1" ht="18.75">
      <c r="A1" s="322" t="s">
        <v>351</v>
      </c>
    </row>
    <row r="2" spans="1:1" ht="18.75">
      <c r="A2" s="322"/>
    </row>
    <row r="3" spans="1:1" ht="18.75">
      <c r="A3" s="322"/>
    </row>
    <row r="4" spans="1:1" ht="51.75" customHeight="1">
      <c r="A4" s="467" t="s">
        <v>743</v>
      </c>
    </row>
    <row r="5" spans="1:1" ht="18.75">
      <c r="A5" s="322"/>
    </row>
    <row r="6" spans="1:1" ht="15.75">
      <c r="A6" s="323"/>
    </row>
    <row r="7" spans="1:1" ht="47.25">
      <c r="A7" s="324" t="s">
        <v>352</v>
      </c>
    </row>
    <row r="8" spans="1:1" ht="15.75">
      <c r="A8" s="323"/>
    </row>
    <row r="9" spans="1:1" ht="15.75">
      <c r="A9" s="323"/>
    </row>
    <row r="10" spans="1:1" ht="63">
      <c r="A10" s="324" t="s">
        <v>353</v>
      </c>
    </row>
    <row r="11" spans="1:1" ht="15.75">
      <c r="A11" s="468"/>
    </row>
    <row r="12" spans="1:1" ht="15.75">
      <c r="A12" s="323"/>
    </row>
    <row r="13" spans="1:1" ht="47.25">
      <c r="A13" s="324" t="s">
        <v>354</v>
      </c>
    </row>
    <row r="14" spans="1:1" ht="15.75">
      <c r="A14" s="468"/>
    </row>
    <row r="15" spans="1:1" ht="15.75">
      <c r="A15" s="323"/>
    </row>
    <row r="16" spans="1:1" ht="47.25">
      <c r="A16" s="324" t="s">
        <v>355</v>
      </c>
    </row>
    <row r="17" spans="1:1" ht="15.75">
      <c r="A17" s="468"/>
    </row>
    <row r="18" spans="1:1" ht="15.75">
      <c r="A18" s="468"/>
    </row>
    <row r="19" spans="1:1" ht="47.25">
      <c r="A19" s="324" t="s">
        <v>356</v>
      </c>
    </row>
    <row r="20" spans="1:1" ht="15.75">
      <c r="A20" s="468"/>
    </row>
    <row r="21" spans="1:1" ht="15.75">
      <c r="A21" s="468"/>
    </row>
    <row r="22" spans="1:1" ht="47.25">
      <c r="A22" s="324" t="s">
        <v>357</v>
      </c>
    </row>
    <row r="23" spans="1:1" ht="15.75">
      <c r="A23" s="468"/>
    </row>
    <row r="24" spans="1:1" ht="15.75">
      <c r="A24" s="468"/>
    </row>
    <row r="25" spans="1:1" ht="31.5">
      <c r="A25" s="324" t="s">
        <v>358</v>
      </c>
    </row>
    <row r="26" spans="1:1" ht="15.75">
      <c r="A26" s="323"/>
    </row>
    <row r="27" spans="1:1" ht="15.75">
      <c r="A27" s="323"/>
    </row>
    <row r="28" spans="1:1" ht="60">
      <c r="A28" s="469" t="s">
        <v>359</v>
      </c>
    </row>
    <row r="29" spans="1:1">
      <c r="A29" s="470"/>
    </row>
    <row r="30" spans="1:1">
      <c r="A30" s="470"/>
    </row>
    <row r="31" spans="1:1" ht="47.25">
      <c r="A31" s="324" t="s">
        <v>360</v>
      </c>
    </row>
    <row r="32" spans="1:1" ht="15.75">
      <c r="A32" s="323"/>
    </row>
    <row r="33" spans="1:1" ht="15.75">
      <c r="A33" s="323"/>
    </row>
    <row r="34" spans="1:1" ht="66.75" customHeight="1">
      <c r="A34" s="466" t="s">
        <v>744</v>
      </c>
    </row>
    <row r="35" spans="1:1" ht="15.75">
      <c r="A35" s="323"/>
    </row>
    <row r="36" spans="1:1" ht="15.75">
      <c r="A36" s="323"/>
    </row>
    <row r="37" spans="1:1" ht="63">
      <c r="A37" s="471" t="s">
        <v>361</v>
      </c>
    </row>
    <row r="38" spans="1:1" ht="15.75">
      <c r="A38" s="468"/>
    </row>
    <row r="39" spans="1:1" ht="15.75">
      <c r="A39" s="323"/>
    </row>
    <row r="40" spans="1:1" ht="63">
      <c r="A40" s="324" t="s">
        <v>362</v>
      </c>
    </row>
    <row r="41" spans="1:1" ht="15.75">
      <c r="A41" s="468"/>
    </row>
    <row r="42" spans="1:1" ht="15.75">
      <c r="A42" s="468"/>
    </row>
    <row r="43" spans="1:1" ht="82.5" customHeight="1">
      <c r="A43" s="464" t="s">
        <v>745</v>
      </c>
    </row>
    <row r="44" spans="1:1" ht="15.75">
      <c r="A44" s="468"/>
    </row>
    <row r="45" spans="1:1" ht="15.75">
      <c r="A45" s="468"/>
    </row>
    <row r="46" spans="1:1" ht="69" customHeight="1">
      <c r="A46" s="464" t="s">
        <v>746</v>
      </c>
    </row>
    <row r="47" spans="1:1" ht="15.75">
      <c r="A47" s="468"/>
    </row>
    <row r="48" spans="1:1" ht="15.75">
      <c r="A48" s="468"/>
    </row>
    <row r="49" spans="1:1" ht="69" customHeight="1">
      <c r="A49" s="464" t="s">
        <v>747</v>
      </c>
    </row>
    <row r="50" spans="1:1" ht="15.75">
      <c r="A50" s="468"/>
    </row>
    <row r="51" spans="1:1" ht="15.75">
      <c r="A51" s="468"/>
    </row>
    <row r="52" spans="1:1" ht="54.75" customHeight="1">
      <c r="A52" s="464" t="s">
        <v>887</v>
      </c>
    </row>
    <row r="53" spans="1:1" ht="15.75">
      <c r="A53" s="468"/>
    </row>
    <row r="54" spans="1:1" ht="15.75">
      <c r="A54" s="468"/>
    </row>
    <row r="55" spans="1:1" ht="63">
      <c r="A55" s="324" t="s">
        <v>363</v>
      </c>
    </row>
    <row r="56" spans="1:1" ht="15.75">
      <c r="A56" s="468"/>
    </row>
    <row r="57" spans="1:1" ht="15.75">
      <c r="A57" s="468"/>
    </row>
    <row r="58" spans="1:1" ht="63">
      <c r="A58" s="324" t="s">
        <v>364</v>
      </c>
    </row>
    <row r="59" spans="1:1" ht="15.75">
      <c r="A59" s="468"/>
    </row>
    <row r="60" spans="1:1" ht="15.75">
      <c r="A60" s="468"/>
    </row>
    <row r="61" spans="1:1" ht="47.25">
      <c r="A61" s="324" t="s">
        <v>365</v>
      </c>
    </row>
    <row r="62" spans="1:1" ht="15.75">
      <c r="A62" s="468"/>
    </row>
    <row r="63" spans="1:1" ht="15.75">
      <c r="A63" s="468"/>
    </row>
    <row r="64" spans="1:1" ht="47.25">
      <c r="A64" s="324" t="s">
        <v>366</v>
      </c>
    </row>
    <row r="65" spans="1:1" ht="15.75">
      <c r="A65" s="468"/>
    </row>
    <row r="66" spans="1:1" ht="15.75">
      <c r="A66" s="468"/>
    </row>
    <row r="67" spans="1:1" ht="78.75">
      <c r="A67" s="324" t="s">
        <v>367</v>
      </c>
    </row>
    <row r="68" spans="1:1">
      <c r="A68" s="472"/>
    </row>
  </sheetData>
  <sheetProtection sheet="1" objects="1" scenarios="1"/>
  <pageMargins left="0.7" right="0.7" top="0.75" bottom="0.75" header="0.3" footer="0.3"/>
  <pageSetup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13</vt:i4>
      </vt:variant>
    </vt:vector>
  </HeadingPairs>
  <TitlesOfParts>
    <vt:vector size="55"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 </vt:lpstr>
      <vt:lpstr>general</vt:lpstr>
      <vt:lpstr>GenDetail</vt:lpstr>
      <vt:lpstr>DebtSvs-Library</vt:lpstr>
      <vt:lpstr>Emp Ben-St Res</vt:lpstr>
      <vt:lpstr>Airport</vt:lpstr>
      <vt:lpstr>levy page11</vt:lpstr>
      <vt:lpstr>levy page12</vt:lpstr>
      <vt:lpstr>levy page13</vt:lpstr>
      <vt:lpstr>Sp Hwy-Sp Parks</vt:lpstr>
      <vt:lpstr>Fuller-Refuse</vt:lpstr>
      <vt:lpstr>Bed Tax</vt:lpstr>
      <vt:lpstr>Water</vt:lpstr>
      <vt:lpstr>SinNoLevy18</vt:lpstr>
      <vt:lpstr>SinNoLevy19</vt:lpstr>
      <vt:lpstr>SinNoLevy20</vt:lpstr>
      <vt:lpstr>SinNoLevy21</vt:lpstr>
      <vt:lpstr>Cap Imp-Eq Res</vt:lpstr>
      <vt:lpstr>NonBudB</vt:lpstr>
      <vt:lpstr>NonBudFunds</vt:lpstr>
      <vt:lpstr>summ</vt:lpstr>
      <vt:lpstr>nhood</vt:lpstr>
      <vt:lpstr>Ordinance</vt:lpstr>
      <vt:lpstr>Tab A</vt:lpstr>
      <vt:lpstr>Tab B</vt:lpstr>
      <vt:lpstr>Tab C</vt:lpstr>
      <vt:lpstr>Tab D</vt:lpstr>
      <vt:lpstr>Tab E</vt:lpstr>
      <vt:lpstr>Mill Rate Computation</vt:lpstr>
      <vt:lpstr>Helpful Links</vt:lpstr>
      <vt:lpstr>Legend</vt:lpstr>
      <vt:lpstr>Airport!Print_Area</vt:lpstr>
      <vt:lpstr>'DebtSvs-Library'!Print_Area</vt:lpstr>
      <vt:lpstr>'Emp Ben-St Res'!Print_Area</vt:lpstr>
      <vt:lpstr>GenDetail!Print_Area</vt:lpstr>
      <vt:lpstr>general!Print_Area</vt:lpstr>
      <vt:lpstr>inputPrYr!Print_Area</vt:lpstr>
      <vt:lpstr>Instructions!Print_Area</vt:lpstr>
      <vt:lpstr>'levy page11'!Print_Area</vt:lpstr>
      <vt:lpstr>'levy page12'!Print_Area</vt:lpstr>
      <vt:lpstr>'levy page13'!Print_Area</vt:lpstr>
      <vt:lpstr>'Library Grant '!Print_Area</vt:lpstr>
      <vt:lpstr>lpform!Print_Area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astjohn</cp:lastModifiedBy>
  <cp:lastPrinted>2013-08-14T19:32:11Z</cp:lastPrinted>
  <dcterms:created xsi:type="dcterms:W3CDTF">1999-08-03T13:11:47Z</dcterms:created>
  <dcterms:modified xsi:type="dcterms:W3CDTF">2014-01-22T15:09:56Z</dcterms:modified>
</cp:coreProperties>
</file>