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5345" windowHeight="4650" activeTab="3"/>
  </bookViews>
  <sheets>
    <sheet name="Instructions" sheetId="1" r:id="rId1"/>
    <sheet name="inputPrYr" sheetId="2" r:id="rId2"/>
    <sheet name="inputOth" sheetId="43" r:id="rId3"/>
    <sheet name="inputBudSum" sheetId="54" r:id="rId4"/>
    <sheet name="cert" sheetId="3" r:id="rId5"/>
    <sheet name="computation" sheetId="24" r:id="rId6"/>
    <sheet name="mvalloc" sheetId="5" r:id="rId7"/>
    <sheet name="transfers" sheetId="32" r:id="rId8"/>
    <sheet name="TransferStatutes" sheetId="52" r:id="rId9"/>
    <sheet name="debt" sheetId="22" r:id="rId10"/>
    <sheet name="lpform" sheetId="23" r:id="rId11"/>
    <sheet name="Library Grant" sheetId="58" r:id="rId12"/>
    <sheet name="general" sheetId="7" r:id="rId13"/>
    <sheet name="GenDetail" sheetId="9" r:id="rId14"/>
    <sheet name="DebtSvs-Library" sheetId="34" r:id="rId15"/>
    <sheet name="Industrial-Rec" sheetId="8" r:id="rId16"/>
    <sheet name="Employee Benefits" sheetId="10" r:id="rId17"/>
    <sheet name="levy page11" sheetId="11" r:id="rId18"/>
    <sheet name="levy page12" sheetId="12" r:id="rId19"/>
    <sheet name="levy page13" sheetId="13" r:id="rId20"/>
    <sheet name="Sp Hiway-TIF" sheetId="14" r:id="rId21"/>
    <sheet name="Park -Rec Pool" sheetId="15" r:id="rId22"/>
    <sheet name="Water - Sewer" sheetId="16" r:id="rId23"/>
    <sheet name="Airport - Post Lantern" sheetId="17" r:id="rId24"/>
    <sheet name="storm water" sheetId="18" r:id="rId25"/>
    <sheet name="no levy page19" sheetId="19" r:id="rId26"/>
    <sheet name="SinNoLevy20" sheetId="35" r:id="rId27"/>
    <sheet name="SinNoLevy21" sheetId="36" r:id="rId28"/>
    <sheet name="SinNoLevy22" sheetId="37" r:id="rId29"/>
    <sheet name="SinNoLevy23" sheetId="38" r:id="rId30"/>
    <sheet name="NonBudA" sheetId="39" r:id="rId31"/>
    <sheet name="NonBudB" sheetId="40" r:id="rId32"/>
    <sheet name="NonBudC" sheetId="41" r:id="rId33"/>
    <sheet name="NonBudD" sheetId="42" r:id="rId34"/>
    <sheet name="NonBudFunds" sheetId="53" r:id="rId35"/>
    <sheet name="summ" sheetId="21" r:id="rId36"/>
    <sheet name="nhood" sheetId="44" r:id="rId37"/>
    <sheet name="TIF Comp" sheetId="45" r:id="rId38"/>
    <sheet name="TIF CountyClerk" sheetId="46" r:id="rId39"/>
    <sheet name="ordinance" sheetId="33" r:id="rId40"/>
    <sheet name="Tab A" sheetId="47" r:id="rId41"/>
    <sheet name="Tab B" sheetId="48" r:id="rId42"/>
    <sheet name="Tab C" sheetId="49" r:id="rId43"/>
    <sheet name="Tab D" sheetId="50" r:id="rId44"/>
    <sheet name="Tab E" sheetId="51" r:id="rId45"/>
    <sheet name="Mill Rate Computation" sheetId="57" r:id="rId46"/>
    <sheet name="Helpful Links" sheetId="56" r:id="rId47"/>
    <sheet name="legend" sheetId="25" r:id="rId48"/>
  </sheets>
  <definedNames>
    <definedName name="_xlnm.Print_Area" localSheetId="14">'DebtSvs-Library'!$A$1:$E$82</definedName>
    <definedName name="_xlnm.Print_Area" localSheetId="16">'Employee Benefits'!$B$1:$E$82</definedName>
    <definedName name="_xlnm.Print_Area" localSheetId="13">GenDetail!$A$1:$D$135</definedName>
    <definedName name="_xlnm.Print_Area" localSheetId="12">general!$B$1:$E$120</definedName>
    <definedName name="_xlnm.Print_Area" localSheetId="15">'Industrial-Rec'!$A$1:$E$82</definedName>
    <definedName name="_xlnm.Print_Area" localSheetId="1">inputPrYr!$A$1:$E$121</definedName>
    <definedName name="_xlnm.Print_Area" localSheetId="17">'levy page11'!$A$1:$E$82</definedName>
    <definedName name="_xlnm.Print_Area" localSheetId="18">'levy page12'!$A$1:$E$82</definedName>
    <definedName name="_xlnm.Print_Area" localSheetId="19">'levy page13'!$A$1:$E$82</definedName>
    <definedName name="_xlnm.Print_Area" localSheetId="11">'Library Grant'!$A$1:$J$40</definedName>
    <definedName name="_xlnm.Print_Area" localSheetId="10">lpform!$B$1:$I$38</definedName>
    <definedName name="_xlnm.Print_Area" localSheetId="35">summ!$A$1:$H$67</definedName>
  </definedNames>
  <calcPr calcId="125725"/>
</workbook>
</file>

<file path=xl/calcChain.xml><?xml version="1.0" encoding="utf-8"?>
<calcChain xmlns="http://schemas.openxmlformats.org/spreadsheetml/2006/main">
  <c r="C25" i="7"/>
  <c r="G16" i="58" l="1"/>
  <c r="D51" i="2"/>
  <c r="J67" i="13"/>
  <c r="J27"/>
  <c r="J67" i="12"/>
  <c r="J27"/>
  <c r="J67" i="11"/>
  <c r="J27"/>
  <c r="J67" i="10"/>
  <c r="J27"/>
  <c r="J67" i="8"/>
  <c r="J27"/>
  <c r="J67" i="34"/>
  <c r="J27"/>
  <c r="F53" i="21"/>
  <c r="J105" i="7"/>
  <c r="J29" i="13"/>
  <c r="J28"/>
  <c r="J29" i="12"/>
  <c r="J28"/>
  <c r="J29" i="11"/>
  <c r="J28"/>
  <c r="J29" i="10"/>
  <c r="J28"/>
  <c r="J29" i="8"/>
  <c r="J28"/>
  <c r="J29" i="34"/>
  <c r="J28"/>
  <c r="D47" i="13"/>
  <c r="D8"/>
  <c r="D20" s="1"/>
  <c r="D19" s="1"/>
  <c r="D47" i="12"/>
  <c r="D60" s="1"/>
  <c r="D59" s="1"/>
  <c r="D8"/>
  <c r="D47" i="11"/>
  <c r="D60" s="1"/>
  <c r="D8"/>
  <c r="D20" s="1"/>
  <c r="D47" i="10"/>
  <c r="D60" s="1"/>
  <c r="D59" s="1"/>
  <c r="D8"/>
  <c r="D20" s="1"/>
  <c r="D19" s="1"/>
  <c r="D47" i="8"/>
  <c r="D60" s="1"/>
  <c r="D59" s="1"/>
  <c r="D8"/>
  <c r="D20" s="1"/>
  <c r="D19" s="1"/>
  <c r="D47" i="34"/>
  <c r="D60" s="1"/>
  <c r="D59" s="1"/>
  <c r="D8"/>
  <c r="D20" s="1"/>
  <c r="D8" i="7"/>
  <c r="D56" s="1"/>
  <c r="D55" s="1"/>
  <c r="D18" i="3"/>
  <c r="B18"/>
  <c r="E19" i="58"/>
  <c r="E18"/>
  <c r="E17"/>
  <c r="E16"/>
  <c r="D39" i="34"/>
  <c r="D79"/>
  <c r="C19" i="44"/>
  <c r="D18"/>
  <c r="E18"/>
  <c r="E70" i="13" s="1"/>
  <c r="E73" s="1"/>
  <c r="E72" s="1"/>
  <c r="E27" i="21"/>
  <c r="G84" i="13" s="1"/>
  <c r="E26" i="21"/>
  <c r="G44" i="13" s="1"/>
  <c r="C27" i="21"/>
  <c r="C26"/>
  <c r="D32" i="3"/>
  <c r="D31"/>
  <c r="D30"/>
  <c r="D29"/>
  <c r="D28"/>
  <c r="D27"/>
  <c r="D26"/>
  <c r="D25"/>
  <c r="D24"/>
  <c r="D23"/>
  <c r="D22"/>
  <c r="C75" i="13"/>
  <c r="C35"/>
  <c r="C75" i="12"/>
  <c r="C35"/>
  <c r="C75" i="11"/>
  <c r="C35"/>
  <c r="C75" i="10"/>
  <c r="C35"/>
  <c r="C75" i="8"/>
  <c r="C35"/>
  <c r="D75" i="34"/>
  <c r="D93" s="1"/>
  <c r="C75"/>
  <c r="D35"/>
  <c r="D91" s="1"/>
  <c r="C35"/>
  <c r="B18" i="44"/>
  <c r="B17"/>
  <c r="B16"/>
  <c r="B15"/>
  <c r="B14"/>
  <c r="B13"/>
  <c r="B12"/>
  <c r="B11"/>
  <c r="B10"/>
  <c r="B9"/>
  <c r="B8"/>
  <c r="B44" i="34"/>
  <c r="B5"/>
  <c r="E1"/>
  <c r="H84" s="1"/>
  <c r="E64" i="7"/>
  <c r="D64"/>
  <c r="C64"/>
  <c r="B72" i="9"/>
  <c r="D72"/>
  <c r="C72"/>
  <c r="C59" i="7"/>
  <c r="D21" i="3"/>
  <c r="C32"/>
  <c r="C31"/>
  <c r="C30"/>
  <c r="C29"/>
  <c r="C28"/>
  <c r="C27"/>
  <c r="C26"/>
  <c r="C25"/>
  <c r="C24"/>
  <c r="C23"/>
  <c r="C22"/>
  <c r="B32"/>
  <c r="B31"/>
  <c r="B30"/>
  <c r="B29"/>
  <c r="B28"/>
  <c r="B27"/>
  <c r="B26"/>
  <c r="B25"/>
  <c r="B24"/>
  <c r="B23"/>
  <c r="B22"/>
  <c r="A73" i="43"/>
  <c r="A72"/>
  <c r="A71"/>
  <c r="A70"/>
  <c r="A69"/>
  <c r="A68"/>
  <c r="A67"/>
  <c r="A66"/>
  <c r="A65"/>
  <c r="A64"/>
  <c r="A63"/>
  <c r="C19" i="5"/>
  <c r="C18"/>
  <c r="C17"/>
  <c r="C16"/>
  <c r="C15"/>
  <c r="C14"/>
  <c r="C13"/>
  <c r="C12"/>
  <c r="C11"/>
  <c r="C10"/>
  <c r="C9"/>
  <c r="B19"/>
  <c r="B18"/>
  <c r="B17"/>
  <c r="B16"/>
  <c r="B15"/>
  <c r="B14"/>
  <c r="B13"/>
  <c r="B12"/>
  <c r="B11"/>
  <c r="B10"/>
  <c r="B9"/>
  <c r="A64" i="21"/>
  <c r="A65"/>
  <c r="A7"/>
  <c r="A5"/>
  <c r="A27"/>
  <c r="A26"/>
  <c r="A25"/>
  <c r="A24"/>
  <c r="A23"/>
  <c r="A22"/>
  <c r="A21"/>
  <c r="A20"/>
  <c r="A19"/>
  <c r="A18"/>
  <c r="A17"/>
  <c r="G20" i="54"/>
  <c r="G23" s="1"/>
  <c r="A34" i="43"/>
  <c r="A33"/>
  <c r="A32"/>
  <c r="A31"/>
  <c r="A30"/>
  <c r="A29"/>
  <c r="A28"/>
  <c r="A27"/>
  <c r="A26"/>
  <c r="A25"/>
  <c r="A24"/>
  <c r="G30" i="2"/>
  <c r="G29"/>
  <c r="G28"/>
  <c r="G27"/>
  <c r="G26"/>
  <c r="G25"/>
  <c r="G24"/>
  <c r="E15" i="58"/>
  <c r="G23" i="2"/>
  <c r="G22"/>
  <c r="G21"/>
  <c r="G17"/>
  <c r="G19"/>
  <c r="G18"/>
  <c r="B92"/>
  <c r="B91"/>
  <c r="B90"/>
  <c r="B89"/>
  <c r="B88"/>
  <c r="B87"/>
  <c r="B86"/>
  <c r="B85"/>
  <c r="B84"/>
  <c r="B83"/>
  <c r="B82"/>
  <c r="B19" i="58"/>
  <c r="B18"/>
  <c r="B17"/>
  <c r="B16"/>
  <c r="B15"/>
  <c r="G14"/>
  <c r="B46" s="1"/>
  <c r="E14"/>
  <c r="B47" s="1"/>
  <c r="B5"/>
  <c r="B8"/>
  <c r="B7"/>
  <c r="B89"/>
  <c r="B1" i="34"/>
  <c r="D73"/>
  <c r="C73"/>
  <c r="C60"/>
  <c r="D33"/>
  <c r="D16" i="21" s="1"/>
  <c r="C33" i="34"/>
  <c r="B16" i="21" s="1"/>
  <c r="C20" i="34"/>
  <c r="C21" s="1"/>
  <c r="D5"/>
  <c r="D44" s="1"/>
  <c r="J148" i="57"/>
  <c r="H134"/>
  <c r="C137" s="1"/>
  <c r="J137" s="1"/>
  <c r="H120"/>
  <c r="C123" s="1"/>
  <c r="H114"/>
  <c r="F117" s="1"/>
  <c r="H117" s="1"/>
  <c r="F123" s="1"/>
  <c r="J123" s="1"/>
  <c r="H100"/>
  <c r="C103" s="1"/>
  <c r="H94"/>
  <c r="F97" s="1"/>
  <c r="H97" s="1"/>
  <c r="F103" s="1"/>
  <c r="J103" s="1"/>
  <c r="H80"/>
  <c r="C83" s="1"/>
  <c r="H74"/>
  <c r="F77" s="1"/>
  <c r="H77" s="1"/>
  <c r="F83" s="1"/>
  <c r="J83" s="1"/>
  <c r="F50"/>
  <c r="J50" s="1"/>
  <c r="H48"/>
  <c r="H41"/>
  <c r="B28"/>
  <c r="H28" s="1"/>
  <c r="H25"/>
  <c r="C25"/>
  <c r="B5" i="7"/>
  <c r="C73" i="8"/>
  <c r="D39" i="13"/>
  <c r="D39" i="8"/>
  <c r="D79" i="13"/>
  <c r="D79" i="12"/>
  <c r="D39"/>
  <c r="D79" i="11"/>
  <c r="D39"/>
  <c r="D79" i="10"/>
  <c r="D39"/>
  <c r="D79" i="8"/>
  <c r="D75" i="13"/>
  <c r="D92" s="1"/>
  <c r="D35"/>
  <c r="D75" i="12"/>
  <c r="D35"/>
  <c r="D75" i="11"/>
  <c r="D35"/>
  <c r="D75" i="10"/>
  <c r="D35"/>
  <c r="D75" i="8"/>
  <c r="D35"/>
  <c r="D117" i="7"/>
  <c r="C113"/>
  <c r="D113"/>
  <c r="A25" i="47"/>
  <c r="A8" i="51"/>
  <c r="A46" i="50"/>
  <c r="A41"/>
  <c r="A6"/>
  <c r="A38" i="49"/>
  <c r="A33"/>
  <c r="A19"/>
  <c r="A6"/>
  <c r="A34" i="48"/>
  <c r="A33"/>
  <c r="A6"/>
  <c r="A77" i="47"/>
  <c r="A74"/>
  <c r="A33"/>
  <c r="A28"/>
  <c r="A16"/>
  <c r="A6"/>
  <c r="B80" i="7"/>
  <c r="B81"/>
  <c r="B82"/>
  <c r="B83"/>
  <c r="B79"/>
  <c r="B78"/>
  <c r="B77"/>
  <c r="B76"/>
  <c r="B81" i="9"/>
  <c r="C76" i="7" s="1"/>
  <c r="C81" i="9"/>
  <c r="D76" i="7" s="1"/>
  <c r="D81" i="9"/>
  <c r="B88"/>
  <c r="C88"/>
  <c r="D77" i="7" s="1"/>
  <c r="D88" i="9"/>
  <c r="E77" i="7" s="1"/>
  <c r="B95" i="9"/>
  <c r="C78" i="7" s="1"/>
  <c r="C95" i="9"/>
  <c r="D78" i="7"/>
  <c r="D95" i="9"/>
  <c r="E78" i="7" s="1"/>
  <c r="B101" i="9"/>
  <c r="C79" i="7" s="1"/>
  <c r="C101" i="9"/>
  <c r="D79" i="7" s="1"/>
  <c r="D101" i="9"/>
  <c r="E79" i="7" s="1"/>
  <c r="B108" i="9"/>
  <c r="C80" i="7" s="1"/>
  <c r="C108" i="9"/>
  <c r="D80" i="7"/>
  <c r="D108" i="9"/>
  <c r="E80" i="7" s="1"/>
  <c r="B115" i="9"/>
  <c r="C81" i="7" s="1"/>
  <c r="C115" i="9"/>
  <c r="D81" i="7" s="1"/>
  <c r="D115" i="9"/>
  <c r="E81" i="7" s="1"/>
  <c r="B122" i="9"/>
  <c r="C82" i="7" s="1"/>
  <c r="C122" i="9"/>
  <c r="D82" i="7"/>
  <c r="D122" i="9"/>
  <c r="E82" i="7" s="1"/>
  <c r="B129" i="9"/>
  <c r="C83" i="7" s="1"/>
  <c r="C129" i="9"/>
  <c r="D83" i="7" s="1"/>
  <c r="D129" i="9"/>
  <c r="E83" i="7"/>
  <c r="D22" i="44"/>
  <c r="D24" s="1"/>
  <c r="E9" i="46"/>
  <c r="D57" i="3"/>
  <c r="E24" i="46"/>
  <c r="E19"/>
  <c r="E10"/>
  <c r="A1"/>
  <c r="F1"/>
  <c r="E13" i="45"/>
  <c r="E15" s="1"/>
  <c r="E19" s="1"/>
  <c r="E8"/>
  <c r="E10" s="1"/>
  <c r="E18" s="1"/>
  <c r="A1"/>
  <c r="F1"/>
  <c r="E31" i="2"/>
  <c r="J5" i="24" s="1"/>
  <c r="A96" i="2"/>
  <c r="A95"/>
  <c r="D78"/>
  <c r="D60" i="13"/>
  <c r="D59" s="1"/>
  <c r="D20" i="12"/>
  <c r="C30" i="14"/>
  <c r="B28" i="21" s="1"/>
  <c r="C17" i="14"/>
  <c r="C18"/>
  <c r="D30"/>
  <c r="D28" i="21" s="1"/>
  <c r="E30" i="14"/>
  <c r="E33" i="3" s="1"/>
  <c r="C32" i="14"/>
  <c r="D32"/>
  <c r="C61"/>
  <c r="B29" i="21" s="1"/>
  <c r="D61" i="14"/>
  <c r="E61"/>
  <c r="F29" i="21" s="1"/>
  <c r="C63" i="14"/>
  <c r="D63"/>
  <c r="C28" i="15"/>
  <c r="C27" s="1"/>
  <c r="D28"/>
  <c r="E28"/>
  <c r="C30"/>
  <c r="D30"/>
  <c r="D31" s="1"/>
  <c r="C59"/>
  <c r="C58" s="1"/>
  <c r="D59"/>
  <c r="E59"/>
  <c r="C61"/>
  <c r="C62" s="1"/>
  <c r="D61"/>
  <c r="C28" i="16"/>
  <c r="C27" s="1"/>
  <c r="D28"/>
  <c r="E28"/>
  <c r="E37" i="3" s="1"/>
  <c r="C30" i="16"/>
  <c r="D30"/>
  <c r="C59"/>
  <c r="C58" s="1"/>
  <c r="D59"/>
  <c r="D33" i="21" s="1"/>
  <c r="E59" i="16"/>
  <c r="C61"/>
  <c r="D61"/>
  <c r="C28" i="17"/>
  <c r="C27" s="1"/>
  <c r="D28"/>
  <c r="D27" s="1"/>
  <c r="E28"/>
  <c r="E27" s="1"/>
  <c r="C30"/>
  <c r="D30"/>
  <c r="C59"/>
  <c r="D59"/>
  <c r="D58" s="1"/>
  <c r="E59"/>
  <c r="C61"/>
  <c r="D61"/>
  <c r="C28" i="18"/>
  <c r="C27" s="1"/>
  <c r="D28"/>
  <c r="D36" i="21" s="1"/>
  <c r="E28" i="18"/>
  <c r="F36" i="21" s="1"/>
  <c r="D30" i="18"/>
  <c r="C30"/>
  <c r="C59"/>
  <c r="D59"/>
  <c r="E59"/>
  <c r="F37" i="21" s="1"/>
  <c r="C61" i="18"/>
  <c r="C62" s="1"/>
  <c r="D61"/>
  <c r="C28" i="19"/>
  <c r="C27" s="1"/>
  <c r="D28"/>
  <c r="E28"/>
  <c r="D30"/>
  <c r="C30"/>
  <c r="C59"/>
  <c r="D59"/>
  <c r="D58" s="1"/>
  <c r="E59"/>
  <c r="D61"/>
  <c r="D62" s="1"/>
  <c r="C61"/>
  <c r="C47" i="35"/>
  <c r="C46" s="1"/>
  <c r="D47"/>
  <c r="E47"/>
  <c r="D49"/>
  <c r="C49"/>
  <c r="C50" s="1"/>
  <c r="C47" i="36"/>
  <c r="D47"/>
  <c r="E47"/>
  <c r="C49"/>
  <c r="C50" s="1"/>
  <c r="D49"/>
  <c r="C47" i="37"/>
  <c r="D47"/>
  <c r="E47"/>
  <c r="F42" i="21" s="1"/>
  <c r="D49" i="37"/>
  <c r="C49"/>
  <c r="C47" i="38"/>
  <c r="D47"/>
  <c r="E47"/>
  <c r="D49"/>
  <c r="C49"/>
  <c r="C50" s="1"/>
  <c r="D63" i="9"/>
  <c r="E75" i="7" s="1"/>
  <c r="D56" i="9"/>
  <c r="E74" i="7" s="1"/>
  <c r="D49" i="9"/>
  <c r="E73" i="7" s="1"/>
  <c r="D42" i="9"/>
  <c r="E72" i="7" s="1"/>
  <c r="D35" i="9"/>
  <c r="E71" i="7" s="1"/>
  <c r="D29" i="9"/>
  <c r="E70" i="7" s="1"/>
  <c r="C63" i="9"/>
  <c r="D75" i="7"/>
  <c r="C56" i="9"/>
  <c r="D74" i="7"/>
  <c r="C49" i="9"/>
  <c r="D73" i="7"/>
  <c r="C42" i="9"/>
  <c r="D72" i="7"/>
  <c r="C35" i="9"/>
  <c r="D71" i="7"/>
  <c r="C29" i="9"/>
  <c r="D70" i="7" s="1"/>
  <c r="D22" i="9"/>
  <c r="E69" i="7" s="1"/>
  <c r="C15" i="9"/>
  <c r="D68" i="7"/>
  <c r="C22" i="9"/>
  <c r="D69" i="7"/>
  <c r="B63" i="9"/>
  <c r="C75" i="7"/>
  <c r="B56" i="9"/>
  <c r="C74" i="7"/>
  <c r="B49" i="9"/>
  <c r="C73" i="7" s="1"/>
  <c r="B42" i="9"/>
  <c r="C72" i="7" s="1"/>
  <c r="B35" i="9"/>
  <c r="C71" i="7" s="1"/>
  <c r="B29" i="9"/>
  <c r="C70" i="7"/>
  <c r="B22" i="9"/>
  <c r="C69" i="7"/>
  <c r="D15" i="9"/>
  <c r="E68" i="7" s="1"/>
  <c r="B15" i="9"/>
  <c r="C68" i="7"/>
  <c r="B74"/>
  <c r="B75"/>
  <c r="B73"/>
  <c r="B72"/>
  <c r="B71"/>
  <c r="B70"/>
  <c r="B69"/>
  <c r="B68"/>
  <c r="J6" i="24"/>
  <c r="D33" i="11"/>
  <c r="D33" i="10"/>
  <c r="D73"/>
  <c r="D21" i="21" s="1"/>
  <c r="D33" i="8"/>
  <c r="D73"/>
  <c r="C7" i="5"/>
  <c r="C8"/>
  <c r="C73" i="13"/>
  <c r="C60"/>
  <c r="D73"/>
  <c r="D27" i="21"/>
  <c r="C33" i="13"/>
  <c r="C20"/>
  <c r="C21" s="1"/>
  <c r="D33"/>
  <c r="D26" i="21" s="1"/>
  <c r="C73" i="12"/>
  <c r="G78" s="1"/>
  <c r="C60"/>
  <c r="C61"/>
  <c r="C74" s="1"/>
  <c r="D73"/>
  <c r="D25" i="21" s="1"/>
  <c r="C33" i="12"/>
  <c r="C32" s="1"/>
  <c r="G38"/>
  <c r="C20"/>
  <c r="D33"/>
  <c r="D24" i="21" s="1"/>
  <c r="C73" i="11"/>
  <c r="B23" i="21" s="1"/>
  <c r="C60" i="11"/>
  <c r="C59" s="1"/>
  <c r="D73"/>
  <c r="D23" i="21" s="1"/>
  <c r="C33" i="11"/>
  <c r="B22" i="21" s="1"/>
  <c r="C20" i="11"/>
  <c r="C21" s="1"/>
  <c r="C34" s="1"/>
  <c r="C73" i="10"/>
  <c r="C60"/>
  <c r="C33"/>
  <c r="C20"/>
  <c r="C21" s="1"/>
  <c r="C60" i="8"/>
  <c r="C61" s="1"/>
  <c r="C33"/>
  <c r="C32" s="1"/>
  <c r="C20"/>
  <c r="C19" s="1"/>
  <c r="C56" i="7"/>
  <c r="C57" s="1"/>
  <c r="C66" s="1"/>
  <c r="E1" i="13"/>
  <c r="B75" s="1"/>
  <c r="E1" i="12"/>
  <c r="G31" s="1"/>
  <c r="E1" i="11"/>
  <c r="C80" s="1"/>
  <c r="E1" i="10"/>
  <c r="B35" s="1"/>
  <c r="E1" i="8"/>
  <c r="G31" s="1"/>
  <c r="E1" i="7"/>
  <c r="E1" i="14"/>
  <c r="E1" i="15"/>
  <c r="B61" s="1"/>
  <c r="E1" i="16"/>
  <c r="D5" s="1"/>
  <c r="D36" s="1"/>
  <c r="E1" i="17"/>
  <c r="E5" s="1"/>
  <c r="E36" s="1"/>
  <c r="E1" i="18"/>
  <c r="B30" s="1"/>
  <c r="E1" i="19"/>
  <c r="E5" s="1"/>
  <c r="E36" s="1"/>
  <c r="E1" i="37"/>
  <c r="E1" i="38"/>
  <c r="D5" s="1"/>
  <c r="F1" i="44"/>
  <c r="A32" s="1"/>
  <c r="E15" i="2"/>
  <c r="G16" s="1"/>
  <c r="D15"/>
  <c r="A51"/>
  <c r="J28" i="42"/>
  <c r="J29" s="1"/>
  <c r="J30" s="1"/>
  <c r="J17"/>
  <c r="J18" s="1"/>
  <c r="H28"/>
  <c r="H17"/>
  <c r="H18"/>
  <c r="H29" s="1"/>
  <c r="H30" s="1"/>
  <c r="F28"/>
  <c r="F17"/>
  <c r="F18" s="1"/>
  <c r="F29" s="1"/>
  <c r="F30" s="1"/>
  <c r="D28"/>
  <c r="D29" s="1"/>
  <c r="D30" s="1"/>
  <c r="D17"/>
  <c r="D18"/>
  <c r="B28"/>
  <c r="B17"/>
  <c r="B18" s="1"/>
  <c r="J28" i="41"/>
  <c r="J17"/>
  <c r="J18" s="1"/>
  <c r="J29" s="1"/>
  <c r="J30" s="1"/>
  <c r="H28"/>
  <c r="H17"/>
  <c r="H18"/>
  <c r="F28"/>
  <c r="F17"/>
  <c r="F18" s="1"/>
  <c r="F29" s="1"/>
  <c r="F30" s="1"/>
  <c r="D28"/>
  <c r="D17"/>
  <c r="D18"/>
  <c r="B28"/>
  <c r="B17"/>
  <c r="B18" s="1"/>
  <c r="B29" s="1"/>
  <c r="B30" s="1"/>
  <c r="J28" i="40"/>
  <c r="J17"/>
  <c r="J18" s="1"/>
  <c r="H28"/>
  <c r="H29" s="1"/>
  <c r="H30" s="1"/>
  <c r="H17"/>
  <c r="H18" s="1"/>
  <c r="F17"/>
  <c r="F18" s="1"/>
  <c r="F29" s="1"/>
  <c r="F30" s="1"/>
  <c r="F28"/>
  <c r="D17"/>
  <c r="D18" s="1"/>
  <c r="D29" s="1"/>
  <c r="D30" s="1"/>
  <c r="D28"/>
  <c r="B17"/>
  <c r="B18" s="1"/>
  <c r="B28"/>
  <c r="J17" i="39"/>
  <c r="J18" s="1"/>
  <c r="J29" s="1"/>
  <c r="J30" s="1"/>
  <c r="J28"/>
  <c r="H17"/>
  <c r="H18" s="1"/>
  <c r="H28"/>
  <c r="H29" s="1"/>
  <c r="H30" s="1"/>
  <c r="F17"/>
  <c r="F18" s="1"/>
  <c r="F28"/>
  <c r="D17"/>
  <c r="D18"/>
  <c r="D29" s="1"/>
  <c r="D30" s="1"/>
  <c r="D28"/>
  <c r="B28"/>
  <c r="B17"/>
  <c r="B18"/>
  <c r="I5" i="42"/>
  <c r="G5"/>
  <c r="E5"/>
  <c r="C5"/>
  <c r="A5"/>
  <c r="E28" i="24"/>
  <c r="G11"/>
  <c r="E14"/>
  <c r="E15"/>
  <c r="E19"/>
  <c r="E20"/>
  <c r="E21"/>
  <c r="G24"/>
  <c r="K1" i="42"/>
  <c r="F2" s="1"/>
  <c r="K1" i="41"/>
  <c r="F2" s="1"/>
  <c r="K1" i="40"/>
  <c r="F2" s="1"/>
  <c r="K1" i="39"/>
  <c r="F2" s="1"/>
  <c r="H2" i="21"/>
  <c r="B12" s="1"/>
  <c r="E1" i="43"/>
  <c r="A52" s="1"/>
  <c r="D56" i="3"/>
  <c r="E9" i="14"/>
  <c r="D9"/>
  <c r="D22" i="5"/>
  <c r="E23"/>
  <c r="F24"/>
  <c r="E14" i="7"/>
  <c r="E15"/>
  <c r="E13"/>
  <c r="D6" i="44"/>
  <c r="E6" s="1"/>
  <c r="E108" i="7" s="1"/>
  <c r="D7" i="44"/>
  <c r="E7" s="1"/>
  <c r="E30" i="34" s="1"/>
  <c r="E33" s="1"/>
  <c r="F16" i="21" s="1"/>
  <c r="D8" i="44"/>
  <c r="E8" s="1"/>
  <c r="E70" i="34" s="1"/>
  <c r="E73" s="1"/>
  <c r="D9" i="44"/>
  <c r="E9"/>
  <c r="E30" i="8" s="1"/>
  <c r="E33" s="1"/>
  <c r="D10" i="44"/>
  <c r="E10"/>
  <c r="E70" i="8" s="1"/>
  <c r="E73" s="1"/>
  <c r="F19" i="21" s="1"/>
  <c r="D11" i="44"/>
  <c r="E11" s="1"/>
  <c r="E30" i="10" s="1"/>
  <c r="E33" s="1"/>
  <c r="E37" s="1"/>
  <c r="D12" i="44"/>
  <c r="E12"/>
  <c r="E70" i="10" s="1"/>
  <c r="E73" s="1"/>
  <c r="D13" i="44"/>
  <c r="E13"/>
  <c r="E30" i="11" s="1"/>
  <c r="E33" s="1"/>
  <c r="D14" i="44"/>
  <c r="E14"/>
  <c r="E70" i="11" s="1"/>
  <c r="E73" s="1"/>
  <c r="E28" i="3" s="1"/>
  <c r="D15" i="44"/>
  <c r="E15"/>
  <c r="E30" i="12" s="1"/>
  <c r="E33" s="1"/>
  <c r="D17" i="44"/>
  <c r="E17"/>
  <c r="E30" i="13" s="1"/>
  <c r="E33" s="1"/>
  <c r="D16" i="44"/>
  <c r="E16"/>
  <c r="E70" i="12" s="1"/>
  <c r="E73" s="1"/>
  <c r="F25" i="21" s="1"/>
  <c r="A1" i="44"/>
  <c r="B7"/>
  <c r="B6"/>
  <c r="E15" i="18"/>
  <c r="E14" s="1"/>
  <c r="D15"/>
  <c r="D14" s="1"/>
  <c r="C15"/>
  <c r="C16" s="1"/>
  <c r="C14"/>
  <c r="D48" i="14"/>
  <c r="C48"/>
  <c r="C47" s="1"/>
  <c r="E19" i="38"/>
  <c r="E18" s="1"/>
  <c r="D19"/>
  <c r="D18" s="1"/>
  <c r="C19"/>
  <c r="C18"/>
  <c r="C46"/>
  <c r="E19" i="37"/>
  <c r="E18" s="1"/>
  <c r="D19"/>
  <c r="D18" s="1"/>
  <c r="C19"/>
  <c r="C18" s="1"/>
  <c r="E46"/>
  <c r="E19" i="36"/>
  <c r="E18" s="1"/>
  <c r="D19"/>
  <c r="D18" s="1"/>
  <c r="C19"/>
  <c r="C20" s="1"/>
  <c r="C48" s="1"/>
  <c r="D6" s="1"/>
  <c r="C18"/>
  <c r="C46"/>
  <c r="E19" i="35"/>
  <c r="E18" s="1"/>
  <c r="D19"/>
  <c r="D18" s="1"/>
  <c r="C19"/>
  <c r="C18" s="1"/>
  <c r="D46"/>
  <c r="E58" i="19"/>
  <c r="E46"/>
  <c r="E45" s="1"/>
  <c r="D46"/>
  <c r="D45" s="1"/>
  <c r="C46"/>
  <c r="E15"/>
  <c r="E14"/>
  <c r="D15"/>
  <c r="D14" s="1"/>
  <c r="C15"/>
  <c r="C14" s="1"/>
  <c r="D58" i="18"/>
  <c r="C58"/>
  <c r="E46"/>
  <c r="E45" s="1"/>
  <c r="D46"/>
  <c r="D45" s="1"/>
  <c r="C46"/>
  <c r="C45"/>
  <c r="D27"/>
  <c r="E58" i="17"/>
  <c r="C58"/>
  <c r="E46"/>
  <c r="E45" s="1"/>
  <c r="D46"/>
  <c r="D45" s="1"/>
  <c r="C46"/>
  <c r="C45" s="1"/>
  <c r="E15"/>
  <c r="E14" s="1"/>
  <c r="D15"/>
  <c r="D14" s="1"/>
  <c r="C15"/>
  <c r="C16" s="1"/>
  <c r="C14"/>
  <c r="E15" i="16"/>
  <c r="E14" s="1"/>
  <c r="D15"/>
  <c r="D14"/>
  <c r="C15"/>
  <c r="C14" s="1"/>
  <c r="E46"/>
  <c r="E45" s="1"/>
  <c r="D46"/>
  <c r="D45" s="1"/>
  <c r="C46"/>
  <c r="C45" s="1"/>
  <c r="E15" i="15"/>
  <c r="E14" s="1"/>
  <c r="D15"/>
  <c r="D14" s="1"/>
  <c r="C15"/>
  <c r="C16" s="1"/>
  <c r="D27"/>
  <c r="E46"/>
  <c r="E45" s="1"/>
  <c r="D46"/>
  <c r="D45" s="1"/>
  <c r="C46"/>
  <c r="C45" s="1"/>
  <c r="E8" i="14"/>
  <c r="D8"/>
  <c r="C16"/>
  <c r="D29"/>
  <c r="C29"/>
  <c r="D72" i="13"/>
  <c r="D32"/>
  <c r="C72" i="12"/>
  <c r="C59"/>
  <c r="D72" i="11"/>
  <c r="C19"/>
  <c r="D26" i="44"/>
  <c r="D28" s="1"/>
  <c r="E1" i="35"/>
  <c r="E1" i="36"/>
  <c r="B49" s="1"/>
  <c r="C20" i="37"/>
  <c r="C16" i="19"/>
  <c r="C29" s="1"/>
  <c r="C47" i="18"/>
  <c r="C60" s="1"/>
  <c r="A89" i="43"/>
  <c r="A88"/>
  <c r="A87"/>
  <c r="A86"/>
  <c r="A85"/>
  <c r="A84"/>
  <c r="A83"/>
  <c r="A82"/>
  <c r="A81"/>
  <c r="A80"/>
  <c r="A79"/>
  <c r="A78"/>
  <c r="A77"/>
  <c r="A76"/>
  <c r="A75"/>
  <c r="A74"/>
  <c r="A62"/>
  <c r="A61"/>
  <c r="C59"/>
  <c r="C25" i="21"/>
  <c r="C24"/>
  <c r="C23"/>
  <c r="C22"/>
  <c r="C21"/>
  <c r="C20"/>
  <c r="C19"/>
  <c r="C18"/>
  <c r="C17"/>
  <c r="G1" i="5"/>
  <c r="C26" i="32"/>
  <c r="C28" s="1"/>
  <c r="B49" i="21" s="1"/>
  <c r="B52" i="3"/>
  <c r="B51"/>
  <c r="B50"/>
  <c r="B49"/>
  <c r="A47" i="21"/>
  <c r="A46"/>
  <c r="A45"/>
  <c r="A44"/>
  <c r="M1" i="22"/>
  <c r="G7" s="1"/>
  <c r="D99" i="2"/>
  <c r="E99"/>
  <c r="A13"/>
  <c r="A98"/>
  <c r="K7" i="42"/>
  <c r="A1"/>
  <c r="A1" i="41"/>
  <c r="A1" i="40"/>
  <c r="A1" i="39"/>
  <c r="B1" i="22"/>
  <c r="J1" i="24"/>
  <c r="B18" s="1"/>
  <c r="A31" i="2"/>
  <c r="A21" i="33"/>
  <c r="A27"/>
  <c r="A15"/>
  <c r="A4"/>
  <c r="E26" i="32"/>
  <c r="E28" s="1"/>
  <c r="F49" i="21" s="1"/>
  <c r="D26" i="32"/>
  <c r="D28" s="1"/>
  <c r="D49" i="21" s="1"/>
  <c r="D35" i="43"/>
  <c r="G42" i="22"/>
  <c r="F59" i="21" s="1"/>
  <c r="G32" i="22"/>
  <c r="F58" i="21"/>
  <c r="G20" i="22"/>
  <c r="F57" i="21"/>
  <c r="E25"/>
  <c r="G84" i="12" s="1"/>
  <c r="E24" i="21"/>
  <c r="G44" i="12" s="1"/>
  <c r="E23" i="21"/>
  <c r="G84" i="11" s="1"/>
  <c r="E22" i="21"/>
  <c r="G44" i="11" s="1"/>
  <c r="E21" i="21"/>
  <c r="G84" i="10" s="1"/>
  <c r="E20" i="21"/>
  <c r="G44" i="10" s="1"/>
  <c r="E19" i="21"/>
  <c r="G84" i="8" s="1"/>
  <c r="E18" i="21"/>
  <c r="G44" i="8" s="1"/>
  <c r="E17" i="21"/>
  <c r="G84" i="34" s="1"/>
  <c r="E16" i="21"/>
  <c r="G44" i="34" s="1"/>
  <c r="E15" i="21"/>
  <c r="G122" i="7" s="1"/>
  <c r="F41" i="21"/>
  <c r="D40"/>
  <c r="B43"/>
  <c r="B41"/>
  <c r="B40"/>
  <c r="E45" i="3"/>
  <c r="D52"/>
  <c r="D51"/>
  <c r="D50"/>
  <c r="D49"/>
  <c r="D48"/>
  <c r="D47"/>
  <c r="D46"/>
  <c r="D45"/>
  <c r="D53" i="21"/>
  <c r="E27" i="58" s="1"/>
  <c r="A16" i="21"/>
  <c r="C16"/>
  <c r="A39"/>
  <c r="B44" i="3"/>
  <c r="B36" i="19"/>
  <c r="D93" i="2"/>
  <c r="C21" i="3"/>
  <c r="B8" i="5"/>
  <c r="B1"/>
  <c r="F1" i="32"/>
  <c r="D7" s="1"/>
  <c r="A1"/>
  <c r="M20" i="22"/>
  <c r="M32"/>
  <c r="M42"/>
  <c r="L20"/>
  <c r="L32"/>
  <c r="L42"/>
  <c r="K20"/>
  <c r="K32"/>
  <c r="K42"/>
  <c r="J20"/>
  <c r="J32"/>
  <c r="J42"/>
  <c r="I1" i="23"/>
  <c r="G9" s="1"/>
  <c r="D1" i="9"/>
  <c r="I1" i="3"/>
  <c r="G56" s="1"/>
  <c r="B2"/>
  <c r="A1" i="43"/>
  <c r="B5" i="35"/>
  <c r="B1"/>
  <c r="B5" i="36"/>
  <c r="B1"/>
  <c r="B5" i="37"/>
  <c r="B1"/>
  <c r="B5" i="38"/>
  <c r="B1"/>
  <c r="I5" i="41"/>
  <c r="G5"/>
  <c r="E5"/>
  <c r="C5"/>
  <c r="A5"/>
  <c r="I5" i="40"/>
  <c r="G5"/>
  <c r="E5"/>
  <c r="C5"/>
  <c r="A5"/>
  <c r="I5" i="39"/>
  <c r="G5"/>
  <c r="E5"/>
  <c r="C5"/>
  <c r="A5"/>
  <c r="D60" i="21"/>
  <c r="D59"/>
  <c r="D58"/>
  <c r="D57"/>
  <c r="B60"/>
  <c r="B59"/>
  <c r="B58"/>
  <c r="B57"/>
  <c r="B81" i="2"/>
  <c r="A79"/>
  <c r="D79"/>
  <c r="A51" i="43"/>
  <c r="K7" i="41"/>
  <c r="K7" i="40"/>
  <c r="K7" i="39"/>
  <c r="A7" i="33"/>
  <c r="A13"/>
  <c r="A43" i="21"/>
  <c r="A42"/>
  <c r="A41"/>
  <c r="B48" i="3"/>
  <c r="B47"/>
  <c r="B46"/>
  <c r="B44" i="13"/>
  <c r="C20" i="3"/>
  <c r="D44"/>
  <c r="D43"/>
  <c r="D42"/>
  <c r="D41"/>
  <c r="D40"/>
  <c r="D39"/>
  <c r="D38"/>
  <c r="D37"/>
  <c r="D36"/>
  <c r="D35"/>
  <c r="D34"/>
  <c r="D33"/>
  <c r="B45"/>
  <c r="B43"/>
  <c r="B42"/>
  <c r="B41"/>
  <c r="B40"/>
  <c r="B39"/>
  <c r="B38"/>
  <c r="B37"/>
  <c r="B36"/>
  <c r="B35"/>
  <c r="B34"/>
  <c r="B33"/>
  <c r="D55"/>
  <c r="B4"/>
  <c r="E36"/>
  <c r="E40"/>
  <c r="E44"/>
  <c r="C1" i="24"/>
  <c r="A1" i="9"/>
  <c r="A69" s="1"/>
  <c r="B65" i="7"/>
  <c r="B61"/>
  <c r="B1"/>
  <c r="B80" i="2"/>
  <c r="B1" i="23"/>
  <c r="I28"/>
  <c r="H28"/>
  <c r="G28"/>
  <c r="F60" i="21" s="1"/>
  <c r="B7" i="5"/>
  <c r="B44" i="12"/>
  <c r="B5"/>
  <c r="B1"/>
  <c r="B5" i="13"/>
  <c r="B1"/>
  <c r="B36" i="15"/>
  <c r="B5"/>
  <c r="B1"/>
  <c r="B36" i="16"/>
  <c r="B5"/>
  <c r="B1"/>
  <c r="B36" i="17"/>
  <c r="B5"/>
  <c r="B1"/>
  <c r="B36" i="18"/>
  <c r="B5"/>
  <c r="B1"/>
  <c r="B5" i="19"/>
  <c r="B1"/>
  <c r="B5" i="8"/>
  <c r="B44"/>
  <c r="B1"/>
  <c r="B44" i="10"/>
  <c r="B5"/>
  <c r="B1"/>
  <c r="B44" i="11"/>
  <c r="B5"/>
  <c r="B1"/>
  <c r="B38" i="14"/>
  <c r="B5"/>
  <c r="B1"/>
  <c r="A40" i="21"/>
  <c r="A38"/>
  <c r="A37"/>
  <c r="A36"/>
  <c r="A35"/>
  <c r="A34"/>
  <c r="A33"/>
  <c r="A32"/>
  <c r="A31"/>
  <c r="A30"/>
  <c r="A29"/>
  <c r="A28"/>
  <c r="C15"/>
  <c r="B38"/>
  <c r="B37"/>
  <c r="B31"/>
  <c r="D37"/>
  <c r="D30"/>
  <c r="F39"/>
  <c r="F35"/>
  <c r="B51"/>
  <c r="B53"/>
  <c r="A4"/>
  <c r="A15"/>
  <c r="D47" i="14"/>
  <c r="D60"/>
  <c r="D29" i="21"/>
  <c r="E34" i="3"/>
  <c r="E60" i="14"/>
  <c r="B6" i="24"/>
  <c r="C14"/>
  <c r="B14" i="45"/>
  <c r="C131" i="9"/>
  <c r="B4" i="46"/>
  <c r="B30" i="15"/>
  <c r="D62" i="18"/>
  <c r="C31" i="19"/>
  <c r="D29" i="41"/>
  <c r="D30" s="1"/>
  <c r="C19" i="13"/>
  <c r="C118" i="7"/>
  <c r="C20" i="38"/>
  <c r="C48" s="1"/>
  <c r="D6" s="1"/>
  <c r="D20" s="1"/>
  <c r="D48" s="1"/>
  <c r="E11" i="46"/>
  <c r="G55" i="3" s="1"/>
  <c r="G32" s="1"/>
  <c r="C19" i="34"/>
  <c r="H35"/>
  <c r="G78"/>
  <c r="C51" i="38"/>
  <c r="B21" i="21"/>
  <c r="C92" i="11"/>
  <c r="C92" i="12"/>
  <c r="B25" i="21"/>
  <c r="B24"/>
  <c r="E19" i="5"/>
  <c r="E50" i="13" s="1"/>
  <c r="D19" i="5"/>
  <c r="E49" i="13" s="1"/>
  <c r="F18" i="5"/>
  <c r="E12" i="13" s="1"/>
  <c r="D18" i="5"/>
  <c r="E10" i="13" s="1"/>
  <c r="E18" i="5"/>
  <c r="E11" i="13" s="1"/>
  <c r="F17" i="5"/>
  <c r="E51" i="12" s="1"/>
  <c r="E17" i="5"/>
  <c r="E50" i="12" s="1"/>
  <c r="F16" i="5"/>
  <c r="E12" i="12" s="1"/>
  <c r="D17" i="5"/>
  <c r="E49" i="12" s="1"/>
  <c r="D19"/>
  <c r="D16" i="5"/>
  <c r="E10" i="12" s="1"/>
  <c r="E16" i="5"/>
  <c r="E11" i="12" s="1"/>
  <c r="F15" i="5"/>
  <c r="E51" i="11" s="1"/>
  <c r="D59"/>
  <c r="E15" i="5"/>
  <c r="E50" i="11" s="1"/>
  <c r="F14" i="5"/>
  <c r="E12" i="11" s="1"/>
  <c r="D15" i="5"/>
  <c r="E49" i="11" s="1"/>
  <c r="D14" i="5"/>
  <c r="E10" i="11" s="1"/>
  <c r="E14" i="5"/>
  <c r="E11" i="11" s="1"/>
  <c r="F13" i="5"/>
  <c r="E51" i="10" s="1"/>
  <c r="E13" i="5"/>
  <c r="E50" i="10" s="1"/>
  <c r="D13" i="5"/>
  <c r="E49" i="10" s="1"/>
  <c r="F10" i="5"/>
  <c r="E12" i="8" s="1"/>
  <c r="D10" i="5"/>
  <c r="E10" i="8" s="1"/>
  <c r="E10" i="5"/>
  <c r="E11" i="8" s="1"/>
  <c r="E5" i="11"/>
  <c r="E44" s="1"/>
  <c r="C5" i="17"/>
  <c r="C36" s="1"/>
  <c r="C5" i="38"/>
  <c r="G31" i="11"/>
  <c r="G68"/>
  <c r="H85" i="12"/>
  <c r="G24" i="13"/>
  <c r="H73"/>
  <c r="C5" i="12"/>
  <c r="C44" s="1"/>
  <c r="C5" i="35"/>
  <c r="H76" i="8"/>
  <c r="H35" i="11"/>
  <c r="H74"/>
  <c r="H33" i="12"/>
  <c r="G71"/>
  <c r="G64" i="13"/>
  <c r="F19" i="5"/>
  <c r="E51" i="13" s="1"/>
  <c r="C51" i="36"/>
  <c r="J68" i="13"/>
  <c r="J69"/>
  <c r="G31" i="3"/>
  <c r="G22"/>
  <c r="J68" i="12"/>
  <c r="J69"/>
  <c r="J68" i="11"/>
  <c r="J69"/>
  <c r="J68" i="10"/>
  <c r="J69"/>
  <c r="J68" i="8"/>
  <c r="J69"/>
  <c r="J68" i="34"/>
  <c r="J69"/>
  <c r="J106" i="7"/>
  <c r="J107"/>
  <c r="E21" i="46"/>
  <c r="E29" s="1"/>
  <c r="E31"/>
  <c r="E26"/>
  <c r="E30" s="1"/>
  <c r="D50" i="38" l="1"/>
  <c r="G26" i="3"/>
  <c r="H79" i="13"/>
  <c r="H35"/>
  <c r="G64" i="11"/>
  <c r="H33"/>
  <c r="H85" i="13"/>
  <c r="H39"/>
  <c r="H46" i="11"/>
  <c r="C5" i="13"/>
  <c r="C44" s="1"/>
  <c r="G64" i="34"/>
  <c r="B30" i="16"/>
  <c r="A6" i="43"/>
  <c r="G21" i="54"/>
  <c r="G19" s="1"/>
  <c r="G22"/>
  <c r="C65" i="9"/>
  <c r="C132" s="1"/>
  <c r="C133" s="1"/>
  <c r="D65"/>
  <c r="D132" s="1"/>
  <c r="C63" i="18"/>
  <c r="D37"/>
  <c r="D47" s="1"/>
  <c r="D60" s="1"/>
  <c r="C93" i="12"/>
  <c r="D45"/>
  <c r="D61" s="1"/>
  <c r="D74" s="1"/>
  <c r="C32" i="19"/>
  <c r="D6"/>
  <c r="D16" s="1"/>
  <c r="D29" s="1"/>
  <c r="E6" i="38"/>
  <c r="E20" s="1"/>
  <c r="E48" s="1"/>
  <c r="E49" s="1"/>
  <c r="D51"/>
  <c r="C91" i="11"/>
  <c r="D6"/>
  <c r="D72" i="10"/>
  <c r="C32" i="11"/>
  <c r="D39" i="21"/>
  <c r="G13"/>
  <c r="E47" i="3"/>
  <c r="K28" i="40"/>
  <c r="B45" i="21" s="1"/>
  <c r="C20" i="35"/>
  <c r="C48" s="1"/>
  <c r="C72" i="11"/>
  <c r="D72" i="12"/>
  <c r="C14" i="15"/>
  <c r="D58" i="16"/>
  <c r="F29" i="39"/>
  <c r="F30" s="1"/>
  <c r="J29" i="40"/>
  <c r="J30" s="1"/>
  <c r="G78" i="11"/>
  <c r="D64" i="14"/>
  <c r="D90" i="11"/>
  <c r="D90" i="13"/>
  <c r="C113" i="8"/>
  <c r="D92" i="11"/>
  <c r="B77" s="1"/>
  <c r="K18" i="40"/>
  <c r="K18" i="42"/>
  <c r="B7" i="3"/>
  <c r="E5" i="36"/>
  <c r="K29" i="41"/>
  <c r="H45" i="10"/>
  <c r="C5" i="36"/>
  <c r="D92" i="12"/>
  <c r="E5" i="44"/>
  <c r="D5"/>
  <c r="H29" i="41"/>
  <c r="H30" s="1"/>
  <c r="D21" i="11"/>
  <c r="D34" s="1"/>
  <c r="D91" s="1"/>
  <c r="B38" s="1"/>
  <c r="G23" i="3"/>
  <c r="H36" i="10"/>
  <c r="B61" i="17"/>
  <c r="D92" i="10"/>
  <c r="J46" i="21"/>
  <c r="B5" i="44"/>
  <c r="B30" i="17"/>
  <c r="C49" i="14"/>
  <c r="B24" i="24"/>
  <c r="D5" i="36"/>
  <c r="C29" i="17"/>
  <c r="C32" s="1"/>
  <c r="D20" i="36"/>
  <c r="D48" s="1"/>
  <c r="C29" i="18"/>
  <c r="G38" i="11"/>
  <c r="C61"/>
  <c r="C74" s="1"/>
  <c r="C93" s="1"/>
  <c r="D50" i="35"/>
  <c r="C90" i="11"/>
  <c r="B37" s="1"/>
  <c r="H75" i="13"/>
  <c r="H39" i="10"/>
  <c r="E5" i="13"/>
  <c r="E44" s="1"/>
  <c r="D19" i="11"/>
  <c r="B35" i="13"/>
  <c r="D5" i="15"/>
  <c r="D36" s="1"/>
  <c r="H86" i="13"/>
  <c r="H76"/>
  <c r="H45"/>
  <c r="H33"/>
  <c r="H79" i="10"/>
  <c r="H43"/>
  <c r="D5" i="13"/>
  <c r="D44" s="1"/>
  <c r="H83"/>
  <c r="G68"/>
  <c r="H36"/>
  <c r="J35" i="21"/>
  <c r="C80" i="13"/>
  <c r="B3" i="44"/>
  <c r="A3" i="24"/>
  <c r="B5"/>
  <c r="G22"/>
  <c r="J7"/>
  <c r="C93" i="34"/>
  <c r="B77" s="1"/>
  <c r="H84" i="13"/>
  <c r="G71"/>
  <c r="H38"/>
  <c r="H74" i="10"/>
  <c r="E5"/>
  <c r="E44" s="1"/>
  <c r="H44" i="13"/>
  <c r="G31"/>
  <c r="C40"/>
  <c r="I9" i="23"/>
  <c r="C20" i="5"/>
  <c r="F29" s="1"/>
  <c r="F8" s="1"/>
  <c r="E12" i="34" s="1"/>
  <c r="H74" i="13"/>
  <c r="H43"/>
  <c r="G28"/>
  <c r="H76" i="10"/>
  <c r="H35"/>
  <c r="H78" i="13"/>
  <c r="H46"/>
  <c r="H34"/>
  <c r="H73" i="10"/>
  <c r="E5" i="15"/>
  <c r="E36" s="1"/>
  <c r="D5" i="10"/>
  <c r="D44" s="1"/>
  <c r="C5" i="44"/>
  <c r="C15" i="24"/>
  <c r="B28"/>
  <c r="H9" i="23"/>
  <c r="B13" i="24"/>
  <c r="F12" i="21"/>
  <c r="B38" i="24"/>
  <c r="D111" i="8"/>
  <c r="E72" i="34"/>
  <c r="E22" i="3"/>
  <c r="E37" i="12"/>
  <c r="F36"/>
  <c r="E32"/>
  <c r="F24" i="21"/>
  <c r="F21"/>
  <c r="E26" i="3"/>
  <c r="F76" i="10"/>
  <c r="E77"/>
  <c r="H74" i="8"/>
  <c r="B84" i="58"/>
  <c r="J55" i="21"/>
  <c r="J54"/>
  <c r="F56"/>
  <c r="E29" i="58"/>
  <c r="A22" i="44"/>
  <c r="D62" i="16"/>
  <c r="E5" i="8"/>
  <c r="E44" s="1"/>
  <c r="G71"/>
  <c r="D5"/>
  <c r="D44" s="1"/>
  <c r="B77" i="12"/>
  <c r="J56" i="21"/>
  <c r="D12"/>
  <c r="D5" i="17"/>
  <c r="D36" s="1"/>
  <c r="C62" i="19"/>
  <c r="G28" i="8"/>
  <c r="H75"/>
  <c r="J49" i="21"/>
  <c r="J48"/>
  <c r="D56"/>
  <c r="J57"/>
  <c r="E27" i="16"/>
  <c r="D35" i="21"/>
  <c r="D62" i="17"/>
  <c r="E41" i="3"/>
  <c r="E27" i="18"/>
  <c r="D31"/>
  <c r="C31"/>
  <c r="B36" i="21"/>
  <c r="D6" i="18"/>
  <c r="D16" s="1"/>
  <c r="D29" s="1"/>
  <c r="E6" s="1"/>
  <c r="E16" s="1"/>
  <c r="E29" s="1"/>
  <c r="E30" s="1"/>
  <c r="C32"/>
  <c r="D31" i="17"/>
  <c r="D6"/>
  <c r="D16" s="1"/>
  <c r="D29" s="1"/>
  <c r="D32" s="1"/>
  <c r="B34" i="21"/>
  <c r="C31" i="17"/>
  <c r="C62" i="16"/>
  <c r="B33" i="21"/>
  <c r="F32"/>
  <c r="D31" i="16"/>
  <c r="C16"/>
  <c r="C29" s="1"/>
  <c r="D6" s="1"/>
  <c r="D16" s="1"/>
  <c r="D29" s="1"/>
  <c r="E6" s="1"/>
  <c r="E16" s="1"/>
  <c r="E29" s="1"/>
  <c r="E30" s="1"/>
  <c r="C29" i="15"/>
  <c r="D6" s="1"/>
  <c r="D16" s="1"/>
  <c r="D29" s="1"/>
  <c r="E6" s="1"/>
  <c r="E16" s="1"/>
  <c r="E29" s="1"/>
  <c r="E30" s="1"/>
  <c r="C31"/>
  <c r="B30" i="21"/>
  <c r="C32" i="15"/>
  <c r="F28" i="21"/>
  <c r="E29" i="14"/>
  <c r="C31"/>
  <c r="D6" s="1"/>
  <c r="C33"/>
  <c r="C62"/>
  <c r="C65" s="1"/>
  <c r="D33"/>
  <c r="D17"/>
  <c r="D16" s="1"/>
  <c r="C19" i="10"/>
  <c r="B19" i="21"/>
  <c r="C72" i="8"/>
  <c r="C74"/>
  <c r="C114" s="1"/>
  <c r="C59"/>
  <c r="D18" i="21"/>
  <c r="D32" i="8"/>
  <c r="B18" i="21"/>
  <c r="G38" i="8"/>
  <c r="C111"/>
  <c r="B37" s="1"/>
  <c r="C21"/>
  <c r="C34" s="1"/>
  <c r="C112" s="1"/>
  <c r="F17" i="21"/>
  <c r="D32" i="34"/>
  <c r="G38"/>
  <c r="C34"/>
  <c r="D6" s="1"/>
  <c r="D21" s="1"/>
  <c r="D34" s="1"/>
  <c r="E6" s="1"/>
  <c r="C91"/>
  <c r="B37" s="1"/>
  <c r="C32"/>
  <c r="D84" i="7"/>
  <c r="D111" s="1"/>
  <c r="D110" s="1"/>
  <c r="B65" i="9"/>
  <c r="B132" s="1"/>
  <c r="D69"/>
  <c r="C5"/>
  <c r="C73" s="1"/>
  <c r="B5"/>
  <c r="B73" s="1"/>
  <c r="B49" i="35"/>
  <c r="E5"/>
  <c r="D5"/>
  <c r="D5" i="19"/>
  <c r="D36" s="1"/>
  <c r="B30"/>
  <c r="C5"/>
  <c r="C36" s="1"/>
  <c r="H123" i="7"/>
  <c r="G102"/>
  <c r="H117"/>
  <c r="G106"/>
  <c r="H121"/>
  <c r="C5"/>
  <c r="C65" s="1"/>
  <c r="G109"/>
  <c r="H122"/>
  <c r="H111"/>
  <c r="B35" i="12"/>
  <c r="D5"/>
  <c r="D44" s="1"/>
  <c r="H34"/>
  <c r="H73"/>
  <c r="H35"/>
  <c r="G64"/>
  <c r="H79"/>
  <c r="C80"/>
  <c r="H39"/>
  <c r="H75"/>
  <c r="C5" i="34"/>
  <c r="C44" s="1"/>
  <c r="H38"/>
  <c r="H45"/>
  <c r="G71"/>
  <c r="C80"/>
  <c r="H86"/>
  <c r="H33"/>
  <c r="B75"/>
  <c r="H79"/>
  <c r="E5"/>
  <c r="E44" s="1"/>
  <c r="B35"/>
  <c r="H39"/>
  <c r="H46"/>
  <c r="H73"/>
  <c r="H83"/>
  <c r="G24"/>
  <c r="H34"/>
  <c r="H75"/>
  <c r="H84" i="12"/>
  <c r="H45"/>
  <c r="G28"/>
  <c r="C5" i="16"/>
  <c r="C36" s="1"/>
  <c r="H78" i="12"/>
  <c r="G24"/>
  <c r="H124" i="7"/>
  <c r="C40" i="12"/>
  <c r="H78" i="34"/>
  <c r="G31"/>
  <c r="H44"/>
  <c r="H76" i="12"/>
  <c r="H43"/>
  <c r="H116" i="7"/>
  <c r="D5"/>
  <c r="D65" s="1"/>
  <c r="H46" i="12"/>
  <c r="H114" i="7"/>
  <c r="E5"/>
  <c r="E65" s="1"/>
  <c r="H76" i="34"/>
  <c r="G28"/>
  <c r="H74"/>
  <c r="H43"/>
  <c r="B75" i="12"/>
  <c r="B113" i="7"/>
  <c r="B4" i="45"/>
  <c r="B9"/>
  <c r="B25" i="46"/>
  <c r="B16"/>
  <c r="H74" i="12"/>
  <c r="H38"/>
  <c r="H113" i="7"/>
  <c r="E5" i="12"/>
  <c r="E44" s="1"/>
  <c r="H44"/>
  <c r="H112" i="7"/>
  <c r="B61" i="19"/>
  <c r="C40" i="34"/>
  <c r="H85"/>
  <c r="G68"/>
  <c r="H36"/>
  <c r="B20" i="46"/>
  <c r="E7" i="32"/>
  <c r="B31" s="1"/>
  <c r="D5" i="9"/>
  <c r="D73" s="1"/>
  <c r="A58" i="43"/>
  <c r="A20"/>
  <c r="A7"/>
  <c r="A47"/>
  <c r="E5" i="14"/>
  <c r="E38" s="1"/>
  <c r="B63"/>
  <c r="H34" i="11"/>
  <c r="H78"/>
  <c r="D5"/>
  <c r="D44" s="1"/>
  <c r="H43"/>
  <c r="H76"/>
  <c r="C5"/>
  <c r="C44" s="1"/>
  <c r="H44"/>
  <c r="H83"/>
  <c r="G28"/>
  <c r="H45"/>
  <c r="H79"/>
  <c r="H43" i="8"/>
  <c r="H85"/>
  <c r="C5" i="15"/>
  <c r="C36" s="1"/>
  <c r="J39" i="21"/>
  <c r="J41"/>
  <c r="A9"/>
  <c r="B9" i="24"/>
  <c r="B56" i="21"/>
  <c r="M43" i="22"/>
  <c r="G43"/>
  <c r="F61" i="21"/>
  <c r="K43" i="22"/>
  <c r="L43"/>
  <c r="J43"/>
  <c r="C62" i="17"/>
  <c r="D18" i="14"/>
  <c r="D31" s="1"/>
  <c r="E6" s="1"/>
  <c r="E17"/>
  <c r="E16" s="1"/>
  <c r="F11" i="5"/>
  <c r="E51" i="8" s="1"/>
  <c r="F12" i="5"/>
  <c r="E12" i="10" s="1"/>
  <c r="E48" i="21"/>
  <c r="G46" i="13" s="1"/>
  <c r="E32"/>
  <c r="E31" i="3"/>
  <c r="F36" i="13"/>
  <c r="F26" i="21"/>
  <c r="F76" i="8"/>
  <c r="E25" i="3"/>
  <c r="F76" i="34"/>
  <c r="F20" i="21"/>
  <c r="E77" i="11"/>
  <c r="G16" i="24"/>
  <c r="E37" i="8"/>
  <c r="F36"/>
  <c r="E27" i="3"/>
  <c r="F22" i="21"/>
  <c r="E24" i="3"/>
  <c r="E19" i="44"/>
  <c r="E72" i="11"/>
  <c r="E72" i="12"/>
  <c r="E32" i="10"/>
  <c r="F36"/>
  <c r="F23" i="21"/>
  <c r="E29" i="3"/>
  <c r="E30"/>
  <c r="E72" i="8"/>
  <c r="E77" i="34"/>
  <c r="E72" i="10"/>
  <c r="F76" i="11"/>
  <c r="E37" i="13"/>
  <c r="E32" i="3"/>
  <c r="D19" i="44"/>
  <c r="D61" i="21"/>
  <c r="B61"/>
  <c r="C48"/>
  <c r="D90" i="10"/>
  <c r="F9" i="5"/>
  <c r="E51" i="34" s="1"/>
  <c r="G19" i="58" s="1"/>
  <c r="E22"/>
  <c r="D51" i="21"/>
  <c r="D19" i="34"/>
  <c r="E60" i="10"/>
  <c r="G74" s="1"/>
  <c r="E20" i="8"/>
  <c r="G34" s="1"/>
  <c r="E20" i="12"/>
  <c r="G34" s="1"/>
  <c r="E28" i="5"/>
  <c r="D27"/>
  <c r="D12" s="1"/>
  <c r="E10" i="10" s="1"/>
  <c r="E20" i="11"/>
  <c r="G34" s="1"/>
  <c r="E60" i="13"/>
  <c r="G74" s="1"/>
  <c r="D51" i="36"/>
  <c r="E6"/>
  <c r="E20" s="1"/>
  <c r="E48" s="1"/>
  <c r="E49" s="1"/>
  <c r="D63" i="18"/>
  <c r="E37"/>
  <c r="E47" s="1"/>
  <c r="E60" s="1"/>
  <c r="E61" s="1"/>
  <c r="E6" i="19"/>
  <c r="E16" s="1"/>
  <c r="E29" s="1"/>
  <c r="E30" s="1"/>
  <c r="D32"/>
  <c r="E37" i="34"/>
  <c r="F36"/>
  <c r="E5" i="37"/>
  <c r="C5"/>
  <c r="D5"/>
  <c r="G38" i="10"/>
  <c r="B20" i="21"/>
  <c r="C34" i="10"/>
  <c r="C90"/>
  <c r="C21" i="12"/>
  <c r="C34" s="1"/>
  <c r="C19"/>
  <c r="G38" i="13"/>
  <c r="C32"/>
  <c r="C90"/>
  <c r="B37" s="1"/>
  <c r="B26" i="21"/>
  <c r="G78" i="13"/>
  <c r="C72"/>
  <c r="C46" i="37"/>
  <c r="C50"/>
  <c r="B42" i="21"/>
  <c r="D46" i="36"/>
  <c r="D50"/>
  <c r="E46" i="35"/>
  <c r="F40" i="21"/>
  <c r="D27" i="19"/>
  <c r="D31"/>
  <c r="E58" i="16"/>
  <c r="F33" i="21"/>
  <c r="D58" i="15"/>
  <c r="D62"/>
  <c r="D31" i="21"/>
  <c r="E35" i="3"/>
  <c r="E27" i="15"/>
  <c r="D20" i="3"/>
  <c r="B67" i="9"/>
  <c r="B135"/>
  <c r="F18" i="21"/>
  <c r="E20" i="45"/>
  <c r="E41" i="14" s="1"/>
  <c r="E48" s="1"/>
  <c r="E47" s="1"/>
  <c r="E21" i="3"/>
  <c r="E32" i="11"/>
  <c r="G25" i="3"/>
  <c r="G27"/>
  <c r="G21"/>
  <c r="C47" i="15"/>
  <c r="C60" s="1"/>
  <c r="B49" i="37"/>
  <c r="D38" i="21"/>
  <c r="B35"/>
  <c r="B39"/>
  <c r="E38" i="3"/>
  <c r="K17" i="40"/>
  <c r="C6" i="5"/>
  <c r="B6"/>
  <c r="C45" i="19"/>
  <c r="C47"/>
  <c r="C60" s="1"/>
  <c r="C58"/>
  <c r="K28" i="42"/>
  <c r="B47" i="21" s="1"/>
  <c r="B35" i="8"/>
  <c r="H44"/>
  <c r="H34"/>
  <c r="G68"/>
  <c r="H86"/>
  <c r="C80"/>
  <c r="H39"/>
  <c r="C5"/>
  <c r="C44" s="1"/>
  <c r="H84"/>
  <c r="G64"/>
  <c r="C40"/>
  <c r="H35"/>
  <c r="H45"/>
  <c r="G24"/>
  <c r="C61" i="10"/>
  <c r="C74" s="1"/>
  <c r="C59"/>
  <c r="C77" i="7"/>
  <c r="C84" s="1"/>
  <c r="C111" s="1"/>
  <c r="B131" i="9"/>
  <c r="G27" i="58"/>
  <c r="E28" s="1"/>
  <c r="M37" i="21"/>
  <c r="M56"/>
  <c r="E23" i="3"/>
  <c r="H38" i="8"/>
  <c r="H73"/>
  <c r="H79"/>
  <c r="G24" i="3"/>
  <c r="G30"/>
  <c r="E32" i="34"/>
  <c r="F36" i="11"/>
  <c r="E77" i="12"/>
  <c r="C120" i="7"/>
  <c r="H36" i="8"/>
  <c r="B27" i="21"/>
  <c r="D45" i="11"/>
  <c r="D61" s="1"/>
  <c r="D74" s="1"/>
  <c r="C31" i="16"/>
  <c r="C92" i="13"/>
  <c r="B77" s="1"/>
  <c r="C47" i="16"/>
  <c r="C60" s="1"/>
  <c r="B29" i="42"/>
  <c r="K18" i="41"/>
  <c r="C7" i="32"/>
  <c r="F30" i="21"/>
  <c r="D34"/>
  <c r="B32"/>
  <c r="E42" i="3"/>
  <c r="F10"/>
  <c r="E9"/>
  <c r="B8"/>
  <c r="B13"/>
  <c r="D41" i="21"/>
  <c r="K17" i="42"/>
  <c r="B29" i="39"/>
  <c r="K18"/>
  <c r="H86" i="10"/>
  <c r="C80"/>
  <c r="B75"/>
  <c r="G31"/>
  <c r="H44"/>
  <c r="H75"/>
  <c r="C40"/>
  <c r="G24"/>
  <c r="H46"/>
  <c r="H83"/>
  <c r="H38"/>
  <c r="G71"/>
  <c r="H84"/>
  <c r="H34"/>
  <c r="G68"/>
  <c r="H85"/>
  <c r="C5"/>
  <c r="C44" s="1"/>
  <c r="G28"/>
  <c r="E76" i="7"/>
  <c r="E84" s="1"/>
  <c r="E111" s="1"/>
  <c r="D131" i="9"/>
  <c r="F76" i="13"/>
  <c r="E77"/>
  <c r="F27" i="21"/>
  <c r="E32" i="8"/>
  <c r="B75"/>
  <c r="H33"/>
  <c r="H78"/>
  <c r="G20" i="3"/>
  <c r="G28"/>
  <c r="G29"/>
  <c r="E6" i="11"/>
  <c r="E37"/>
  <c r="F76" i="12"/>
  <c r="G33" i="11"/>
  <c r="G64" i="10"/>
  <c r="H33"/>
  <c r="H78"/>
  <c r="H83" i="8"/>
  <c r="E60" i="11"/>
  <c r="E60" i="12"/>
  <c r="E20" i="13"/>
  <c r="H46" i="8"/>
  <c r="C32" i="10"/>
  <c r="C67" i="3"/>
  <c r="B29" i="40"/>
  <c r="D5" i="5"/>
  <c r="J6" i="22"/>
  <c r="L6"/>
  <c r="C48" i="37"/>
  <c r="D32" i="10"/>
  <c r="E58" i="18"/>
  <c r="G26" i="24"/>
  <c r="G30" s="1"/>
  <c r="G32" s="1"/>
  <c r="J34" s="1"/>
  <c r="J36" s="1"/>
  <c r="K17" i="39"/>
  <c r="E5" i="18"/>
  <c r="E36" s="1"/>
  <c r="B61"/>
  <c r="D5"/>
  <c r="D36" s="1"/>
  <c r="C5"/>
  <c r="C36" s="1"/>
  <c r="B32" i="14"/>
  <c r="D5"/>
  <c r="D38" s="1"/>
  <c r="C5"/>
  <c r="C38" s="1"/>
  <c r="C61" i="13"/>
  <c r="C74" s="1"/>
  <c r="C59"/>
  <c r="D19" i="21"/>
  <c r="D72" i="8"/>
  <c r="D113"/>
  <c r="D20" i="21"/>
  <c r="D46" i="37"/>
  <c r="D50"/>
  <c r="D42" i="21"/>
  <c r="E46" i="36"/>
  <c r="E46" i="3"/>
  <c r="E43"/>
  <c r="F38" i="21"/>
  <c r="E27" i="19"/>
  <c r="E39" i="3"/>
  <c r="F34" i="21"/>
  <c r="D27" i="16"/>
  <c r="D32" i="21"/>
  <c r="F31"/>
  <c r="E58" i="15"/>
  <c r="C60" i="14"/>
  <c r="C64"/>
  <c r="C61" i="34"/>
  <c r="C74" s="1"/>
  <c r="C59"/>
  <c r="B59" i="43"/>
  <c r="A5"/>
  <c r="A39"/>
  <c r="A53"/>
  <c r="A15"/>
  <c r="H86" i="11"/>
  <c r="B75"/>
  <c r="B35"/>
  <c r="C40"/>
  <c r="G24"/>
  <c r="H39"/>
  <c r="H73"/>
  <c r="H85"/>
  <c r="G78" i="10"/>
  <c r="C92"/>
  <c r="B77" s="1"/>
  <c r="C34" i="13"/>
  <c r="D22" i="21"/>
  <c r="D32" i="11"/>
  <c r="F43" i="21"/>
  <c r="E48" i="3"/>
  <c r="B17" i="21"/>
  <c r="C72" i="34"/>
  <c r="B78" i="58"/>
  <c r="B91"/>
  <c r="E77" i="8"/>
  <c r="H84" i="11"/>
  <c r="G71"/>
  <c r="H38"/>
  <c r="H75"/>
  <c r="H36"/>
  <c r="C90" i="12"/>
  <c r="C72" i="10"/>
  <c r="G78" i="8"/>
  <c r="C47" i="17"/>
  <c r="C60" s="1"/>
  <c r="A8" i="43"/>
  <c r="A14"/>
  <c r="K17" i="41"/>
  <c r="A13" i="43"/>
  <c r="A54"/>
  <c r="B11" i="24"/>
  <c r="A42"/>
  <c r="A37" i="43"/>
  <c r="E46" i="38"/>
  <c r="C55" i="7"/>
  <c r="K28" i="39"/>
  <c r="B44" i="21" s="1"/>
  <c r="K28" i="41"/>
  <c r="B46" i="21" s="1"/>
  <c r="B49" i="38"/>
  <c r="E5"/>
  <c r="E5" i="16"/>
  <c r="E36" s="1"/>
  <c r="B61"/>
  <c r="H86" i="12"/>
  <c r="H36"/>
  <c r="G68"/>
  <c r="H83"/>
  <c r="D90"/>
  <c r="D32"/>
  <c r="D46" i="38"/>
  <c r="D43" i="21"/>
  <c r="D17"/>
  <c r="D72" i="34"/>
  <c r="G18" i="54"/>
  <c r="D7" l="1"/>
  <c r="D133" i="9"/>
  <c r="D93" i="12"/>
  <c r="B78" s="1"/>
  <c r="G73"/>
  <c r="C34" i="14"/>
  <c r="K30" i="41"/>
  <c r="D6" i="8"/>
  <c r="D21" s="1"/>
  <c r="D34" s="1"/>
  <c r="D112" s="1"/>
  <c r="B38" s="1"/>
  <c r="K30" i="42"/>
  <c r="B77" i="8"/>
  <c r="K30" i="40"/>
  <c r="D6" i="35"/>
  <c r="D20" s="1"/>
  <c r="D48" s="1"/>
  <c r="C51"/>
  <c r="D34" i="14"/>
  <c r="G46" i="12"/>
  <c r="E45"/>
  <c r="E61" s="1"/>
  <c r="E78" s="1"/>
  <c r="D32" i="18"/>
  <c r="E6" i="17"/>
  <c r="E16" s="1"/>
  <c r="E29" s="1"/>
  <c r="E30" s="1"/>
  <c r="C32" i="16"/>
  <c r="D32"/>
  <c r="D32" i="15"/>
  <c r="D39" i="14"/>
  <c r="D49" s="1"/>
  <c r="D62" s="1"/>
  <c r="D65" s="1"/>
  <c r="E18"/>
  <c r="E31" s="1"/>
  <c r="E32" s="1"/>
  <c r="D45" i="8"/>
  <c r="D61" s="1"/>
  <c r="D74" s="1"/>
  <c r="D114" s="1"/>
  <c r="B78" s="1"/>
  <c r="C92" i="34"/>
  <c r="G33"/>
  <c r="D92"/>
  <c r="D130" i="7"/>
  <c r="D15" i="21"/>
  <c r="D48" s="1"/>
  <c r="D50" s="1"/>
  <c r="B133" i="9"/>
  <c r="F7" i="5"/>
  <c r="E12" i="7" s="1"/>
  <c r="D11" i="5"/>
  <c r="E49" i="8" s="1"/>
  <c r="G46" i="34"/>
  <c r="G86" i="10"/>
  <c r="G86" i="13"/>
  <c r="G86" i="11"/>
  <c r="G86" i="12"/>
  <c r="G46" i="11"/>
  <c r="G46" i="10"/>
  <c r="G86" i="34"/>
  <c r="M41" i="21"/>
  <c r="M49" s="1"/>
  <c r="G46" i="8"/>
  <c r="G124" i="7"/>
  <c r="G86" i="8"/>
  <c r="E11" i="5"/>
  <c r="E50" i="8" s="1"/>
  <c r="E12" i="5"/>
  <c r="E11" i="10" s="1"/>
  <c r="E20" s="1"/>
  <c r="G34" s="1"/>
  <c r="B37"/>
  <c r="E8" i="5"/>
  <c r="E11" i="34" s="1"/>
  <c r="E9" i="5"/>
  <c r="E50" i="34" s="1"/>
  <c r="G18" i="58" s="1"/>
  <c r="D8" i="5"/>
  <c r="D9"/>
  <c r="E49" i="34" s="1"/>
  <c r="E21" i="11"/>
  <c r="E38" s="1"/>
  <c r="C110" i="7"/>
  <c r="C112"/>
  <c r="B15" i="21"/>
  <c r="B48" s="1"/>
  <c r="B50" s="1"/>
  <c r="C130" i="7"/>
  <c r="G116"/>
  <c r="G74" i="11"/>
  <c r="F15" i="21"/>
  <c r="F48" s="1"/>
  <c r="F50" s="1"/>
  <c r="F114" i="7"/>
  <c r="E115"/>
  <c r="E110"/>
  <c r="E20" i="3"/>
  <c r="E53" s="1"/>
  <c r="K29" i="39"/>
  <c r="B30"/>
  <c r="D6" i="12"/>
  <c r="D21" s="1"/>
  <c r="D34" s="1"/>
  <c r="C91"/>
  <c r="C91" i="13"/>
  <c r="D6"/>
  <c r="D21" s="1"/>
  <c r="D34" s="1"/>
  <c r="C93"/>
  <c r="D45"/>
  <c r="D61" s="1"/>
  <c r="D74" s="1"/>
  <c r="K30" i="39"/>
  <c r="D6" i="37"/>
  <c r="D20" s="1"/>
  <c r="D48" s="1"/>
  <c r="C51"/>
  <c r="K29" i="42"/>
  <c r="B30"/>
  <c r="G73" i="11"/>
  <c r="D93"/>
  <c r="B78" s="1"/>
  <c r="E45"/>
  <c r="E61" s="1"/>
  <c r="E78" s="1"/>
  <c r="G33" i="8"/>
  <c r="E6"/>
  <c r="E21" s="1"/>
  <c r="E38" s="1"/>
  <c r="B37" i="12"/>
  <c r="B30" i="40"/>
  <c r="K29"/>
  <c r="G34" i="13"/>
  <c r="G53" i="3"/>
  <c r="C63" i="16"/>
  <c r="D37"/>
  <c r="D47" s="1"/>
  <c r="D60" s="1"/>
  <c r="D45" i="10"/>
  <c r="D61" s="1"/>
  <c r="D74" s="1"/>
  <c r="C93"/>
  <c r="C63" i="15"/>
  <c r="D37"/>
  <c r="D47" s="1"/>
  <c r="D60" s="1"/>
  <c r="C91" i="10"/>
  <c r="D6"/>
  <c r="D21" s="1"/>
  <c r="D34" s="1"/>
  <c r="D37" i="17"/>
  <c r="D47" s="1"/>
  <c r="D60" s="1"/>
  <c r="C63"/>
  <c r="D45" i="34"/>
  <c r="D61" s="1"/>
  <c r="D74" s="1"/>
  <c r="C94"/>
  <c r="G74" i="12"/>
  <c r="C63" i="19"/>
  <c r="D37"/>
  <c r="D47" s="1"/>
  <c r="D60" s="1"/>
  <c r="F20" i="5" l="1"/>
  <c r="E6" i="35"/>
  <c r="E20" s="1"/>
  <c r="E48" s="1"/>
  <c r="E49" s="1"/>
  <c r="D51"/>
  <c r="E79" i="12"/>
  <c r="E80" s="1"/>
  <c r="E79" i="11"/>
  <c r="E80" s="1"/>
  <c r="E60" i="8"/>
  <c r="G74" s="1"/>
  <c r="E39" i="11"/>
  <c r="E40" s="1"/>
  <c r="E39" i="14"/>
  <c r="E49" s="1"/>
  <c r="E62" s="1"/>
  <c r="E63" s="1"/>
  <c r="E45" i="8"/>
  <c r="G73"/>
  <c r="E39"/>
  <c r="E40" s="1"/>
  <c r="B38" i="34"/>
  <c r="B115" i="7"/>
  <c r="E7" i="5"/>
  <c r="E20" s="1"/>
  <c r="G17" i="58"/>
  <c r="E60" i="34"/>
  <c r="G74" s="1"/>
  <c r="E10"/>
  <c r="E20" s="1"/>
  <c r="D7" i="5"/>
  <c r="G75" i="12"/>
  <c r="E37" i="15"/>
  <c r="E47" s="1"/>
  <c r="E60" s="1"/>
  <c r="E61" s="1"/>
  <c r="D63"/>
  <c r="E37" i="19"/>
  <c r="E47" s="1"/>
  <c r="E60" s="1"/>
  <c r="E61" s="1"/>
  <c r="D63"/>
  <c r="E37" i="17"/>
  <c r="E47" s="1"/>
  <c r="E60" s="1"/>
  <c r="E61" s="1"/>
  <c r="D63"/>
  <c r="E20" i="46"/>
  <c r="E25"/>
  <c r="E6" i="37"/>
  <c r="E20" s="1"/>
  <c r="E48" s="1"/>
  <c r="E49" s="1"/>
  <c r="D51"/>
  <c r="D91" i="13"/>
  <c r="B38" s="1"/>
  <c r="E6"/>
  <c r="E21" s="1"/>
  <c r="E38" s="1"/>
  <c r="G33"/>
  <c r="G33" i="12"/>
  <c r="E6"/>
  <c r="E21" s="1"/>
  <c r="E38" s="1"/>
  <c r="D91"/>
  <c r="B38" s="1"/>
  <c r="E6" i="10"/>
  <c r="E21" s="1"/>
  <c r="E38" s="1"/>
  <c r="D91"/>
  <c r="B38" s="1"/>
  <c r="G33"/>
  <c r="G75" i="11"/>
  <c r="E45" i="34"/>
  <c r="D94"/>
  <c r="B78" s="1"/>
  <c r="G73"/>
  <c r="D93" i="10"/>
  <c r="B78" s="1"/>
  <c r="G73"/>
  <c r="E45"/>
  <c r="E61" s="1"/>
  <c r="E78" s="1"/>
  <c r="D63" i="16"/>
  <c r="E37"/>
  <c r="E47" s="1"/>
  <c r="E60" s="1"/>
  <c r="E61" s="1"/>
  <c r="G73" i="13"/>
  <c r="D93"/>
  <c r="B78" s="1"/>
  <c r="E45"/>
  <c r="E61" s="1"/>
  <c r="E78" s="1"/>
  <c r="C131" i="7"/>
  <c r="D6"/>
  <c r="D57" s="1"/>
  <c r="E61" i="8" l="1"/>
  <c r="E78" s="1"/>
  <c r="G75" s="1"/>
  <c r="F27" i="3"/>
  <c r="G35" i="11"/>
  <c r="K35" s="1"/>
  <c r="E19"/>
  <c r="G22" i="21"/>
  <c r="H22"/>
  <c r="G43" i="11" s="1"/>
  <c r="G25" i="21"/>
  <c r="F30" i="3"/>
  <c r="E59" i="12"/>
  <c r="H25" i="21"/>
  <c r="G83" i="12" s="1"/>
  <c r="G23" i="21"/>
  <c r="F28" i="3"/>
  <c r="E59" i="11"/>
  <c r="H23" i="21"/>
  <c r="G83" i="11" s="1"/>
  <c r="E39" i="13"/>
  <c r="E40" s="1"/>
  <c r="E79" i="10"/>
  <c r="E80" s="1"/>
  <c r="E79" i="13"/>
  <c r="E80" s="1"/>
  <c r="K75" i="11"/>
  <c r="E39" i="12"/>
  <c r="E40" s="1"/>
  <c r="K75"/>
  <c r="E39" i="10"/>
  <c r="E40" s="1"/>
  <c r="F23" i="3"/>
  <c r="G18" i="21"/>
  <c r="H18" s="1"/>
  <c r="G43" i="8" s="1"/>
  <c r="G35"/>
  <c r="K35" s="1"/>
  <c r="E19"/>
  <c r="E11" i="7"/>
  <c r="E61" i="34"/>
  <c r="E78" s="1"/>
  <c r="E10" i="7"/>
  <c r="D20" i="5"/>
  <c r="E21" i="34"/>
  <c r="E38" s="1"/>
  <c r="G34"/>
  <c r="G76" i="12"/>
  <c r="G79" s="1"/>
  <c r="G75" i="10"/>
  <c r="D66" i="7"/>
  <c r="D112"/>
  <c r="G76" i="11"/>
  <c r="G79" s="1"/>
  <c r="G75" i="13"/>
  <c r="G36" i="11" l="1"/>
  <c r="G39" s="1"/>
  <c r="E79" i="8"/>
  <c r="E80" s="1"/>
  <c r="E59" s="1"/>
  <c r="H27" i="21"/>
  <c r="G83" i="13" s="1"/>
  <c r="F32" i="3"/>
  <c r="E56" i="7"/>
  <c r="G112" s="1"/>
  <c r="G26" i="21"/>
  <c r="H26"/>
  <c r="G43" i="13" s="1"/>
  <c r="E19"/>
  <c r="F31" i="3"/>
  <c r="G35" i="13"/>
  <c r="K35" s="1"/>
  <c r="G27" i="21"/>
  <c r="E59" i="13"/>
  <c r="K75"/>
  <c r="H24" i="21"/>
  <c r="G43" i="12" s="1"/>
  <c r="G35"/>
  <c r="K35" s="1"/>
  <c r="G24" i="21"/>
  <c r="F29" i="3"/>
  <c r="E19" i="12"/>
  <c r="F26" i="3"/>
  <c r="G21" i="21"/>
  <c r="E59" i="10"/>
  <c r="H21" i="21"/>
  <c r="G83" i="10" s="1"/>
  <c r="K75"/>
  <c r="F25" i="3"/>
  <c r="E19" i="10"/>
  <c r="G20" i="21"/>
  <c r="H20" s="1"/>
  <c r="G43" i="10" s="1"/>
  <c r="G35"/>
  <c r="K35" s="1"/>
  <c r="G19" i="21"/>
  <c r="H19" s="1"/>
  <c r="G83" i="8" s="1"/>
  <c r="G36"/>
  <c r="G39" s="1"/>
  <c r="E79" i="34"/>
  <c r="E80" s="1"/>
  <c r="E39"/>
  <c r="E40" s="1"/>
  <c r="G76" i="8"/>
  <c r="G79" s="1"/>
  <c r="G75" i="34"/>
  <c r="D131" i="7"/>
  <c r="B116" s="1"/>
  <c r="E6"/>
  <c r="E57" s="1"/>
  <c r="G111"/>
  <c r="G36" i="12"/>
  <c r="G39" s="1"/>
  <c r="G76" i="10"/>
  <c r="G79" s="1"/>
  <c r="G76" i="13"/>
  <c r="G79" s="1"/>
  <c r="F24" i="3" l="1"/>
  <c r="K75" i="8"/>
  <c r="G36" i="13"/>
  <c r="G39" s="1"/>
  <c r="G36" i="10"/>
  <c r="G39" s="1"/>
  <c r="E59" i="34"/>
  <c r="G15" i="58"/>
  <c r="G22" s="1"/>
  <c r="F22" i="3"/>
  <c r="G17" i="21"/>
  <c r="H17" s="1"/>
  <c r="K75" i="34"/>
  <c r="G35"/>
  <c r="K35" s="1"/>
  <c r="J38" i="24"/>
  <c r="J40" s="1"/>
  <c r="E19" i="34"/>
  <c r="G16" i="21"/>
  <c r="H16" s="1"/>
  <c r="G43" i="34" s="1"/>
  <c r="F21" i="3"/>
  <c r="G76" i="34"/>
  <c r="G79" s="1"/>
  <c r="E66" i="7"/>
  <c r="E116"/>
  <c r="G29" i="58" l="1"/>
  <c r="E30" s="1"/>
  <c r="D31" s="1"/>
  <c r="G83" i="34"/>
  <c r="D24" i="58"/>
  <c r="E23"/>
  <c r="G36" i="34"/>
  <c r="G39" s="1"/>
  <c r="E117" i="7"/>
  <c r="E118" s="1"/>
  <c r="F33" i="58" l="1"/>
  <c r="F80" i="34" s="1"/>
  <c r="G15" i="21"/>
  <c r="G48" s="1"/>
  <c r="E55" i="7"/>
  <c r="F20" i="3"/>
  <c r="F53" s="1"/>
  <c r="F54" s="1"/>
  <c r="I88" i="34" s="1"/>
  <c r="G113" i="7"/>
  <c r="K113" s="1"/>
  <c r="M48" i="21" l="1"/>
  <c r="M50" s="1"/>
  <c r="M43" s="1"/>
  <c r="J43" s="1"/>
  <c r="M57"/>
  <c r="H15"/>
  <c r="G121" i="7" s="1"/>
  <c r="I88" i="8"/>
  <c r="I48" i="10"/>
  <c r="I88" i="12"/>
  <c r="I88" i="11"/>
  <c r="I48" i="13"/>
  <c r="I48" i="11"/>
  <c r="I48" i="34"/>
  <c r="I126" i="7"/>
  <c r="I48" i="12"/>
  <c r="I48" i="8"/>
  <c r="G114" i="7"/>
  <c r="G117" s="1"/>
  <c r="I88" i="10"/>
  <c r="I88" i="13"/>
  <c r="M44" i="21" l="1"/>
  <c r="J44" s="1"/>
  <c r="H48"/>
  <c r="E14" i="45" s="1"/>
  <c r="G45" i="10" l="1"/>
  <c r="G85"/>
  <c r="G45" i="13"/>
  <c r="G85"/>
  <c r="G85" i="12"/>
  <c r="G45" i="11"/>
  <c r="G85" i="8"/>
  <c r="G45"/>
  <c r="E9" i="45"/>
  <c r="G45" i="34"/>
  <c r="G85"/>
  <c r="M54" i="21"/>
  <c r="G45" i="12"/>
  <c r="G85" i="11"/>
  <c r="G123" i="7"/>
</calcChain>
</file>

<file path=xl/sharedStrings.xml><?xml version="1.0" encoding="utf-8"?>
<sst xmlns="http://schemas.openxmlformats.org/spreadsheetml/2006/main" count="2436" uniqueCount="1144">
  <si>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</si>
  <si>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</si>
  <si>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</si>
  <si>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</si>
  <si>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</si>
  <si>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</si>
  <si>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</si>
  <si>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</si>
  <si>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</si>
  <si>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</si>
  <si>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</si>
  <si>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</si>
  <si>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t>Net Valuation Factor:</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</si>
  <si>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</si>
  <si>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</si>
  <si>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</si>
  <si>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</si>
  <si>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</si>
  <si>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           General Fund - Detail Expend</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</si>
  <si>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</si>
  <si>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</si>
  <si>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</si>
  <si>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</si>
  <si>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</si>
  <si>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</si>
  <si>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</si>
  <si>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</si>
  <si>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</si>
  <si>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</si>
  <si>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</si>
  <si>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</si>
  <si>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</si>
  <si>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</si>
  <si>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</si>
  <si>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</si>
  <si>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</si>
  <si>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</si>
  <si>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</si>
  <si>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</si>
  <si>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</si>
  <si>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</si>
  <si>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</si>
  <si>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</si>
  <si>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</si>
  <si>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</si>
  <si>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</si>
  <si>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</si>
  <si>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</si>
  <si>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</si>
  <si>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</si>
  <si>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</si>
  <si>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</si>
  <si>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</si>
  <si>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</si>
  <si>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</si>
  <si>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</si>
  <si>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</si>
  <si>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</si>
  <si>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</si>
  <si>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</si>
  <si>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</si>
  <si>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</si>
  <si>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</si>
  <si>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</si>
  <si>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</si>
  <si>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</si>
  <si>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</si>
  <si>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</si>
  <si>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</si>
  <si>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</si>
  <si>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</si>
  <si>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</si>
  <si>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</si>
  <si>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</si>
  <si>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</si>
  <si>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</si>
  <si>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</si>
  <si>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</si>
  <si>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</si>
  <si>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</si>
  <si>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</si>
  <si>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</si>
  <si>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</si>
  <si>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</si>
  <si>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</si>
  <si>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</si>
  <si>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</si>
  <si>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</si>
  <si>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</si>
  <si>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</si>
  <si>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</si>
  <si>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</si>
  <si>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</si>
  <si>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</si>
  <si>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</si>
  <si>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</si>
  <si>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</si>
  <si>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</si>
  <si>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</si>
  <si>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</si>
  <si>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</si>
  <si>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</si>
  <si>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</si>
  <si>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</si>
  <si>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</si>
  <si>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</si>
  <si>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</si>
  <si>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</si>
  <si>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</si>
  <si>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</si>
  <si>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</si>
  <si>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</si>
  <si>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</si>
  <si>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</si>
  <si>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</si>
  <si>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</si>
  <si>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</si>
  <si>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</si>
  <si>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</si>
  <si>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</si>
  <si>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</si>
  <si>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</si>
  <si>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</si>
  <si>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</si>
  <si>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</si>
  <si>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</si>
  <si>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</si>
  <si>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</si>
  <si>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</si>
  <si>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</si>
  <si>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</si>
  <si>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</si>
  <si>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</si>
  <si>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</si>
  <si>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</si>
  <si>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</si>
  <si>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</si>
  <si>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</si>
  <si>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</si>
  <si>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</si>
  <si>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</si>
  <si>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</si>
  <si>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</si>
  <si>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</si>
  <si>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</si>
  <si>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</si>
  <si>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</si>
  <si>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</si>
  <si>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</si>
  <si>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</si>
  <si>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</si>
  <si>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</si>
  <si>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</si>
  <si>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</si>
  <si>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</si>
  <si>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</si>
  <si>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</si>
  <si>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</si>
  <si>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</si>
  <si>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</si>
  <si>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</si>
  <si>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</si>
  <si>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</si>
  <si>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</si>
  <si>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</si>
  <si>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</si>
  <si>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</si>
  <si>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</si>
  <si>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</si>
  <si>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</si>
  <si>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</si>
  <si>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</si>
  <si>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</si>
  <si>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</si>
  <si>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</si>
  <si>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</si>
  <si>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</si>
  <si>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</si>
  <si>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</si>
  <si>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</si>
  <si>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</si>
  <si>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</si>
  <si>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</si>
  <si>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</si>
  <si>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</si>
  <si>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</si>
  <si>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</si>
  <si>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</si>
  <si>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</si>
  <si>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</si>
  <si>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</si>
  <si>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</si>
  <si>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</si>
  <si>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</si>
  <si>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</si>
  <si>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</si>
  <si>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</si>
  <si>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</si>
  <si>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</si>
  <si>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</si>
  <si>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</si>
  <si>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</si>
  <si>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</si>
  <si>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</si>
  <si>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</si>
  <si>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</si>
  <si>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</si>
  <si>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</si>
  <si>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</si>
  <si>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</si>
  <si>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</si>
  <si>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</si>
  <si>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</si>
  <si>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</si>
  <si>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</si>
  <si>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</si>
  <si>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</si>
  <si>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</si>
  <si>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</si>
  <si>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</si>
  <si>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</si>
  <si>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</si>
  <si>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</si>
  <si>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</si>
  <si>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</si>
  <si>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</si>
  <si>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</si>
  <si>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</si>
  <si>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</si>
  <si>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</si>
  <si>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</si>
  <si>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</si>
  <si>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</si>
  <si>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</si>
  <si>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</si>
  <si>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</si>
  <si>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</si>
  <si>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</si>
  <si>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</si>
  <si>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</si>
  <si>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</si>
  <si>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</si>
  <si>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</si>
  <si>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</si>
  <si>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</si>
  <si>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</si>
  <si>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</si>
  <si>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</si>
  <si>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</si>
  <si>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</si>
  <si>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</si>
  <si>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</si>
  <si>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</si>
  <si>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</si>
  <si>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</si>
  <si>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</si>
  <si>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</si>
  <si>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</si>
  <si>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</si>
  <si>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</si>
  <si>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</si>
  <si>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</si>
  <si>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</si>
  <si>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</si>
  <si>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</si>
  <si>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</si>
  <si>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</si>
  <si>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</si>
  <si>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</si>
  <si>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</si>
  <si>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</si>
  <si>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</si>
  <si>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</si>
  <si>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</si>
  <si>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</si>
  <si>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</si>
  <si>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</si>
  <si>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</si>
  <si>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</si>
  <si>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</si>
  <si>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</si>
  <si>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</si>
  <si>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</si>
  <si>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</si>
  <si>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</si>
  <si>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</si>
  <si>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</si>
  <si>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</si>
  <si>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</si>
  <si>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</si>
  <si>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</si>
  <si>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</si>
  <si>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</si>
  <si>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</si>
  <si>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</si>
  <si>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</si>
  <si>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</si>
  <si>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</si>
  <si>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</si>
  <si>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</si>
  <si>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</si>
  <si>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</si>
  <si>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</si>
  <si>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</si>
  <si>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</si>
  <si>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</si>
  <si>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</si>
  <si>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</si>
  <si>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</si>
  <si>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</si>
  <si>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</si>
  <si>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</si>
  <si>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</si>
  <si>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</si>
  <si>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</si>
  <si>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</si>
  <si>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</si>
  <si>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</si>
  <si>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</si>
  <si>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</si>
  <si>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</si>
  <si>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</si>
  <si>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</si>
  <si>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</si>
  <si>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</si>
  <si>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</si>
  <si>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</si>
  <si>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</si>
  <si>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</si>
  <si>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</si>
  <si>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</si>
  <si>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</si>
  <si>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</si>
  <si>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</si>
  <si>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</si>
  <si>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</si>
  <si>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</si>
  <si>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</si>
  <si>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</si>
  <si>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</si>
  <si>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</si>
  <si>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</si>
  <si>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 xml:space="preserve">4.  All dates on the spreadsheet are controlled from input on the input Prior Year page. </t>
  </si>
  <si>
    <t>14. Changed the Certificate page so the county name flows instead of having unneeded spaces.</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</si>
  <si>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</si>
  <si>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</si>
  <si>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</si>
  <si>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</si>
  <si>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</si>
  <si>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</si>
  <si>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</si>
  <si>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Computation Ad Valorem Tax - Current TIF District</t>
  </si>
  <si>
    <t>July 1st - Current Year Valuation for TIF District:</t>
  </si>
  <si>
    <t>Ad Valorem Tax for Current TIF District:</t>
  </si>
  <si>
    <t>Computation Ad Valorem Tax - Base TIF District</t>
  </si>
  <si>
    <t>July 1st - Valuation for Base Year TIF District:</t>
  </si>
  <si>
    <t>Ad Valorem Tax for Base TIF District:</t>
  </si>
  <si>
    <t>Computation Ad Valorem Tax - TIF District</t>
  </si>
  <si>
    <t xml:space="preserve">   Less Ad Valorem Tax for Base TIF District:</t>
  </si>
  <si>
    <r>
      <rPr>
        <b/>
        <sz val="12"/>
        <rFont val="Times New Roman"/>
        <family val="1"/>
      </rPr>
      <t>Total</t>
    </r>
    <r>
      <rPr>
        <sz val="12"/>
        <rFont val="Times New Roman"/>
        <family val="1"/>
      </rPr>
      <t xml:space="preserve"> Ad Valorem Tax for TIF District:</t>
    </r>
  </si>
  <si>
    <t>*</t>
  </si>
  <si>
    <t>*Amount linked to TIF fund page.</t>
  </si>
  <si>
    <t>Tax Increment Funding (TIF) - Base Year Assessed Valuation</t>
  </si>
  <si>
    <t>Current Year TIF Assessed Valuation</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</si>
  <si>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</si>
  <si>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</si>
  <si>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TIF</t>
  </si>
  <si>
    <t>For County Clerk Use Only</t>
  </si>
  <si>
    <t>November 1st Total Assessed Valuation for City:</t>
  </si>
  <si>
    <t>Less November 1st Total Assessed Valuation TIF District:</t>
  </si>
  <si>
    <t>November 1st Total Assessed Valuation without TIF:</t>
  </si>
  <si>
    <t>Add Valuation for Base Year TIF District:</t>
  </si>
  <si>
    <t>November 1st - City's Net Assessed Valuation:</t>
  </si>
  <si>
    <t>*County Clerk enters November 1st valuation.</t>
  </si>
  <si>
    <t>** Amount linked to the Certificate Page block "County Clerk's Use Only".</t>
  </si>
  <si>
    <t>Computation Ad Valorem Tax Total TIF District</t>
  </si>
  <si>
    <t>November 1st Total Assessed Valuation for TIF District:</t>
  </si>
  <si>
    <t>Ad Valorem Tax for TIF District:</t>
  </si>
  <si>
    <t>Computation Ad Valorem Tax Base TIF District</t>
  </si>
  <si>
    <t>Valuation for Base Year TIF District:</t>
  </si>
  <si>
    <t>Ad Valorem Tax for Base Year TIF District:</t>
  </si>
  <si>
    <t>Computation Ad Valorem Tax Distribution TIF District</t>
  </si>
  <si>
    <t>Less Ad Valorem Tax for Base Year TIF District:</t>
  </si>
  <si>
    <r>
      <rPr>
        <b/>
        <sz val="12"/>
        <rFont val="Times New Roman"/>
        <family val="1"/>
      </rPr>
      <t>Total</t>
    </r>
    <r>
      <rPr>
        <sz val="12"/>
        <rFont val="Times New Roman"/>
        <family val="1"/>
      </rPr>
      <t xml:space="preserve"> Ad Valorem Distribution to TIF District:</t>
    </r>
  </si>
  <si>
    <t>***</t>
  </si>
  <si>
    <t>***Tax amount County Clerk provides to the County Treasurer for TIF District tax distributation.</t>
  </si>
  <si>
    <t>TIF District</t>
  </si>
  <si>
    <t>City TIF Spreadsheet Instructions</t>
  </si>
  <si>
    <t>Tax Increment Financing</t>
  </si>
  <si>
    <t xml:space="preserve">Enter the following information from the sources shown.  This information will be entered on the budget </t>
  </si>
  <si>
    <t>forms in the appropriate locations. If any of the numbers are wrong, change them on this input sheet.</t>
  </si>
  <si>
    <t>The following were changed to this spreadsheet on9/21/09</t>
  </si>
  <si>
    <t>1. InputPrYr tab on line 13 added "If amended….</t>
  </si>
  <si>
    <t>2. Cert tab on line F69 linked the Nov valuation from the TIF CountyClerk tab</t>
  </si>
  <si>
    <t>3. Created TIF tabs</t>
  </si>
  <si>
    <t>4. Instruction tab added rule 13 for TIF</t>
  </si>
  <si>
    <t>5. Cert tab on line 54 added TIF and page number</t>
  </si>
  <si>
    <t>Neighborhood Revitalization Subj to Rebate:</t>
  </si>
  <si>
    <t>Neighborhood Revitalization factor:</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</si>
  <si>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</si>
  <si>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</si>
  <si>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</si>
  <si>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</si>
  <si>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</si>
  <si>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</si>
  <si>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</si>
  <si>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</si>
  <si>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</si>
  <si>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</si>
  <si>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</si>
  <si>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</si>
  <si>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</si>
  <si>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</si>
  <si>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</si>
  <si>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</si>
  <si>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</si>
  <si>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</si>
  <si>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</si>
  <si>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</si>
  <si>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</si>
  <si>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</si>
  <si>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</si>
  <si>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</si>
  <si>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</si>
  <si>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</si>
  <si>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</si>
  <si>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</si>
  <si>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</si>
  <si>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</si>
  <si>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</si>
  <si>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</si>
  <si>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</si>
  <si>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</si>
  <si>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</si>
  <si>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</si>
  <si>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</si>
  <si>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</si>
  <si>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</si>
  <si>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The following were changed to this spreadsheet on 10/5/09</t>
  </si>
  <si>
    <t>1. Created TransferStatute tab</t>
  </si>
  <si>
    <t>2. Created NonBudFunds tab</t>
  </si>
  <si>
    <t xml:space="preserve">3. Instructions tab added 6b for the TransferStatute tab
</t>
  </si>
  <si>
    <t>4. Added 'See Tab A-E' for violations</t>
  </si>
  <si>
    <t xml:space="preserve">5. Changed each fund page removing 'Yes' and 'No' replacing with 'See Tab' for possible violation </t>
  </si>
  <si>
    <t>6. Nonbud tab changed Net Violation to July 1</t>
  </si>
  <si>
    <t>7. Instruction tab changed 9i to k for 'See Tab'</t>
  </si>
  <si>
    <t xml:space="preserve">           General Fund - Detail Page 2</t>
  </si>
  <si>
    <t>Page 2 -Total</t>
  </si>
  <si>
    <t>Page 1 -Total</t>
  </si>
  <si>
    <t xml:space="preserve">Grand Total </t>
  </si>
  <si>
    <t>8. Gen tab added eight additional detail lines and linked to the detail page</t>
  </si>
  <si>
    <t>6. InputOth tab added lines A17 and A18 for TIF</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</si>
  <si>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</si>
  <si>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</si>
  <si>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</si>
  <si>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</si>
  <si>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</si>
  <si>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</si>
  <si>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</si>
  <si>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</si>
  <si>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</si>
  <si>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</si>
  <si>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</si>
  <si>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</si>
  <si>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</si>
  <si>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</si>
  <si>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</si>
  <si>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</si>
  <si>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</si>
  <si>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</si>
  <si>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</si>
  <si>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</si>
  <si>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</si>
  <si>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</si>
  <si>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</si>
  <si>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</si>
  <si>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</si>
  <si>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</si>
  <si>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</si>
  <si>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</si>
  <si>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</si>
  <si>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</si>
  <si>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</si>
  <si>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</si>
  <si>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</si>
  <si>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</si>
  <si>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</si>
  <si>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</si>
  <si>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</si>
  <si>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</si>
  <si>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</si>
  <si>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</si>
  <si>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</si>
  <si>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</si>
  <si>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</si>
  <si>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</si>
  <si>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</si>
  <si>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</si>
  <si>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</si>
  <si>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</si>
  <si>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</si>
  <si>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</si>
  <si>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</si>
  <si>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</si>
  <si>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</si>
  <si>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</si>
  <si>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</si>
  <si>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</si>
  <si>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</si>
  <si>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</si>
  <si>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</si>
  <si>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</si>
  <si>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</si>
  <si>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</si>
  <si>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</si>
  <si>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</si>
  <si>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</si>
  <si>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</si>
  <si>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</si>
  <si>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</si>
  <si>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</si>
  <si>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</si>
  <si>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</si>
  <si>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</si>
  <si>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</si>
  <si>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</si>
  <si>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</si>
  <si>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</si>
  <si>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</si>
  <si>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</si>
  <si>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</si>
  <si>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</si>
  <si>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</si>
  <si>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</si>
  <si>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</si>
  <si>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</si>
  <si>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</si>
  <si>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</si>
  <si>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</si>
  <si>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</si>
  <si>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</si>
  <si>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</si>
  <si>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</si>
  <si>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</si>
  <si>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</si>
  <si>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</si>
  <si>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</si>
  <si>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</si>
  <si>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</si>
  <si>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</si>
  <si>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</si>
  <si>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</si>
  <si>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</si>
  <si>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</si>
  <si>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</si>
  <si>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</si>
  <si>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</si>
  <si>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</si>
  <si>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</si>
  <si>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</si>
  <si>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</si>
  <si>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</si>
  <si>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</si>
  <si>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</si>
  <si>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</si>
  <si>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</si>
  <si>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</si>
  <si>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</si>
  <si>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</si>
  <si>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</si>
  <si>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</si>
  <si>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</si>
  <si>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</si>
  <si>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</si>
  <si>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</si>
  <si>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</si>
  <si>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</si>
  <si>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</si>
  <si>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</si>
  <si>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</si>
  <si>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</si>
  <si>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</si>
  <si>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</si>
  <si>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</si>
  <si>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</si>
  <si>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</si>
  <si>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</si>
  <si>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</si>
  <si>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</si>
  <si>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</si>
  <si>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</si>
  <si>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</si>
  <si>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</si>
  <si>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</si>
  <si>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</si>
  <si>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</si>
  <si>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</si>
  <si>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</si>
  <si>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</si>
  <si>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</si>
  <si>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</si>
  <si>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</si>
  <si>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</si>
  <si>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</si>
  <si>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</si>
  <si>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</si>
  <si>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</si>
  <si>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</si>
  <si>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</si>
  <si>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</si>
  <si>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</si>
  <si>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</si>
  <si>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</si>
  <si>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</si>
  <si>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</si>
  <si>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</si>
  <si>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</si>
  <si>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</si>
  <si>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</si>
  <si>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</si>
  <si>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</si>
  <si>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</si>
  <si>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</si>
  <si>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</si>
  <si>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</si>
  <si>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</si>
  <si>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</si>
  <si>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</si>
  <si>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</si>
  <si>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</si>
  <si>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</si>
  <si>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</si>
  <si>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</si>
  <si>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</si>
  <si>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</si>
  <si>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</si>
  <si>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</si>
  <si>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</si>
  <si>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9. Certificate tab moved the Assisted By: and added more lines for governing body signatures</t>
  </si>
  <si>
    <t>Input sheet for City TIF.XLS budget form</t>
  </si>
  <si>
    <r>
      <t xml:space="preserve">If the municipality financial records have </t>
    </r>
    <r>
      <rPr>
        <b/>
        <u/>
        <sz val="12"/>
        <rFont val="Courier"/>
        <family val="3"/>
      </rPr>
      <t>not been</t>
    </r>
    <r>
      <rPr>
        <sz val="12"/>
        <rFont val="Courier"/>
        <family val="3"/>
      </rPr>
      <t xml:space="preserve"> closed</t>
    </r>
  </si>
  <si>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</si>
  <si>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</si>
  <si>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</si>
  <si>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</si>
  <si>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</si>
  <si>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</si>
  <si>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</si>
  <si>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</si>
  <si>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</si>
  <si>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</si>
  <si>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</si>
  <si>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</si>
  <si>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</si>
  <si>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</si>
  <si>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</si>
  <si>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</si>
  <si>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</si>
  <si>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</si>
  <si>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budget authority.'</t>
  </si>
  <si>
    <t>Unemcumbered cash balance Dec 31.'</t>
  </si>
  <si>
    <t>This tab will put the date and time and location of the budget hearing on the Budget Summary page.  Also, provide the location where as the budget can be reveiwed.  Please input information in the green areas.</t>
  </si>
  <si>
    <t>Date:</t>
  </si>
  <si>
    <t>Time:</t>
  </si>
  <si>
    <t>Location:</t>
  </si>
  <si>
    <t>City Hall</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</si>
  <si>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</si>
  <si>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</si>
  <si>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</si>
  <si>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</si>
  <si>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</si>
  <si>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</si>
  <si>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</si>
  <si>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</si>
  <si>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</si>
  <si>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</si>
  <si>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</si>
  <si>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</si>
  <si>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r>
      <t>Adjustments</t>
    </r>
    <r>
      <rPr>
        <b/>
        <sz val="12"/>
        <color indexed="10"/>
        <rFont val="Times New Roman"/>
        <family val="1"/>
      </rPr>
      <t>*</t>
    </r>
  </si>
  <si>
    <t>Expenditure</t>
  </si>
  <si>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</si>
  <si>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</si>
  <si>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</si>
  <si>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</si>
  <si>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</si>
  <si>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</si>
  <si>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</si>
  <si>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</si>
  <si>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6b concerning schedule of transfers adjustments</t>
  </si>
  <si>
    <t>We, the undersigned, officers of</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</si>
  <si>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</si>
  <si>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</si>
  <si>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</si>
  <si>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</si>
  <si>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</si>
  <si>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</si>
  <si>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</si>
  <si>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</si>
  <si>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</si>
  <si>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</si>
  <si>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</si>
  <si>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</si>
  <si>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</si>
  <si>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</si>
  <si>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</si>
  <si>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</si>
  <si>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</si>
  <si>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</si>
  <si>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</si>
  <si>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</si>
  <si>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</si>
  <si>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</si>
  <si>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</si>
  <si>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</si>
  <si>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</si>
  <si>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</si>
  <si>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</si>
  <si>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</si>
  <si>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</si>
  <si>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</si>
  <si>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</si>
  <si>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</si>
  <si>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</si>
  <si>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</si>
  <si>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</si>
  <si>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</si>
  <si>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</si>
  <si>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</si>
  <si>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</si>
  <si>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</si>
  <si>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</si>
  <si>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</si>
  <si>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</si>
  <si>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</si>
  <si>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</si>
  <si>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</si>
  <si>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</si>
  <si>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</si>
  <si>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</si>
  <si>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</si>
  <si>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</si>
  <si>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</si>
  <si>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</si>
  <si>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</si>
  <si>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</si>
  <si>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</si>
  <si>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</si>
  <si>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</si>
  <si>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</si>
  <si>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</si>
  <si>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</si>
  <si>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</si>
  <si>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</si>
  <si>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</si>
  <si>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</si>
  <si>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</si>
  <si>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</si>
  <si>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</si>
  <si>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</si>
  <si>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</si>
  <si>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</si>
  <si>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</si>
  <si>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</si>
  <si>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</si>
  <si>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</si>
  <si>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</si>
  <si>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</si>
  <si>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</si>
  <si>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</si>
  <si>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</si>
  <si>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</si>
  <si>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City Clerk, City Treasurer, Mayor</t>
  </si>
  <si>
    <t>Official Title:</t>
  </si>
  <si>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</si>
  <si>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</si>
  <si>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</si>
  <si>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</si>
  <si>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Franchise Tax</t>
  </si>
  <si>
    <t>Non-Appropriated Balance</t>
  </si>
  <si>
    <t>Total Expenditure/Non-Appr Balance</t>
  </si>
  <si>
    <t>Delinquent Comp Rate:</t>
  </si>
  <si>
    <t>for Expenditures</t>
  </si>
  <si>
    <t>Desired Carryover Amount:</t>
  </si>
  <si>
    <t>Estimated Mill Rate Impact:</t>
  </si>
  <si>
    <t>The estimated value of one mill would be:</t>
  </si>
  <si>
    <t>Tax Levy Fund Expenditures Must Be Either</t>
  </si>
  <si>
    <t>Change in Ad Valorem Tax Revenue:</t>
  </si>
  <si>
    <t>What Mill Rate Would Be Desired?</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</si>
  <si>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</si>
  <si>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</si>
  <si>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15 (protection)</t>
  </si>
  <si>
    <t>The following were changed to this spreadsheet on 9/8/10</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</si>
  <si>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</si>
  <si>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</si>
  <si>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</si>
  <si>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</si>
  <si>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Gen tab added revenue line for 'Compensation Use'</t>
  </si>
  <si>
    <t>9. Gen tab added table for 'Projection of Cash Carryover'</t>
  </si>
  <si>
    <t>10. Gen tab added table for 'Desired Carryover'</t>
  </si>
  <si>
    <t>11. Gen tab redefine print que to not include tables</t>
  </si>
  <si>
    <t>12. Gen tab hid the comp for see tabs</t>
  </si>
  <si>
    <t>13. DebtService tab reduced the Debt Service fund page and added the Recreation fund</t>
  </si>
  <si>
    <t>14. DebtService tab added table for 'Projected Carryover'</t>
  </si>
  <si>
    <t>15. DebtService tab redefine print que and hid comp for see tabs</t>
  </si>
  <si>
    <t>16. Levy page9 and page 13 tab hid comp for see tabs</t>
  </si>
  <si>
    <t>17. Summ tab added line after total for Recreation fund and put a check to determine if levy was exceeded</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</si>
  <si>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</si>
  <si>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</si>
  <si>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</si>
  <si>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</si>
  <si>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</si>
  <si>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</si>
  <si>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</si>
  <si>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</si>
  <si>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</si>
  <si>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</si>
  <si>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</si>
  <si>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</si>
  <si>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</si>
  <si>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</si>
  <si>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</si>
  <si>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</si>
  <si>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</si>
  <si>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</si>
  <si>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t xml:space="preserve">7a. Transfers total are at the bottom of the schedule which are linked to the Budget Summary page. </t>
  </si>
  <si>
    <t>7c. TransferStatutes tab provides statute reference for transfers which are not already identified.</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</si>
  <si>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</si>
  <si>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</si>
  <si>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</si>
  <si>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Taking Off Protection for a Tab Section.</t>
  </si>
  <si>
    <t>28. Inputoth tab changes Actual Delinquency tax from -2 to -3</t>
  </si>
  <si>
    <t>1. Summ tab changed proposed year expenditure column to 'Budget Authority for Expenditures'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</si>
  <si>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</si>
  <si>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</si>
  <si>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</si>
  <si>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</si>
  <si>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</si>
  <si>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</si>
  <si>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</si>
  <si>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</si>
  <si>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</si>
  <si>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</si>
  <si>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</si>
  <si>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</si>
  <si>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</si>
  <si>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</si>
  <si>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</si>
  <si>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</si>
  <si>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Prior Year </t>
  </si>
  <si>
    <t>Current Year</t>
  </si>
  <si>
    <t xml:space="preserve">Proposed Budget </t>
  </si>
  <si>
    <t>Expenditures Must Be Changed by:</t>
  </si>
  <si>
    <t>Does miscellaneous exceed 10% of Total Expenditure</t>
  </si>
  <si>
    <t>Mill Rate Comparison</t>
  </si>
  <si>
    <t xml:space="preserve">Current Year </t>
  </si>
  <si>
    <t xml:space="preserve"> Debt</t>
  </si>
  <si>
    <t>Type of</t>
  </si>
  <si>
    <t xml:space="preserve"> Purchased</t>
  </si>
  <si>
    <t>Items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</si>
  <si>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</si>
  <si>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</si>
  <si>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</si>
  <si>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</si>
  <si>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</si>
  <si>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</si>
  <si>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</si>
  <si>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</si>
  <si>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</si>
  <si>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</si>
  <si>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</si>
  <si>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</si>
  <si>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</si>
  <si>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</si>
  <si>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</si>
  <si>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</si>
  <si>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</si>
  <si>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</si>
  <si>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</si>
  <si>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</si>
  <si>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</si>
  <si>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</si>
  <si>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</si>
  <si>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</si>
  <si>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</si>
  <si>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</si>
  <si>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</si>
  <si>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</si>
  <si>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</si>
  <si>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</si>
  <si>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</si>
  <si>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</si>
  <si>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</si>
  <si>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</si>
  <si>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</si>
  <si>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</si>
  <si>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</si>
  <si>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</si>
  <si>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</si>
  <si>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</si>
  <si>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</si>
  <si>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</si>
  <si>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</si>
  <si>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</si>
  <si>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</si>
  <si>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</si>
  <si>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</si>
  <si>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</si>
  <si>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</si>
  <si>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</si>
  <si>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</si>
  <si>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12-1220</t>
  </si>
  <si>
    <t>Library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</si>
  <si>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</si>
  <si>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</si>
  <si>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</si>
  <si>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</si>
  <si>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</si>
  <si>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</si>
  <si>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</si>
  <si>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</si>
  <si>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</si>
  <si>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</si>
  <si>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</si>
  <si>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</si>
  <si>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</si>
  <si>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</si>
  <si>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</si>
  <si>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</si>
  <si>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Allocation of MVT, RVT, 16/20M Vehicle Tax</t>
  </si>
  <si>
    <t xml:space="preserve">Allocation of Motor, Recreational, 16/20M Vehicle Tax </t>
  </si>
  <si>
    <t xml:space="preserve">Budget Tax Levy </t>
  </si>
  <si>
    <t>Delinquency % used in this budget will be shown on all fund pages with a tax levy**</t>
  </si>
  <si>
    <t>Email:</t>
  </si>
  <si>
    <t>_________________________  _________________________</t>
  </si>
  <si>
    <t>Expenditures Must Be Changed By:</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</si>
  <si>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</si>
  <si>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</si>
  <si>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</si>
  <si>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</si>
  <si>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</si>
  <si>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</si>
  <si>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</si>
  <si>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</si>
  <si>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</si>
  <si>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</si>
  <si>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</si>
  <si>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</si>
  <si>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</si>
  <si>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</si>
  <si>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</si>
  <si>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</si>
  <si>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</si>
  <si>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</si>
  <si>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</si>
  <si>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</si>
  <si>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</si>
  <si>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</si>
  <si>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</si>
  <si>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</si>
  <si>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</si>
  <si>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</si>
  <si>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</si>
  <si>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</si>
  <si>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</si>
  <si>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</si>
  <si>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</si>
  <si>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</si>
  <si>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</si>
  <si>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</si>
  <si>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</si>
  <si>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</si>
  <si>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</si>
  <si>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</si>
  <si>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38. TIF Comp tab, cells E10/E15 changed formula to round</t>
  </si>
  <si>
    <t>39. TIF CountyClerk tab, cells E21/E26 changed formula to round</t>
  </si>
  <si>
    <t>City TIF spreadsheets has General Fund page (general), Debt Service  and Library page (DebtSvs-Library), 10 tax levy pages (levy page9 to levy page13), Special Highway page (Sp Hiway), 11 no levy fund pages (nolevypage15 to nolevypage19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</si>
  <si>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</si>
  <si>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</si>
  <si>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</si>
  <si>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</si>
  <si>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</si>
  <si>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</si>
  <si>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</si>
  <si>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</si>
  <si>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</si>
  <si>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</si>
  <si>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</si>
  <si>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</si>
  <si>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</si>
  <si>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</si>
  <si>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</si>
  <si>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</si>
  <si>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</si>
  <si>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</si>
  <si>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</si>
  <si>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</si>
  <si>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</si>
  <si>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</si>
  <si>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</si>
  <si>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</si>
  <si>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</si>
  <si>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</si>
  <si>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</si>
  <si>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</si>
  <si>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</si>
  <si>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</si>
  <si>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</si>
  <si>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</si>
  <si>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</si>
  <si>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</si>
  <si>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</si>
  <si>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t>1. instruction were changed: POC change from Roger to ARMUNIS, got rid about us providing disk, took the input page and split to input prior budget information and input other, with more in-depth of forms and fund page, and more in-depth on the budget summary page.</t>
  </si>
  <si>
    <t>40. Instruction tab, added 15c for TIF computation</t>
  </si>
  <si>
    <t>15. TIF tabs - two tables created to compute TIF estimates for the city(TIF Comp) and county(TIF CountyClerk) valuation to determine mill rates and dollar amount the county passes along to the city's TIF district.</t>
  </si>
  <si>
    <t>15a. The summ tab proposed valuation is adjusted for the TIF district valuation which is used to compute mill rates.  The total TIF area is subtracted and the base TIF area is added to the city's valuation.</t>
  </si>
  <si>
    <t>15b. TIF Comp tab computes the estimated TIF amount. This table is linked to the input other tab for the valuation of TIF base year and TIF total valuation to determine net valuation. Mill rates are linked from the summ tab which is then multiplied by the net valuation times .001 to provide the estimate TIF dollar amount which is linked to the TIF fund page.</t>
  </si>
  <si>
    <t>15c. If other municipalities are included in the TIF area, then the TIF for these are provided off of the County Clerk's July estimates.  These TIF estimates are then added on the TIF fund page.</t>
  </si>
  <si>
    <r>
      <t xml:space="preserve">15d. TIF CountyClerk tab computes the November TIF actual valuation amounts. In the </t>
    </r>
    <r>
      <rPr>
        <u/>
        <sz val="12"/>
        <rFont val="Times New Roman"/>
        <family val="1"/>
      </rPr>
      <t>first table</t>
    </r>
    <r>
      <rPr>
        <sz val="12"/>
        <rFont val="Times New Roman"/>
        <family val="1"/>
      </rPr>
      <t xml:space="preserve">, the county clerk enters the November valuations which then computes valuation for the county and links to the Certificate page in order to compute the city's mill rates. The </t>
    </r>
    <r>
      <rPr>
        <u/>
        <sz val="12"/>
        <rFont val="Times New Roman"/>
        <family val="1"/>
      </rPr>
      <t>second table</t>
    </r>
    <r>
      <rPr>
        <sz val="12"/>
        <rFont val="Times New Roman"/>
        <family val="1"/>
      </rPr>
      <t>, takes the county's mill rates to compute the amount for city's distribution for the TIF district. County Clerk passes this amount on to the County Treasurer for distribution to the City's TIF district.</t>
    </r>
  </si>
  <si>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</si>
  <si>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</si>
  <si>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</si>
  <si>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</si>
  <si>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</si>
  <si>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#4d to show Certificate page new schedule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</si>
  <si>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</si>
  <si>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</si>
  <si>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</si>
  <si>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</si>
  <si>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</si>
  <si>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The following were changed to this spreadsheet on 6/12/12</t>
  </si>
  <si>
    <t>1.  Corrected the Library Grant tab, corrected links to the various taxes found on the Library Fund Page</t>
  </si>
  <si>
    <t>Is an ordinance required?</t>
  </si>
  <si>
    <t>The following were changed to this spreadsheet on 10/8/12</t>
  </si>
  <si>
    <t>1.  Added "ordinance required?  yes/no" message to area adjacent to each tax levy fund</t>
  </si>
  <si>
    <t>1.  Corrected formula in cell d31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</si>
  <si>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</si>
  <si>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</si>
  <si>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</si>
  <si>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</si>
  <si>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</si>
  <si>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Industrial</t>
  </si>
  <si>
    <t>Recreation</t>
  </si>
  <si>
    <t>Parks and Recreation</t>
  </si>
  <si>
    <t>Pool</t>
  </si>
  <si>
    <t>Water</t>
  </si>
  <si>
    <t>Sewer</t>
  </si>
  <si>
    <t>Airport</t>
  </si>
  <si>
    <t>Post Lantern St Light Proj</t>
  </si>
  <si>
    <t>Storm Water Utility</t>
  </si>
  <si>
    <t>water</t>
  </si>
  <si>
    <t>debt service</t>
  </si>
  <si>
    <t>12-825d</t>
  </si>
  <si>
    <t>sewer</t>
  </si>
  <si>
    <t>industrial</t>
  </si>
  <si>
    <t>Post Lantern</t>
  </si>
  <si>
    <t>pool</t>
  </si>
  <si>
    <t>general</t>
  </si>
  <si>
    <t xml:space="preserve">general </t>
  </si>
  <si>
    <t>special highway</t>
  </si>
  <si>
    <t>series 2012</t>
  </si>
  <si>
    <t>1.1-2.75</t>
  </si>
  <si>
    <t>Feb/Aug</t>
  </si>
  <si>
    <t>series 2012 B</t>
  </si>
  <si>
    <t>series 2011</t>
  </si>
  <si>
    <t>Apr/Oct</t>
  </si>
  <si>
    <t>Oct</t>
  </si>
  <si>
    <t>none</t>
  </si>
  <si>
    <t>2012 USDA (Sewer)</t>
  </si>
  <si>
    <t>2006 Post Lantern non-ref</t>
  </si>
  <si>
    <t>2005 B Crosswinds</t>
  </si>
  <si>
    <t>..</t>
  </si>
  <si>
    <t>2005 D USDA (Sewer)</t>
  </si>
  <si>
    <t>2005 A Wastewater</t>
  </si>
  <si>
    <t>2006 A Hemisphere</t>
  </si>
  <si>
    <t>unk</t>
  </si>
  <si>
    <t>1.8-3.85</t>
  </si>
  <si>
    <t>2.9-4.50</t>
  </si>
  <si>
    <t>1.60-3.70</t>
  </si>
  <si>
    <t>City of Hiawatha</t>
  </si>
  <si>
    <t>Brown</t>
  </si>
  <si>
    <t>Jan/July</t>
  </si>
  <si>
    <t>May/Nov</t>
  </si>
  <si>
    <t>Nov</t>
  </si>
  <si>
    <t>KWPC</t>
  </si>
  <si>
    <t>un</t>
  </si>
  <si>
    <t>2003 Stm Water/Sew</t>
  </si>
  <si>
    <t>1.80-3.85</t>
  </si>
  <si>
    <t>series 2002</t>
  </si>
  <si>
    <t>5.30-5.50</t>
  </si>
  <si>
    <t>Truck</t>
  </si>
  <si>
    <t>Street Sweeper</t>
  </si>
  <si>
    <t>County Sales Tax</t>
  </si>
  <si>
    <t>Licenses/Permits</t>
  </si>
  <si>
    <t>Guest Tax</t>
  </si>
  <si>
    <t>Charges for Services</t>
  </si>
  <si>
    <t>Fines/Fees</t>
  </si>
  <si>
    <t>Reimbursables</t>
  </si>
  <si>
    <t>Administration</t>
  </si>
  <si>
    <t>Public Safety</t>
  </si>
  <si>
    <t>Culture and Recreatin</t>
  </si>
  <si>
    <t>Fisher Center</t>
  </si>
  <si>
    <t>Ambulance</t>
  </si>
  <si>
    <t>Guest Tax and Tranfers</t>
  </si>
  <si>
    <t xml:space="preserve">Interest  </t>
  </si>
  <si>
    <t>Cash Basis Provision</t>
  </si>
  <si>
    <t>Payment to Escrow</t>
  </si>
  <si>
    <t>Redemption Distribution</t>
  </si>
  <si>
    <t>Transfers In</t>
  </si>
  <si>
    <t>Reimbursements</t>
  </si>
  <si>
    <t>walking/ped trail</t>
  </si>
  <si>
    <t>Appropriation to Library</t>
  </si>
  <si>
    <t>City Sales Tax</t>
  </si>
  <si>
    <t>Personal Services</t>
  </si>
  <si>
    <t>Contractual</t>
  </si>
  <si>
    <t>Commoditites</t>
  </si>
  <si>
    <t>Capital Outlay</t>
  </si>
  <si>
    <t>Transfers Out</t>
  </si>
  <si>
    <t>Reimbursed Expenses</t>
  </si>
  <si>
    <t>Contractual Services</t>
  </si>
  <si>
    <t>Commodities</t>
  </si>
  <si>
    <t>Unemployment</t>
  </si>
  <si>
    <t>Workers Compensation Insurance</t>
  </si>
  <si>
    <t>Health Insurance</t>
  </si>
  <si>
    <t>Social Security</t>
  </si>
  <si>
    <t>Conneting Links</t>
  </si>
  <si>
    <t>Tranfers In</t>
  </si>
  <si>
    <t>Connecting Links</t>
  </si>
  <si>
    <t>Liquor Tax</t>
  </si>
  <si>
    <t>Use of Money and Property</t>
  </si>
  <si>
    <t>Transfer in</t>
  </si>
  <si>
    <t>Special Assessments</t>
  </si>
  <si>
    <t>Use of Money &amp; Property</t>
  </si>
  <si>
    <t>Charges for sevices</t>
  </si>
  <si>
    <t>Commododties</t>
  </si>
  <si>
    <t>Capital Oulay</t>
  </si>
  <si>
    <t>Use of Property and Money</t>
  </si>
  <si>
    <t>Grants (Intergovernmental)</t>
  </si>
  <si>
    <t>Lights</t>
  </si>
  <si>
    <t>2013 USDA (Public Safety</t>
  </si>
  <si>
    <t>special events/special parks</t>
  </si>
  <si>
    <t>Vivian Constable</t>
  </si>
  <si>
    <t>August 19, 2013</t>
  </si>
  <si>
    <t>5:35 p.m.</t>
  </si>
  <si>
    <t>Hiawatha City Hall, 701 Oregon St.</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</si>
</sst>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0">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name val="Courier"/>
      <family val="3"/>
    </font>
    <font>
      <b/>
      <sz val="12"/>
      <name val="Courier"/>
      <family val="3"/>
    </font>
    <font>
      <i/>
      <sz val="12"/>
      <name val="Courier"/>
      <family val="3"/>
    </font>
    <font>
      <b/>
      <u/>
      <sz val="8"/>
      <color indexed="10"/>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sz val="12"/>
      <name val="Courier New"/>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8"/>
      <name val="Times New Roman"/>
      <family val="1"/>
    </font>
    <font>
      <b/>
      <u/>
      <sz val="10"/>
      <name val="Times New Roman"/>
      <family val="1"/>
    </font>
    <font>
      <b/>
      <sz val="10"/>
      <name val="Times New Roman"/>
      <family val="1"/>
    </font>
    <font>
      <sz val="10"/>
      <name val="Courier"/>
      <family val="3"/>
    </font>
    <font>
      <u/>
      <sz val="12"/>
      <color indexed="10"/>
      <name val="Times New Roman"/>
      <family val="1"/>
    </font>
    <font>
      <sz val="9"/>
      <color indexed="10"/>
      <name val="Times New Roman"/>
      <family val="1"/>
    </font>
    <font>
      <sz val="10"/>
      <color indexed="10"/>
      <name val="Times New Roman"/>
      <family val="1"/>
    </font>
    <font>
      <u/>
      <sz val="12"/>
      <color indexed="12"/>
      <name val="Courier New"/>
      <family val="3"/>
    </font>
    <font>
      <sz val="11"/>
      <color theme="1"/>
      <name val="Calibri"/>
      <family val="2"/>
      <scheme val="minor"/>
    </font>
    <font>
      <u/>
      <sz val="12"/>
      <color rgb="FFFF0000"/>
      <name val="Times New Roman"/>
      <family val="1"/>
    </font>
    <font>
      <b/>
      <sz val="11"/>
      <color theme="1"/>
      <name val="Cambria"/>
      <family val="1"/>
    </font>
    <font>
      <sz val="11"/>
      <color rgb="FF000000"/>
      <name val="Cambria"/>
      <family val="1"/>
    </font>
    <font>
      <b/>
      <sz val="12"/>
      <color rgb="FF000000"/>
      <name val="Times New Roman"/>
      <family val="1"/>
    </font>
    <font>
      <b/>
      <sz val="12"/>
      <color rgb="FFFF0000"/>
      <name val="Times New Roman"/>
      <family val="1"/>
    </font>
    <font>
      <sz val="10"/>
      <color rgb="FFFF0000"/>
      <name val="Times New Roman"/>
      <family val="1"/>
    </font>
    <font>
      <sz val="12"/>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20">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0"/>
        <bgColor indexed="64"/>
      </patternFill>
    </fill>
    <fill>
      <patternFill patternType="solid">
        <fgColor indexed="1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double">
        <color indexed="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4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 fillId="0" borderId="0"/>
    <xf numFmtId="0" fontId="30"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2"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2" fillId="0" borderId="0"/>
    <xf numFmtId="0" fontId="30" fillId="0" borderId="0"/>
    <xf numFmtId="0" fontId="2" fillId="0" borderId="0"/>
    <xf numFmtId="0" fontId="30" fillId="0" borderId="0"/>
    <xf numFmtId="0" fontId="2" fillId="0" borderId="0"/>
    <xf numFmtId="0" fontId="2" fillId="0" borderId="0"/>
    <xf numFmtId="0" fontId="30" fillId="0" borderId="0"/>
    <xf numFmtId="0" fontId="30" fillId="0" borderId="0"/>
    <xf numFmtId="0" fontId="2" fillId="0" borderId="0"/>
    <xf numFmtId="0" fontId="2" fillId="0" borderId="0"/>
    <xf numFmtId="0" fontId="32" fillId="0" borderId="0"/>
    <xf numFmtId="0" fontId="30" fillId="0" borderId="0"/>
    <xf numFmtId="0" fontId="2" fillId="0" borderId="0"/>
    <xf numFmtId="0" fontId="30" fillId="0" borderId="0"/>
    <xf numFmtId="0" fontId="2" fillId="0" borderId="0"/>
    <xf numFmtId="0" fontId="2" fillId="0" borderId="0"/>
    <xf numFmtId="0" fontId="30" fillId="0" borderId="0"/>
    <xf numFmtId="0" fontId="30" fillId="0" borderId="0"/>
    <xf numFmtId="0" fontId="2" fillId="0" borderId="0"/>
    <xf numFmtId="0" fontId="2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2" fillId="0" borderId="0"/>
    <xf numFmtId="0" fontId="30" fillId="0" borderId="0"/>
    <xf numFmtId="0" fontId="30" fillId="0" borderId="0"/>
    <xf numFmtId="0" fontId="2" fillId="0" borderId="0"/>
    <xf numFmtId="0" fontId="2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cellStyleXfs>
  <cellXfs count="998">
    <xf numFmtId="0" fontId="0" fillId="0" borderId="0" xfId="0"/>
    <xf numFmtId="0" fontId="4" fillId="0" borderId="0" xfId="0" applyFont="1"/>
    <xf numFmtId="0" fontId="4" fillId="0" borderId="0" xfId="0" applyFont="1" applyAlignment="1">
      <alignment wrapText="1"/>
    </xf>
    <xf numFmtId="0" fontId="4" fillId="0" borderId="0" xfId="0" applyFont="1" applyProtection="1">
      <protection locked="0"/>
    </xf>
    <xf numFmtId="3" fontId="4" fillId="2" borderId="1" xfId="0" applyNumberFormat="1" applyFont="1" applyFill="1" applyBorder="1" applyProtection="1">
      <protection locked="0"/>
    </xf>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37" fontId="4" fillId="3" borderId="0" xfId="0" applyNumberFormat="1" applyFont="1" applyFill="1" applyAlignment="1" applyProtection="1">
      <alignment horizontal="left"/>
    </xf>
    <xf numFmtId="37" fontId="4" fillId="3" borderId="2" xfId="0" applyNumberFormat="1" applyFont="1" applyFill="1" applyBorder="1" applyAlignment="1" applyProtection="1">
      <alignment horizontal="left"/>
    </xf>
    <xf numFmtId="37" fontId="4" fillId="3" borderId="1" xfId="0" applyNumberFormat="1" applyFont="1" applyFill="1" applyBorder="1" applyProtection="1"/>
    <xf numFmtId="0" fontId="4" fillId="3" borderId="1" xfId="0" applyFont="1" applyFill="1" applyBorder="1" applyProtection="1"/>
    <xf numFmtId="0" fontId="4" fillId="3" borderId="3" xfId="0" applyFont="1" applyFill="1" applyBorder="1" applyProtection="1"/>
    <xf numFmtId="0" fontId="4" fillId="3" borderId="0" xfId="0" applyFont="1" applyFill="1" applyAlignment="1">
      <alignment horizontal="right"/>
    </xf>
    <xf numFmtId="3" fontId="4" fillId="3" borderId="0" xfId="0" applyNumberFormat="1" applyFont="1" applyFill="1" applyProtection="1"/>
    <xf numFmtId="37" fontId="4" fillId="3" borderId="0" xfId="0" applyNumberFormat="1" applyFont="1" applyFill="1" applyProtection="1"/>
    <xf numFmtId="3" fontId="4" fillId="3" borderId="1" xfId="0" applyNumberFormat="1" applyFont="1" applyFill="1" applyBorder="1" applyProtection="1"/>
    <xf numFmtId="0" fontId="3" fillId="3" borderId="0" xfId="0" applyFont="1" applyFill="1" applyProtection="1"/>
    <xf numFmtId="37" fontId="4" fillId="3" borderId="0" xfId="0" applyNumberFormat="1" applyFont="1" applyFill="1" applyBorder="1" applyAlignment="1" applyProtection="1">
      <alignment horizontal="fill"/>
    </xf>
    <xf numFmtId="0" fontId="4" fillId="4" borderId="0" xfId="0" applyFont="1" applyFill="1" applyAlignment="1" applyProtection="1">
      <alignment horizontal="left"/>
      <protection locked="0"/>
    </xf>
    <xf numFmtId="3" fontId="4" fillId="3" borderId="4" xfId="0" applyNumberFormat="1" applyFont="1" applyFill="1" applyBorder="1" applyAlignment="1" applyProtection="1">
      <alignment horizontal="fill"/>
    </xf>
    <xf numFmtId="0" fontId="4" fillId="3" borderId="0" xfId="0" applyFont="1" applyFill="1" applyBorder="1" applyProtection="1"/>
    <xf numFmtId="37" fontId="4" fillId="3" borderId="0" xfId="0" applyNumberFormat="1" applyFont="1" applyFill="1" applyBorder="1" applyAlignment="1" applyProtection="1">
      <alignment horizontal="left"/>
    </xf>
    <xf numFmtId="0" fontId="4" fillId="3" borderId="0" xfId="0" applyFont="1" applyFill="1" applyProtection="1">
      <protection locked="0"/>
    </xf>
    <xf numFmtId="0" fontId="4" fillId="3" borderId="0" xfId="0" applyNumberFormat="1" applyFont="1" applyFill="1" applyAlignment="1" applyProtection="1">
      <alignment horizontal="right"/>
    </xf>
    <xf numFmtId="3" fontId="4" fillId="3" borderId="1" xfId="0" applyNumberFormat="1" applyFont="1" applyFill="1" applyBorder="1" applyProtection="1">
      <protection locked="0"/>
    </xf>
    <xf numFmtId="37" fontId="3" fillId="3" borderId="2" xfId="0" applyNumberFormat="1" applyFont="1" applyFill="1" applyBorder="1" applyAlignment="1" applyProtection="1">
      <alignment horizontal="left"/>
    </xf>
    <xf numFmtId="0" fontId="0" fillId="3" borderId="0" xfId="0" applyFill="1"/>
    <xf numFmtId="3" fontId="4" fillId="3" borderId="1" xfId="0" applyNumberFormat="1" applyFont="1" applyFill="1" applyBorder="1" applyAlignment="1" applyProtection="1">
      <alignment horizontal="center"/>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4" fillId="5" borderId="1" xfId="0" applyNumberFormat="1" applyFont="1" applyFill="1" applyBorder="1" applyProtection="1"/>
    <xf numFmtId="3" fontId="3" fillId="5" borderId="1" xfId="0" applyNumberFormat="1" applyFont="1" applyFill="1" applyBorder="1" applyProtection="1"/>
    <xf numFmtId="0" fontId="4" fillId="2" borderId="2" xfId="0" applyFont="1" applyFill="1" applyBorder="1" applyProtection="1">
      <protection locked="0"/>
    </xf>
    <xf numFmtId="0" fontId="4" fillId="3" borderId="2" xfId="0" applyFont="1" applyFill="1" applyBorder="1" applyAlignment="1" applyProtection="1">
      <alignment horizontal="left"/>
    </xf>
    <xf numFmtId="0" fontId="4" fillId="2" borderId="2" xfId="0" applyFont="1" applyFill="1" applyBorder="1" applyAlignment="1" applyProtection="1">
      <alignment horizontal="left"/>
      <protection locked="0"/>
    </xf>
    <xf numFmtId="3" fontId="4" fillId="2" borderId="5" xfId="0" applyNumberFormat="1" applyFont="1" applyFill="1" applyBorder="1" applyProtection="1">
      <protection locked="0"/>
    </xf>
    <xf numFmtId="0" fontId="4" fillId="3" borderId="6" xfId="0" applyFont="1" applyFill="1" applyBorder="1" applyAlignment="1" applyProtection="1">
      <alignment horizontal="left"/>
    </xf>
    <xf numFmtId="0" fontId="4" fillId="3" borderId="2" xfId="0" applyFont="1" applyFill="1" applyBorder="1" applyProtection="1"/>
    <xf numFmtId="0" fontId="4" fillId="3" borderId="2" xfId="0" applyFont="1" applyFill="1" applyBorder="1" applyProtection="1">
      <protection locked="0"/>
    </xf>
    <xf numFmtId="37" fontId="4" fillId="3" borderId="2" xfId="0" applyNumberFormat="1" applyFont="1" applyFill="1" applyBorder="1" applyProtection="1"/>
    <xf numFmtId="173" fontId="4" fillId="3" borderId="1" xfId="0" applyNumberFormat="1" applyFont="1" applyFill="1" applyBorder="1" applyAlignment="1" applyProtection="1">
      <alignment horizontal="center"/>
    </xf>
    <xf numFmtId="173" fontId="4" fillId="3" borderId="4" xfId="0" applyNumberFormat="1" applyFont="1" applyFill="1" applyBorder="1" applyAlignment="1" applyProtection="1">
      <alignment horizontal="center"/>
    </xf>
    <xf numFmtId="173" fontId="4" fillId="3" borderId="0" xfId="0" applyNumberFormat="1" applyFont="1" applyFill="1" applyBorder="1" applyAlignment="1" applyProtection="1">
      <alignment horizontal="center"/>
    </xf>
    <xf numFmtId="37" fontId="15" fillId="6" borderId="5" xfId="0" applyNumberFormat="1" applyFont="1" applyFill="1" applyBorder="1" applyAlignment="1" applyProtection="1">
      <alignment horizontal="center"/>
    </xf>
    <xf numFmtId="0" fontId="5" fillId="0" borderId="0" xfId="0" applyFont="1"/>
    <xf numFmtId="0" fontId="0" fillId="0" borderId="0" xfId="0" applyAlignment="1">
      <alignment vertical="center"/>
    </xf>
    <xf numFmtId="37" fontId="4" fillId="3" borderId="0" xfId="0" applyNumberFormat="1" applyFont="1" applyFill="1" applyProtection="1">
      <protection locked="0"/>
    </xf>
    <xf numFmtId="3" fontId="4" fillId="3" borderId="0" xfId="0" applyNumberFormat="1" applyFont="1" applyFill="1" applyBorder="1" applyAlignment="1" applyProtection="1">
      <alignment horizontal="center"/>
    </xf>
    <xf numFmtId="3" fontId="4" fillId="3" borderId="0" xfId="0" applyNumberFormat="1" applyFont="1" applyFill="1" applyBorder="1" applyAlignment="1">
      <alignment horizontal="center"/>
    </xf>
    <xf numFmtId="0" fontId="0" fillId="3" borderId="0" xfId="0" applyFill="1" applyBorder="1" applyAlignment="1">
      <alignment horizontal="center"/>
    </xf>
    <xf numFmtId="0" fontId="4" fillId="3" borderId="0" xfId="0" applyFont="1" applyFill="1" applyBorder="1" applyAlignment="1">
      <alignment horizontal="center"/>
    </xf>
    <xf numFmtId="173" fontId="4" fillId="3" borderId="7" xfId="0" applyNumberFormat="1" applyFont="1" applyFill="1" applyBorder="1" applyAlignment="1" applyProtection="1">
      <alignment horizontal="center"/>
    </xf>
    <xf numFmtId="3" fontId="0" fillId="0" borderId="0" xfId="0" applyNumberFormat="1"/>
    <xf numFmtId="173" fontId="4" fillId="3" borderId="5" xfId="0" applyNumberFormat="1" applyFont="1" applyFill="1" applyBorder="1" applyAlignment="1" applyProtection="1">
      <alignment horizontal="center"/>
    </xf>
    <xf numFmtId="0" fontId="4" fillId="3" borderId="4" xfId="0" applyFont="1" applyFill="1" applyBorder="1" applyAlignment="1" applyProtection="1">
      <alignment horizontal="center" wrapText="1"/>
    </xf>
    <xf numFmtId="37" fontId="4" fillId="3" borderId="6" xfId="0" applyNumberFormat="1" applyFont="1" applyFill="1" applyBorder="1" applyProtection="1"/>
    <xf numFmtId="3" fontId="4" fillId="7" borderId="1" xfId="0" applyNumberFormat="1" applyFont="1" applyFill="1" applyBorder="1" applyAlignment="1" applyProtection="1">
      <alignment horizontal="center" vertical="center"/>
    </xf>
    <xf numFmtId="3" fontId="4" fillId="8" borderId="1" xfId="0" applyNumberFormat="1" applyFont="1" applyFill="1" applyBorder="1" applyAlignment="1" applyProtection="1">
      <alignment horizontal="center" vertical="center"/>
    </xf>
    <xf numFmtId="3" fontId="4" fillId="6" borderId="1" xfId="0" applyNumberFormat="1" applyFont="1" applyFill="1" applyBorder="1" applyAlignment="1" applyProtection="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4"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8" borderId="0" xfId="0" applyFont="1" applyFill="1" applyAlignment="1">
      <alignment vertical="center" wrapText="1"/>
    </xf>
    <xf numFmtId="0" fontId="4" fillId="9" borderId="0" xfId="0" applyFont="1" applyFill="1" applyAlignment="1">
      <alignment vertical="center"/>
    </xf>
    <xf numFmtId="37" fontId="4" fillId="0" borderId="0" xfId="0" applyNumberFormat="1" applyFont="1" applyFill="1" applyAlignment="1" applyProtection="1">
      <alignment horizontal="left" vertical="center" wrapText="1"/>
    </xf>
    <xf numFmtId="3" fontId="4" fillId="3" borderId="1" xfId="99" applyNumberFormat="1" applyFont="1" applyFill="1" applyBorder="1" applyAlignment="1" applyProtection="1">
      <alignment horizontal="center" vertical="center"/>
    </xf>
    <xf numFmtId="3" fontId="4" fillId="4" borderId="1" xfId="99" applyNumberFormat="1" applyFont="1" applyFill="1" applyBorder="1" applyAlignment="1" applyProtection="1">
      <alignment horizontal="center" vertical="center"/>
      <protection locked="0"/>
    </xf>
    <xf numFmtId="173" fontId="4" fillId="3" borderId="1" xfId="99" applyNumberFormat="1" applyFont="1" applyFill="1" applyBorder="1" applyAlignment="1" applyProtection="1">
      <alignment horizontal="center" vertical="center"/>
    </xf>
    <xf numFmtId="3" fontId="4" fillId="3" borderId="0" xfId="99" applyNumberFormat="1" applyFont="1" applyFill="1" applyBorder="1" applyAlignment="1" applyProtection="1">
      <alignment horizontal="center" vertical="center"/>
    </xf>
    <xf numFmtId="3" fontId="4" fillId="7" borderId="1" xfId="99" applyNumberFormat="1" applyFont="1" applyFill="1" applyBorder="1" applyAlignment="1" applyProtection="1">
      <alignment horizontal="center" vertical="center"/>
    </xf>
    <xf numFmtId="3" fontId="4" fillId="10" borderId="1" xfId="99" applyNumberFormat="1" applyFont="1" applyFill="1" applyBorder="1" applyAlignment="1" applyProtection="1">
      <alignment horizontal="center" vertical="center"/>
    </xf>
    <xf numFmtId="3" fontId="4" fillId="8" borderId="1" xfId="99" applyNumberFormat="1" applyFont="1" applyFill="1" applyBorder="1" applyAlignment="1" applyProtection="1">
      <alignment horizontal="center" vertical="center"/>
    </xf>
    <xf numFmtId="3" fontId="4" fillId="6" borderId="1" xfId="99" applyNumberFormat="1" applyFont="1" applyFill="1" applyBorder="1" applyAlignment="1" applyProtection="1">
      <alignment horizontal="center" vertical="center"/>
    </xf>
    <xf numFmtId="0" fontId="3" fillId="0" borderId="0" xfId="349" applyFont="1" applyAlignment="1">
      <alignment horizontal="center"/>
    </xf>
    <xf numFmtId="0" fontId="4" fillId="0" borderId="0" xfId="349" applyFont="1" applyAlignment="1">
      <alignment wrapText="1"/>
    </xf>
    <xf numFmtId="0" fontId="4" fillId="0" borderId="0" xfId="0" applyFont="1" applyAlignment="1">
      <alignment horizontal="centerContinuous" vertical="center"/>
    </xf>
    <xf numFmtId="0" fontId="4" fillId="3" borderId="0" xfId="0" applyFont="1" applyFill="1" applyAlignment="1" applyProtection="1">
      <alignment vertical="center"/>
    </xf>
    <xf numFmtId="37" fontId="4" fillId="3" borderId="0" xfId="0" applyNumberFormat="1"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4" fillId="3" borderId="0" xfId="0" applyNumberFormat="1" applyFont="1" applyFill="1" applyBorder="1" applyAlignment="1" applyProtection="1">
      <alignment horizontal="fill" vertical="center"/>
    </xf>
    <xf numFmtId="1" fontId="4" fillId="3" borderId="2" xfId="0" applyNumberFormat="1" applyFont="1" applyFill="1" applyBorder="1" applyAlignment="1" applyProtection="1">
      <alignment horizontal="centerContinuous" vertical="center"/>
    </xf>
    <xf numFmtId="0" fontId="4" fillId="3" borderId="5" xfId="0" applyFont="1" applyFill="1" applyBorder="1" applyAlignment="1" applyProtection="1">
      <alignment horizontal="centerContinuous" vertical="center"/>
    </xf>
    <xf numFmtId="37" fontId="4" fillId="3" borderId="2" xfId="0" applyNumberFormat="1" applyFont="1" applyFill="1" applyBorder="1" applyAlignment="1" applyProtection="1">
      <alignment horizontal="centerContinuous" vertical="center"/>
    </xf>
    <xf numFmtId="0" fontId="4" fillId="3" borderId="7" xfId="0" applyFont="1" applyFill="1" applyBorder="1" applyAlignment="1" applyProtection="1">
      <alignment horizontal="centerContinuous" vertical="center"/>
    </xf>
    <xf numFmtId="1" fontId="4" fillId="3" borderId="8"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9" xfId="0" applyNumberFormat="1" applyFont="1" applyFill="1" applyBorder="1" applyAlignment="1" applyProtection="1">
      <alignment horizontal="center" vertical="center"/>
    </xf>
    <xf numFmtId="0" fontId="4" fillId="3" borderId="9" xfId="0" applyFont="1" applyFill="1" applyBorder="1" applyAlignment="1">
      <alignment horizontal="center" vertical="center"/>
    </xf>
    <xf numFmtId="37" fontId="4" fillId="3" borderId="1" xfId="0" applyNumberFormat="1" applyFont="1" applyFill="1" applyBorder="1" applyAlignment="1" applyProtection="1">
      <alignment vertical="center"/>
    </xf>
    <xf numFmtId="164" fontId="4" fillId="3" borderId="1" xfId="0" applyNumberFormat="1" applyFont="1" applyFill="1" applyBorder="1" applyAlignment="1" applyProtection="1">
      <alignment vertical="center"/>
    </xf>
    <xf numFmtId="0" fontId="4" fillId="3" borderId="1"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9" xfId="0" applyNumberFormat="1" applyFont="1" applyFill="1" applyBorder="1" applyAlignment="1" applyProtection="1">
      <alignment vertical="center"/>
    </xf>
    <xf numFmtId="37" fontId="4" fillId="3" borderId="0" xfId="0" applyNumberFormat="1" applyFont="1" applyFill="1" applyAlignment="1" applyProtection="1">
      <alignment vertical="center"/>
    </xf>
    <xf numFmtId="37" fontId="4" fillId="3" borderId="10" xfId="0" applyNumberFormat="1" applyFont="1" applyFill="1" applyBorder="1" applyAlignment="1" applyProtection="1">
      <alignment vertical="center"/>
    </xf>
    <xf numFmtId="166" fontId="4" fillId="3" borderId="0" xfId="0" applyNumberFormat="1" applyFont="1" applyFill="1" applyAlignment="1" applyProtection="1">
      <alignment vertical="center"/>
    </xf>
    <xf numFmtId="0" fontId="4" fillId="3" borderId="0" xfId="0" applyFont="1" applyFill="1" applyBorder="1" applyAlignment="1" applyProtection="1">
      <alignment vertical="center"/>
    </xf>
    <xf numFmtId="37" fontId="4" fillId="3" borderId="9" xfId="0" applyNumberFormat="1" applyFont="1" applyFill="1" applyBorder="1" applyAlignment="1" applyProtection="1">
      <alignment horizontal="fill" vertical="center"/>
    </xf>
    <xf numFmtId="0" fontId="4" fillId="3" borderId="8" xfId="0" applyFont="1" applyFill="1" applyBorder="1" applyAlignment="1" applyProtection="1">
      <alignment vertical="center"/>
    </xf>
    <xf numFmtId="1" fontId="5" fillId="3" borderId="0" xfId="0" applyNumberFormat="1" applyFont="1" applyFill="1" applyAlignment="1" applyProtection="1">
      <alignment horizontal="center" vertical="center"/>
    </xf>
    <xf numFmtId="3" fontId="4" fillId="3" borderId="4"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3" borderId="11"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0" fontId="4" fillId="3" borderId="4" xfId="0"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Alignment="1" applyProtection="1">
      <alignment horizontal="right" vertical="center"/>
    </xf>
    <xf numFmtId="0" fontId="4" fillId="4" borderId="0" xfId="0" applyFont="1" applyFill="1" applyAlignment="1" applyProtection="1">
      <alignment horizontal="left" vertical="center"/>
      <protection locked="0"/>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4" borderId="4" xfId="0" applyNumberFormat="1" applyFont="1" applyFill="1" applyBorder="1" applyAlignment="1" applyProtection="1">
      <alignment horizontal="left" vertical="center"/>
      <protection locked="0"/>
    </xf>
    <xf numFmtId="0" fontId="4" fillId="4" borderId="4" xfId="0" applyFont="1" applyFill="1" applyBorder="1" applyAlignment="1" applyProtection="1">
      <alignment vertical="center"/>
    </xf>
    <xf numFmtId="37" fontId="4" fillId="4" borderId="7" xfId="0" applyNumberFormat="1" applyFont="1" applyFill="1" applyBorder="1" applyAlignment="1" applyProtection="1">
      <alignment horizontal="left" vertical="center"/>
      <protection locked="0"/>
    </xf>
    <xf numFmtId="0" fontId="4" fillId="4" borderId="7" xfId="0" applyFont="1" applyFill="1" applyBorder="1" applyAlignment="1" applyProtection="1">
      <alignment vertical="center"/>
    </xf>
    <xf numFmtId="37" fontId="4" fillId="3" borderId="0" xfId="0" applyNumberFormat="1"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11" borderId="0" xfId="0" applyFont="1" applyFill="1" applyAlignment="1" applyProtection="1">
      <alignment vertical="center"/>
    </xf>
    <xf numFmtId="0" fontId="4" fillId="11" borderId="0" xfId="0" applyFont="1" applyFill="1" applyAlignment="1" applyProtection="1">
      <alignment vertical="center"/>
    </xf>
    <xf numFmtId="37" fontId="3" fillId="12" borderId="0" xfId="0" applyNumberFormat="1" applyFont="1" applyFill="1" applyAlignment="1" applyProtection="1">
      <alignment horizontal="left" vertical="center"/>
    </xf>
    <xf numFmtId="0" fontId="4" fillId="12" borderId="0" xfId="0" applyFont="1" applyFill="1" applyAlignment="1" applyProtection="1">
      <alignment vertical="center"/>
    </xf>
    <xf numFmtId="0" fontId="4" fillId="8"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center" vertical="center"/>
    </xf>
    <xf numFmtId="37" fontId="4" fillId="8" borderId="9" xfId="0" applyNumberFormat="1" applyFont="1" applyFill="1" applyBorder="1" applyAlignment="1" applyProtection="1">
      <alignment horizontal="center" vertical="center"/>
    </xf>
    <xf numFmtId="3" fontId="4" fillId="2" borderId="9"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4"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37" fontId="4" fillId="3" borderId="5" xfId="0" applyNumberFormat="1" applyFont="1" applyFill="1" applyBorder="1" applyAlignment="1" applyProtection="1">
      <alignment vertical="center"/>
    </xf>
    <xf numFmtId="37" fontId="4" fillId="5" borderId="5"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37" fontId="4" fillId="3" borderId="0" xfId="0"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4" xfId="0" applyNumberFormat="1" applyFont="1" applyFill="1" applyBorder="1" applyAlignment="1" applyProtection="1">
      <alignment vertical="center"/>
      <protection locked="0"/>
    </xf>
    <xf numFmtId="0" fontId="4" fillId="3" borderId="12" xfId="0" applyFont="1" applyFill="1" applyBorder="1" applyAlignment="1" applyProtection="1">
      <alignment vertical="center"/>
    </xf>
    <xf numFmtId="3" fontId="4" fillId="5" borderId="1" xfId="0" applyNumberFormat="1" applyFont="1" applyFill="1" applyBorder="1" applyAlignment="1" applyProtection="1">
      <alignment vertical="center"/>
    </xf>
    <xf numFmtId="164" fontId="4" fillId="3" borderId="9"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11" borderId="0" xfId="0" applyNumberFormat="1" applyFont="1" applyFill="1" applyAlignment="1" applyProtection="1">
      <alignment horizontal="center" vertical="center"/>
    </xf>
    <xf numFmtId="0" fontId="4" fillId="11" borderId="4" xfId="0" applyFont="1" applyFill="1" applyBorder="1" applyAlignment="1">
      <alignment horizontal="center" vertical="center"/>
    </xf>
    <xf numFmtId="164" fontId="4" fillId="5" borderId="1" xfId="0" applyNumberFormat="1" applyFont="1" applyFill="1" applyBorder="1" applyAlignment="1" applyProtection="1">
      <alignment vertical="center"/>
    </xf>
    <xf numFmtId="37" fontId="4" fillId="8" borderId="4" xfId="0" applyNumberFormat="1" applyFont="1" applyFill="1" applyBorder="1" applyAlignment="1" applyProtection="1">
      <alignment horizontal="left" vertical="center"/>
    </xf>
    <xf numFmtId="0" fontId="4" fillId="8" borderId="4" xfId="0" applyFont="1" applyFill="1" applyBorder="1" applyAlignment="1" applyProtection="1">
      <alignment vertical="center"/>
    </xf>
    <xf numFmtId="37" fontId="4" fillId="8" borderId="7" xfId="0" applyNumberFormat="1" applyFont="1" applyFill="1" applyBorder="1" applyAlignment="1" applyProtection="1">
      <alignment horizontal="left" vertical="center"/>
    </xf>
    <xf numFmtId="0" fontId="4" fillId="8" borderId="7" xfId="0" applyFont="1" applyFill="1" applyBorder="1" applyAlignment="1" applyProtection="1">
      <alignment vertical="center"/>
    </xf>
    <xf numFmtId="0" fontId="4" fillId="3" borderId="5" xfId="0" applyFont="1" applyFill="1" applyBorder="1" applyAlignment="1" applyProtection="1">
      <alignment vertical="center"/>
    </xf>
    <xf numFmtId="37" fontId="12" fillId="11"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4" xfId="0"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4" fillId="11" borderId="4" xfId="0" applyFont="1" applyFill="1" applyBorder="1" applyAlignment="1" applyProtection="1">
      <alignment vertical="center"/>
    </xf>
    <xf numFmtId="0" fontId="4" fillId="3" borderId="12" xfId="0" applyFont="1" applyFill="1" applyBorder="1" applyAlignment="1" applyProtection="1">
      <alignment vertical="center"/>
      <protection locked="0"/>
    </xf>
    <xf numFmtId="3" fontId="4" fillId="4" borderId="1" xfId="0" applyNumberFormat="1" applyFont="1" applyFill="1" applyBorder="1" applyAlignment="1" applyProtection="1">
      <alignment vertical="center"/>
      <protection locked="0"/>
    </xf>
    <xf numFmtId="0" fontId="4" fillId="11" borderId="7" xfId="0" applyFont="1" applyFill="1" applyBorder="1" applyAlignment="1" applyProtection="1">
      <alignment vertical="center"/>
    </xf>
    <xf numFmtId="0" fontId="4" fillId="3" borderId="5" xfId="0" applyFont="1" applyFill="1" applyBorder="1" applyAlignment="1" applyProtection="1">
      <alignment vertical="center"/>
      <protection locked="0"/>
    </xf>
    <xf numFmtId="37" fontId="4" fillId="3" borderId="7" xfId="0" applyNumberFormat="1" applyFont="1" applyFill="1" applyBorder="1" applyAlignment="1" applyProtection="1">
      <alignment horizontal="left" vertical="center"/>
    </xf>
    <xf numFmtId="37" fontId="4" fillId="4" borderId="1" xfId="0" applyNumberFormat="1" applyFont="1" applyFill="1" applyBorder="1" applyAlignment="1" applyProtection="1">
      <alignment vertical="center"/>
      <protection locked="0"/>
    </xf>
    <xf numFmtId="37" fontId="3" fillId="3" borderId="7" xfId="0" applyNumberFormat="1" applyFont="1" applyFill="1" applyBorder="1" applyAlignment="1" applyProtection="1">
      <alignment horizontal="left" vertical="center"/>
    </xf>
    <xf numFmtId="37" fontId="4" fillId="3" borderId="2"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1" fontId="4" fillId="4" borderId="4" xfId="0" applyNumberFormat="1" applyFont="1" applyFill="1" applyBorder="1" applyAlignment="1" applyProtection="1">
      <alignment vertical="center"/>
      <protection locked="0"/>
    </xf>
    <xf numFmtId="171" fontId="4" fillId="4" borderId="7" xfId="0" applyNumberFormat="1" applyFont="1" applyFill="1" applyBorder="1" applyAlignment="1" applyProtection="1">
      <alignment vertical="center"/>
      <protection locked="0"/>
    </xf>
    <xf numFmtId="0" fontId="4" fillId="3" borderId="13" xfId="0" applyFont="1" applyFill="1" applyBorder="1" applyAlignment="1" applyProtection="1">
      <alignment vertical="center"/>
    </xf>
    <xf numFmtId="171" fontId="4" fillId="4" borderId="13"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0" xfId="0" applyFill="1" applyBorder="1" applyAlignment="1" applyProtection="1">
      <alignment vertical="center"/>
    </xf>
    <xf numFmtId="171" fontId="4" fillId="3" borderId="1" xfId="0" applyNumberFormat="1" applyFont="1" applyFill="1" applyBorder="1" applyAlignment="1" applyProtection="1">
      <alignment vertical="center"/>
    </xf>
    <xf numFmtId="0" fontId="0" fillId="3" borderId="4" xfId="0" applyFill="1" applyBorder="1" applyAlignment="1" applyProtection="1">
      <alignment vertical="center"/>
    </xf>
    <xf numFmtId="37" fontId="3" fillId="11" borderId="0" xfId="0" applyNumberFormat="1" applyFont="1" applyFill="1" applyAlignment="1" applyProtection="1">
      <alignment horizontal="left" vertical="center"/>
    </xf>
    <xf numFmtId="3" fontId="4" fillId="11" borderId="0" xfId="0" applyNumberFormat="1" applyFont="1" applyFill="1" applyAlignment="1" applyProtection="1">
      <alignment vertical="center"/>
    </xf>
    <xf numFmtId="3" fontId="4" fillId="3" borderId="12"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0" fontId="3" fillId="11" borderId="0" xfId="0" applyFont="1" applyFill="1" applyAlignment="1">
      <alignment vertical="center"/>
    </xf>
    <xf numFmtId="0" fontId="1" fillId="11" borderId="0" xfId="0" applyFont="1" applyFill="1" applyAlignment="1">
      <alignment vertical="center"/>
    </xf>
    <xf numFmtId="0" fontId="0" fillId="11" borderId="0" xfId="0" applyFill="1" applyAlignment="1" applyProtection="1">
      <alignment vertical="center"/>
      <protection locked="0"/>
    </xf>
    <xf numFmtId="0" fontId="4" fillId="3" borderId="4" xfId="0" applyFont="1" applyFill="1" applyBorder="1" applyAlignment="1">
      <alignment vertical="center"/>
    </xf>
    <xf numFmtId="0" fontId="0" fillId="3" borderId="4" xfId="0" applyFill="1" applyBorder="1" applyAlignment="1">
      <alignment vertical="center"/>
    </xf>
    <xf numFmtId="0" fontId="0" fillId="3" borderId="12" xfId="0" applyFill="1" applyBorder="1" applyAlignment="1">
      <alignment vertical="center"/>
    </xf>
    <xf numFmtId="0" fontId="4" fillId="3" borderId="7" xfId="0" applyFont="1" applyFill="1" applyBorder="1" applyAlignment="1">
      <alignment vertical="center"/>
    </xf>
    <xf numFmtId="0" fontId="0" fillId="3" borderId="7" xfId="0" applyFill="1" applyBorder="1" applyAlignment="1">
      <alignment vertical="center"/>
    </xf>
    <xf numFmtId="0" fontId="0" fillId="3" borderId="5" xfId="0" applyFill="1" applyBorder="1" applyAlignment="1">
      <alignment vertical="center"/>
    </xf>
    <xf numFmtId="0" fontId="0" fillId="9" borderId="0" xfId="0" applyFill="1" applyAlignment="1">
      <alignment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37" fontId="4" fillId="3" borderId="1" xfId="0" applyNumberFormat="1" applyFont="1" applyFill="1" applyBorder="1" applyAlignment="1">
      <alignment vertical="center"/>
    </xf>
    <xf numFmtId="37" fontId="4" fillId="3" borderId="8" xfId="0" applyNumberFormat="1" applyFont="1" applyFill="1" applyBorder="1" applyAlignment="1" applyProtection="1">
      <alignment horizontal="left" vertical="center"/>
    </xf>
    <xf numFmtId="37" fontId="4" fillId="3" borderId="14" xfId="0" applyNumberFormat="1" applyFont="1" applyFill="1" applyBorder="1" applyAlignment="1" applyProtection="1">
      <alignment horizontal="center" vertical="center"/>
    </xf>
    <xf numFmtId="0" fontId="4" fillId="3" borderId="14" xfId="0" applyFont="1" applyFill="1" applyBorder="1" applyAlignment="1">
      <alignment horizontal="center" vertical="center"/>
    </xf>
    <xf numFmtId="37" fontId="3" fillId="3" borderId="4"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14" xfId="0" applyFont="1" applyFill="1" applyBorder="1" applyAlignment="1" applyProtection="1">
      <alignment vertical="center"/>
    </xf>
    <xf numFmtId="37" fontId="12" fillId="3" borderId="2" xfId="0" applyNumberFormat="1" applyFont="1" applyFill="1" applyBorder="1" applyAlignment="1" applyProtection="1">
      <alignment horizontal="left" vertical="center"/>
    </xf>
    <xf numFmtId="37" fontId="12" fillId="3" borderId="5"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9" xfId="0" applyFont="1" applyFill="1" applyBorder="1" applyAlignment="1" applyProtection="1">
      <alignment vertical="center"/>
    </xf>
    <xf numFmtId="37" fontId="4" fillId="5" borderId="1" xfId="0" applyNumberFormat="1" applyFont="1" applyFill="1" applyBorder="1" applyAlignment="1" applyProtection="1">
      <alignment horizontal="center" vertical="center"/>
    </xf>
    <xf numFmtId="37" fontId="4" fillId="3" borderId="2" xfId="0" applyNumberFormat="1" applyFont="1" applyFill="1" applyBorder="1" applyAlignment="1" applyProtection="1">
      <alignment vertical="center"/>
    </xf>
    <xf numFmtId="0" fontId="4" fillId="3" borderId="5" xfId="0" applyFont="1" applyFill="1" applyBorder="1" applyAlignment="1" applyProtection="1">
      <alignment horizontal="center" vertical="center"/>
    </xf>
    <xf numFmtId="37" fontId="4" fillId="3" borderId="5" xfId="0" applyNumberFormat="1"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lignment vertical="center"/>
    </xf>
    <xf numFmtId="37" fontId="4"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4" xfId="0" applyNumberFormat="1" applyFont="1" applyFill="1" applyBorder="1" applyAlignment="1">
      <alignment vertical="center"/>
    </xf>
    <xf numFmtId="3" fontId="4" fillId="3" borderId="7"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7" xfId="0" applyNumberFormat="1" applyFont="1" applyFill="1" applyBorder="1" applyAlignment="1">
      <alignment vertical="center"/>
    </xf>
    <xf numFmtId="3" fontId="4" fillId="3" borderId="4" xfId="0" applyNumberFormat="1" applyFont="1" applyFill="1" applyBorder="1" applyAlignment="1" applyProtection="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7" xfId="0" applyNumberFormat="1" applyFont="1" applyFill="1" applyBorder="1" applyAlignment="1" applyProtection="1">
      <alignment vertical="center"/>
    </xf>
    <xf numFmtId="3" fontId="4" fillId="3" borderId="13" xfId="0" applyNumberFormat="1" applyFont="1" applyFill="1" applyBorder="1" applyAlignment="1">
      <alignment vertical="center"/>
    </xf>
    <xf numFmtId="0" fontId="4" fillId="3" borderId="13" xfId="0" applyFont="1" applyFill="1" applyBorder="1" applyAlignment="1">
      <alignment vertical="center"/>
    </xf>
    <xf numFmtId="0" fontId="4" fillId="3" borderId="0" xfId="0" applyFont="1" applyFill="1" applyBorder="1" applyAlignment="1">
      <alignment vertical="center"/>
    </xf>
    <xf numFmtId="167" fontId="4" fillId="3" borderId="4"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7" xfId="0" applyNumberFormat="1" applyFont="1" applyFill="1" applyBorder="1" applyAlignment="1">
      <alignment vertical="center"/>
    </xf>
    <xf numFmtId="3" fontId="4" fillId="3" borderId="4" xfId="1" applyNumberFormat="1" applyFont="1" applyFill="1" applyBorder="1" applyAlignment="1" applyProtection="1">
      <alignment vertical="center"/>
    </xf>
    <xf numFmtId="0" fontId="6" fillId="0" borderId="0" xfId="0" applyFont="1" applyAlignment="1">
      <alignment vertical="center"/>
    </xf>
    <xf numFmtId="37" fontId="4" fillId="3" borderId="0" xfId="99" applyNumberFormat="1" applyFont="1" applyFill="1" applyAlignment="1" applyProtection="1">
      <alignment vertical="center"/>
      <protection locked="0"/>
    </xf>
    <xf numFmtId="0" fontId="3" fillId="3" borderId="0" xfId="99" applyFont="1" applyFill="1" applyAlignment="1" applyProtection="1">
      <alignment horizontal="center" vertical="center"/>
    </xf>
    <xf numFmtId="0" fontId="4" fillId="3" borderId="0" xfId="99" applyFont="1" applyFill="1" applyAlignment="1" applyProtection="1">
      <alignment vertical="center"/>
    </xf>
    <xf numFmtId="0" fontId="4" fillId="3" borderId="0" xfId="99" applyFont="1" applyFill="1" applyAlignment="1" applyProtection="1">
      <alignment vertical="center"/>
      <protection locked="0"/>
    </xf>
    <xf numFmtId="37" fontId="4" fillId="3" borderId="0" xfId="99" applyNumberFormat="1" applyFont="1" applyFill="1" applyAlignment="1" applyProtection="1">
      <alignment vertical="center"/>
    </xf>
    <xf numFmtId="0" fontId="4" fillId="3" borderId="2" xfId="99" applyFont="1" applyFill="1" applyBorder="1" applyAlignment="1" applyProtection="1">
      <alignment horizontal="left" vertical="center"/>
    </xf>
    <xf numFmtId="0" fontId="3" fillId="3" borderId="2" xfId="99" applyFont="1" applyFill="1" applyBorder="1" applyAlignment="1" applyProtection="1">
      <alignment horizontal="left" vertical="center"/>
    </xf>
    <xf numFmtId="0" fontId="4" fillId="3" borderId="7" xfId="99" applyFont="1" applyFill="1" applyBorder="1" applyAlignment="1" applyProtection="1">
      <alignment horizontal="left" vertical="center"/>
    </xf>
    <xf numFmtId="0" fontId="4" fillId="3" borderId="5" xfId="99" applyFont="1" applyFill="1" applyBorder="1" applyAlignment="1" applyProtection="1">
      <alignment horizontal="left" vertical="center"/>
    </xf>
    <xf numFmtId="0" fontId="4" fillId="3" borderId="1" xfId="99" applyFont="1" applyFill="1" applyBorder="1" applyAlignment="1" applyProtection="1">
      <alignment vertical="center"/>
    </xf>
    <xf numFmtId="0" fontId="4" fillId="3" borderId="3" xfId="99" applyFont="1" applyFill="1" applyBorder="1" applyAlignment="1" applyProtection="1">
      <alignment vertical="center"/>
    </xf>
    <xf numFmtId="0" fontId="4" fillId="3" borderId="4" xfId="99" applyFont="1" applyFill="1" applyBorder="1" applyAlignment="1" applyProtection="1">
      <alignment horizontal="center" vertical="center" wrapText="1"/>
    </xf>
    <xf numFmtId="37" fontId="4" fillId="3" borderId="2" xfId="99" applyNumberFormat="1" applyFont="1" applyFill="1" applyBorder="1" applyAlignment="1" applyProtection="1">
      <alignment horizontal="left" vertical="center"/>
    </xf>
    <xf numFmtId="173" fontId="4" fillId="3" borderId="7" xfId="99" applyNumberFormat="1" applyFont="1" applyFill="1" applyBorder="1" applyAlignment="1" applyProtection="1">
      <alignment horizontal="center" vertical="center"/>
    </xf>
    <xf numFmtId="173" fontId="4" fillId="3" borderId="5" xfId="99" applyNumberFormat="1" applyFont="1" applyFill="1" applyBorder="1" applyAlignment="1" applyProtection="1">
      <alignment horizontal="center" vertical="center"/>
    </xf>
    <xf numFmtId="37" fontId="4" fillId="3" borderId="0" xfId="99" applyNumberFormat="1" applyFont="1" applyFill="1" applyBorder="1" applyAlignment="1" applyProtection="1">
      <alignment horizontal="left" vertical="center"/>
    </xf>
    <xf numFmtId="173" fontId="4" fillId="3" borderId="0" xfId="99" applyNumberFormat="1" applyFont="1" applyFill="1" applyBorder="1" applyAlignment="1" applyProtection="1">
      <alignment horizontal="center" vertical="center"/>
    </xf>
    <xf numFmtId="173" fontId="4" fillId="3" borderId="4" xfId="99" applyNumberFormat="1" applyFont="1" applyFill="1" applyBorder="1" applyAlignment="1" applyProtection="1">
      <alignment horizontal="center" vertical="center"/>
    </xf>
    <xf numFmtId="37" fontId="4" fillId="3" borderId="2" xfId="99" applyNumberFormat="1" applyFont="1" applyFill="1" applyBorder="1" applyAlignment="1" applyProtection="1">
      <alignment vertical="center"/>
    </xf>
    <xf numFmtId="0" fontId="4" fillId="3" borderId="0" xfId="99" applyFont="1" applyFill="1" applyBorder="1" applyAlignment="1" applyProtection="1">
      <alignment vertical="center"/>
    </xf>
    <xf numFmtId="0" fontId="4" fillId="3" borderId="0" xfId="99" applyFont="1" applyFill="1" applyAlignment="1" applyProtection="1">
      <alignment horizontal="right" vertical="center"/>
    </xf>
    <xf numFmtId="0" fontId="4" fillId="3" borderId="0" xfId="99" applyFont="1" applyFill="1" applyAlignment="1">
      <alignment horizontal="right" vertical="center"/>
    </xf>
    <xf numFmtId="3" fontId="4" fillId="3" borderId="0" xfId="99" applyNumberFormat="1" applyFont="1" applyFill="1" applyBorder="1" applyAlignment="1">
      <alignment horizontal="center" vertical="center"/>
    </xf>
    <xf numFmtId="0" fontId="20" fillId="3" borderId="0" xfId="99" applyFill="1" applyAlignment="1">
      <alignment vertical="center"/>
    </xf>
    <xf numFmtId="0" fontId="20" fillId="3" borderId="0" xfId="99" applyFill="1" applyBorder="1" applyAlignment="1">
      <alignment horizontal="center" vertical="center"/>
    </xf>
    <xf numFmtId="0" fontId="4" fillId="3" borderId="0" xfId="99" applyFont="1" applyFill="1" applyBorder="1" applyAlignment="1">
      <alignment horizontal="center" vertical="center"/>
    </xf>
    <xf numFmtId="0" fontId="4" fillId="3" borderId="2" xfId="0" applyFont="1" applyFill="1" applyBorder="1" applyAlignment="1" applyProtection="1">
      <alignment horizontal="left" vertical="center"/>
    </xf>
    <xf numFmtId="0" fontId="4" fillId="3" borderId="8"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4" borderId="1" xfId="0" applyNumberFormat="1" applyFont="1" applyFill="1" applyBorder="1" applyAlignment="1" applyProtection="1">
      <alignment horizontal="center" vertical="center"/>
      <protection locked="0"/>
    </xf>
    <xf numFmtId="173"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 fontId="4" fillId="4" borderId="8"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horizontal="center" vertical="center"/>
    </xf>
    <xf numFmtId="173" fontId="4" fillId="3" borderId="10" xfId="0" applyNumberFormat="1" applyFont="1" applyFill="1" applyBorder="1" applyAlignment="1" applyProtection="1">
      <alignment horizontal="center" vertical="center"/>
    </xf>
    <xf numFmtId="173" fontId="4" fillId="3" borderId="4"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4" xfId="0" applyNumberFormat="1" applyFont="1" applyFill="1" applyBorder="1" applyAlignment="1">
      <alignment horizontal="center" vertical="center"/>
    </xf>
    <xf numFmtId="0" fontId="0" fillId="3" borderId="0" xfId="0" applyFill="1" applyAlignment="1">
      <alignment horizontal="center" vertical="center"/>
    </xf>
    <xf numFmtId="173" fontId="4" fillId="3" borderId="4" xfId="0" applyNumberFormat="1" applyFont="1" applyFill="1" applyBorder="1" applyAlignment="1">
      <alignment horizontal="center" vertical="center"/>
    </xf>
    <xf numFmtId="171" fontId="4" fillId="3" borderId="0" xfId="0" applyNumberFormat="1" applyFont="1" applyFill="1" applyBorder="1" applyAlignment="1" applyProtection="1">
      <alignment vertical="center"/>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12" fillId="3" borderId="0" xfId="0" applyFont="1" applyFill="1" applyAlignment="1">
      <alignment horizontal="center" vertical="center"/>
    </xf>
    <xf numFmtId="0" fontId="4" fillId="3" borderId="5" xfId="0" applyFont="1" applyFill="1" applyBorder="1" applyAlignment="1">
      <alignment horizontal="center" vertical="center"/>
    </xf>
    <xf numFmtId="0" fontId="11" fillId="3" borderId="8" xfId="0" applyFont="1" applyFill="1" applyBorder="1" applyAlignment="1">
      <alignment vertical="center"/>
    </xf>
    <xf numFmtId="0" fontId="11" fillId="3" borderId="5" xfId="0" applyFont="1" applyFill="1" applyBorder="1" applyAlignment="1">
      <alignment horizontal="center" vertical="center"/>
    </xf>
    <xf numFmtId="0" fontId="11" fillId="3" borderId="16" xfId="0" applyFont="1" applyFill="1" applyBorder="1" applyAlignment="1">
      <alignment vertical="center"/>
    </xf>
    <xf numFmtId="0" fontId="11" fillId="3" borderId="1" xfId="0" applyFont="1" applyFill="1" applyBorder="1" applyAlignment="1">
      <alignment horizontal="center" vertical="center"/>
    </xf>
    <xf numFmtId="0" fontId="4" fillId="3" borderId="5" xfId="0" applyFont="1" applyFill="1" applyBorder="1" applyAlignment="1">
      <alignment vertical="center"/>
    </xf>
    <xf numFmtId="0" fontId="4" fillId="3" borderId="1" xfId="0" applyFont="1" applyFill="1" applyBorder="1" applyAlignment="1">
      <alignment horizontal="center" vertical="center"/>
    </xf>
    <xf numFmtId="0" fontId="11" fillId="3" borderId="6" xfId="0" applyFont="1" applyFill="1" applyBorder="1" applyAlignment="1">
      <alignment vertical="center"/>
    </xf>
    <xf numFmtId="3" fontId="11" fillId="4" borderId="1" xfId="0" applyNumberFormat="1" applyFont="1" applyFill="1" applyBorder="1" applyAlignment="1" applyProtection="1">
      <alignment horizontal="center" vertical="center"/>
      <protection locked="0"/>
    </xf>
    <xf numFmtId="0" fontId="11" fillId="3" borderId="4" xfId="0" applyFont="1" applyFill="1" applyBorder="1" applyAlignment="1">
      <alignment vertical="center"/>
    </xf>
    <xf numFmtId="3" fontId="11" fillId="5"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4" borderId="1" xfId="0" applyFont="1" applyFill="1" applyBorder="1" applyAlignment="1" applyProtection="1">
      <alignment vertical="center"/>
      <protection locked="0"/>
    </xf>
    <xf numFmtId="0" fontId="11" fillId="4" borderId="16" xfId="0" applyFont="1" applyFill="1" applyBorder="1" applyAlignment="1" applyProtection="1">
      <alignment vertical="center"/>
      <protection locked="0"/>
    </xf>
    <xf numFmtId="0" fontId="11" fillId="4" borderId="0" xfId="0" applyFont="1" applyFill="1" applyAlignment="1" applyProtection="1">
      <alignment vertical="center"/>
      <protection locked="0"/>
    </xf>
    <xf numFmtId="0" fontId="11" fillId="4" borderId="5" xfId="0" applyFont="1" applyFill="1" applyBorder="1" applyAlignment="1" applyProtection="1">
      <alignment vertical="center"/>
      <protection locked="0"/>
    </xf>
    <xf numFmtId="0" fontId="11" fillId="4" borderId="9" xfId="0" applyFont="1" applyFill="1" applyBorder="1" applyAlignment="1" applyProtection="1">
      <alignment vertical="center"/>
      <protection locked="0"/>
    </xf>
    <xf numFmtId="0" fontId="11" fillId="4" borderId="15" xfId="0" applyFont="1" applyFill="1" applyBorder="1" applyAlignment="1" applyProtection="1">
      <alignment vertical="center"/>
      <protection locked="0"/>
    </xf>
    <xf numFmtId="3" fontId="17" fillId="6" borderId="1" xfId="0" applyNumberFormat="1" applyFont="1" applyFill="1" applyBorder="1" applyAlignment="1">
      <alignment horizontal="center" vertical="center"/>
    </xf>
    <xf numFmtId="3" fontId="4" fillId="0" borderId="0" xfId="0" applyNumberFormat="1" applyFont="1" applyAlignment="1">
      <alignment vertical="center"/>
    </xf>
    <xf numFmtId="0" fontId="4" fillId="5" borderId="0" xfId="0" applyFont="1" applyFill="1" applyAlignment="1">
      <alignment vertical="center"/>
    </xf>
    <xf numFmtId="3" fontId="23" fillId="6" borderId="0" xfId="0" applyNumberFormat="1" applyFont="1" applyFill="1" applyAlignment="1">
      <alignment horizontal="center" vertical="center"/>
    </xf>
    <xf numFmtId="1" fontId="4" fillId="3" borderId="0" xfId="0" applyNumberFormat="1" applyFont="1" applyFill="1" applyBorder="1" applyAlignment="1" applyProtection="1">
      <alignment horizontal="right" vertical="center"/>
    </xf>
    <xf numFmtId="0" fontId="3" fillId="3" borderId="0" xfId="0" applyFont="1" applyFill="1" applyAlignment="1" applyProtection="1">
      <alignment vertical="center"/>
    </xf>
    <xf numFmtId="166" fontId="4" fillId="3" borderId="4" xfId="0" applyNumberFormat="1" applyFont="1" applyFill="1" applyBorder="1" applyAlignment="1" applyProtection="1">
      <alignment vertical="center"/>
    </xf>
    <xf numFmtId="37" fontId="4" fillId="3" borderId="4" xfId="0" quotePrefix="1" applyNumberFormat="1" applyFont="1" applyFill="1" applyBorder="1" applyAlignment="1" applyProtection="1">
      <alignment horizontal="right" vertical="center"/>
    </xf>
    <xf numFmtId="1" fontId="4" fillId="3" borderId="18" xfId="0" applyNumberFormat="1" applyFont="1" applyFill="1" applyBorder="1" applyAlignment="1" applyProtection="1">
      <alignment horizontal="center" vertical="center"/>
    </xf>
    <xf numFmtId="37" fontId="4" fillId="3" borderId="18" xfId="0" applyNumberFormat="1" applyFont="1" applyFill="1" applyBorder="1" applyAlignment="1" applyProtection="1">
      <alignment horizontal="center" vertical="center"/>
    </xf>
    <xf numFmtId="1" fontId="4" fillId="3" borderId="6" xfId="0" applyNumberFormat="1" applyFont="1" applyFill="1" applyBorder="1" applyAlignment="1" applyProtection="1">
      <alignment horizontal="center" vertical="center"/>
    </xf>
    <xf numFmtId="1" fontId="4" fillId="3" borderId="9"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vertical="center"/>
      <protection locked="0"/>
    </xf>
    <xf numFmtId="3" fontId="4" fillId="3" borderId="2"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37" fontId="4" fillId="3" borderId="6" xfId="0" applyNumberFormat="1" applyFont="1" applyFill="1" applyBorder="1" applyAlignment="1" applyProtection="1">
      <alignment horizontal="left" vertical="center"/>
    </xf>
    <xf numFmtId="0" fontId="4" fillId="2" borderId="2" xfId="0"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37" fontId="4" fillId="2" borderId="2" xfId="0" applyNumberFormat="1" applyFont="1" applyFill="1" applyBorder="1" applyAlignment="1" applyProtection="1">
      <alignment horizontal="left" vertical="center"/>
      <protection locked="0"/>
    </xf>
    <xf numFmtId="37" fontId="15" fillId="6" borderId="2" xfId="0" applyNumberFormat="1" applyFont="1" applyFill="1" applyBorder="1" applyAlignment="1" applyProtection="1">
      <alignment horizontal="center" vertical="center"/>
    </xf>
    <xf numFmtId="37" fontId="15" fillId="6" borderId="5"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37" fontId="3" fillId="5" borderId="1" xfId="0" applyNumberFormat="1" applyFont="1" applyFill="1" applyBorder="1" applyAlignment="1" applyProtection="1">
      <alignment vertical="center"/>
    </xf>
    <xf numFmtId="3" fontId="3" fillId="5" borderId="2" xfId="0" applyNumberFormat="1" applyFont="1" applyFill="1" applyBorder="1" applyAlignment="1" applyProtection="1">
      <alignment vertical="center"/>
    </xf>
    <xf numFmtId="3" fontId="3" fillId="5" borderId="1" xfId="0" applyNumberFormat="1" applyFont="1" applyFill="1" applyBorder="1" applyAlignment="1" applyProtection="1">
      <alignment vertical="center"/>
    </xf>
    <xf numFmtId="0" fontId="4" fillId="3" borderId="2" xfId="0" applyFont="1" applyFill="1" applyBorder="1" applyAlignment="1" applyProtection="1">
      <alignment vertical="center"/>
    </xf>
    <xf numFmtId="37" fontId="15" fillId="6" borderId="1" xfId="0" applyNumberFormat="1" applyFont="1" applyFill="1" applyBorder="1" applyAlignment="1" applyProtection="1">
      <alignment horizontal="center" vertical="center"/>
    </xf>
    <xf numFmtId="3" fontId="4" fillId="5" borderId="2" xfId="0" applyNumberFormat="1" applyFont="1" applyFill="1" applyBorder="1" applyAlignment="1" applyProtection="1">
      <alignment vertical="center"/>
    </xf>
    <xf numFmtId="0" fontId="13" fillId="3" borderId="0" xfId="0" applyFont="1" applyFill="1" applyAlignment="1" applyProtection="1">
      <alignment horizontal="center" vertical="center"/>
    </xf>
    <xf numFmtId="0" fontId="4" fillId="3" borderId="0" xfId="0" applyNumberFormat="1" applyFont="1" applyFill="1" applyAlignment="1" applyProtection="1">
      <alignment horizontal="right" vertical="center"/>
    </xf>
    <xf numFmtId="0" fontId="4" fillId="3" borderId="9"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protection locked="0"/>
    </xf>
    <xf numFmtId="0" fontId="4" fillId="3" borderId="6" xfId="0" applyFont="1" applyFill="1" applyBorder="1" applyAlignment="1" applyProtection="1">
      <alignment horizontal="left" vertical="center"/>
    </xf>
    <xf numFmtId="0" fontId="4" fillId="2" borderId="2" xfId="0" applyFont="1" applyFill="1" applyBorder="1" applyAlignment="1" applyProtection="1">
      <alignment horizontal="left" vertical="center"/>
      <protection locked="0"/>
    </xf>
    <xf numFmtId="3" fontId="4" fillId="3" borderId="4" xfId="0" applyNumberFormat="1" applyFont="1" applyFill="1" applyBorder="1" applyAlignment="1" applyProtection="1">
      <alignment horizontal="fill" vertical="center"/>
    </xf>
    <xf numFmtId="0" fontId="4" fillId="3" borderId="18" xfId="0" applyFont="1" applyFill="1" applyBorder="1" applyAlignment="1" applyProtection="1">
      <alignment vertical="center"/>
    </xf>
    <xf numFmtId="0" fontId="4" fillId="4" borderId="1" xfId="0" applyFont="1" applyFill="1" applyBorder="1" applyAlignment="1" applyProtection="1">
      <alignment vertical="center"/>
      <protection locked="0"/>
    </xf>
    <xf numFmtId="37" fontId="4" fillId="2" borderId="5" xfId="0" applyNumberFormat="1" applyFont="1" applyFill="1" applyBorder="1" applyAlignment="1" applyProtection="1">
      <alignment vertical="center"/>
      <protection locked="0"/>
    </xf>
    <xf numFmtId="1" fontId="4" fillId="3" borderId="0" xfId="0" applyNumberFormat="1" applyFont="1" applyFill="1" applyAlignment="1" applyProtection="1">
      <alignment horizontal="right" vertical="center"/>
    </xf>
    <xf numFmtId="37" fontId="4" fillId="3" borderId="16"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fill" vertical="center"/>
    </xf>
    <xf numFmtId="0" fontId="4" fillId="3" borderId="2" xfId="0" applyNumberFormat="1" applyFont="1" applyFill="1" applyBorder="1" applyAlignment="1" applyProtection="1">
      <alignment horizontal="left" vertical="center"/>
    </xf>
    <xf numFmtId="0" fontId="15" fillId="0" borderId="0" xfId="0" applyFont="1" applyAlignment="1" applyProtection="1">
      <alignment vertical="center"/>
    </xf>
    <xf numFmtId="3" fontId="4" fillId="0" borderId="0" xfId="0" applyNumberFormat="1" applyFont="1" applyAlignment="1" applyProtection="1">
      <alignment horizontal="fill" vertical="center"/>
      <protection locked="0"/>
    </xf>
    <xf numFmtId="37" fontId="4" fillId="3" borderId="0" xfId="0" quotePrefix="1" applyNumberFormat="1" applyFont="1" applyFill="1" applyAlignment="1" applyProtection="1">
      <alignment horizontal="right" vertical="center"/>
    </xf>
    <xf numFmtId="3" fontId="4" fillId="3"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xf>
    <xf numFmtId="0" fontId="4" fillId="2" borderId="2" xfId="0" applyNumberFormat="1" applyFont="1" applyFill="1" applyBorder="1" applyAlignment="1" applyProtection="1">
      <alignment horizontal="left" vertical="center"/>
      <protection locked="0"/>
    </xf>
    <xf numFmtId="0" fontId="4" fillId="2" borderId="18" xfId="0" applyNumberFormat="1" applyFont="1" applyFill="1" applyBorder="1" applyAlignment="1" applyProtection="1">
      <alignment horizontal="left" vertical="center"/>
      <protection locked="0"/>
    </xf>
    <xf numFmtId="3" fontId="3" fillId="5" borderId="9"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horizontal="right" vertical="center"/>
    </xf>
    <xf numFmtId="3" fontId="4" fillId="13" borderId="1" xfId="0" applyNumberFormat="1" applyFont="1" applyFill="1" applyBorder="1" applyAlignment="1" applyProtection="1">
      <alignment vertical="center"/>
    </xf>
    <xf numFmtId="0" fontId="4" fillId="3" borderId="0" xfId="0" applyFont="1" applyFill="1" applyAlignment="1" applyProtection="1">
      <alignment horizontal="fill" vertical="center"/>
    </xf>
    <xf numFmtId="0" fontId="4" fillId="3" borderId="1" xfId="0" applyFont="1" applyFill="1" applyBorder="1" applyAlignment="1" applyProtection="1">
      <alignment horizontal="left" vertical="center"/>
    </xf>
    <xf numFmtId="0" fontId="4" fillId="2" borderId="1" xfId="0" applyFont="1" applyFill="1" applyBorder="1" applyAlignment="1" applyProtection="1">
      <alignment horizontal="left" vertical="center"/>
      <protection locked="0"/>
    </xf>
    <xf numFmtId="37" fontId="3" fillId="5" borderId="10" xfId="0" applyNumberFormat="1" applyFont="1" applyFill="1" applyBorder="1" applyAlignment="1" applyProtection="1">
      <alignment vertical="center"/>
    </xf>
    <xf numFmtId="0" fontId="15" fillId="3" borderId="0" xfId="0" applyFont="1" applyFill="1" applyAlignment="1" applyProtection="1">
      <alignment vertical="center"/>
    </xf>
    <xf numFmtId="37" fontId="4" fillId="2" borderId="2"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0" fontId="3" fillId="3" borderId="0" xfId="0" applyFont="1" applyFill="1" applyAlignment="1" applyProtection="1">
      <alignment horizontal="left" vertical="center"/>
    </xf>
    <xf numFmtId="0" fontId="4" fillId="3" borderId="4" xfId="0" applyFont="1" applyFill="1" applyBorder="1" applyAlignment="1" applyProtection="1">
      <alignment horizontal="fill" vertical="center"/>
    </xf>
    <xf numFmtId="0" fontId="3" fillId="3" borderId="2" xfId="0" applyFont="1" applyFill="1" applyBorder="1" applyAlignment="1" applyProtection="1">
      <alignment horizontal="left" vertical="center"/>
    </xf>
    <xf numFmtId="3" fontId="4" fillId="0" borderId="0" xfId="0" applyNumberFormat="1" applyFont="1" applyFill="1" applyBorder="1" applyAlignment="1" applyProtection="1">
      <alignment vertical="center"/>
      <protection locked="0"/>
    </xf>
    <xf numFmtId="37" fontId="4" fillId="5" borderId="1" xfId="0" applyNumberFormat="1" applyFont="1" applyFill="1" applyBorder="1" applyAlignment="1" applyProtection="1">
      <alignment vertical="center"/>
    </xf>
    <xf numFmtId="0" fontId="3" fillId="3" borderId="0" xfId="439" applyFont="1" applyFill="1" applyAlignment="1" applyProtection="1">
      <alignment horizontal="centerContinuous" vertical="center"/>
    </xf>
    <xf numFmtId="0" fontId="4" fillId="3" borderId="8"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14" fontId="4" fillId="3" borderId="9" xfId="0" quotePrefix="1" applyNumberFormat="1" applyFont="1" applyFill="1" applyBorder="1" applyAlignment="1" applyProtection="1">
      <alignment horizontal="center" vertical="center"/>
    </xf>
    <xf numFmtId="14" fontId="4" fillId="2" borderId="1" xfId="0" applyNumberFormat="1"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 fontId="3" fillId="5" borderId="10" xfId="0" applyNumberFormat="1" applyFont="1" applyFill="1" applyBorder="1" applyAlignment="1" applyProtection="1">
      <alignment horizontal="center" vertical="center"/>
    </xf>
    <xf numFmtId="0" fontId="4" fillId="9" borderId="0" xfId="438" applyFont="1" applyFill="1" applyAlignment="1" applyProtection="1">
      <alignment vertical="center"/>
    </xf>
    <xf numFmtId="0" fontId="4" fillId="9" borderId="0" xfId="0" applyFont="1" applyFill="1" applyAlignment="1" applyProtection="1">
      <alignment vertical="center"/>
    </xf>
    <xf numFmtId="0" fontId="4" fillId="3" borderId="18" xfId="0" applyFont="1" applyFill="1" applyBorder="1" applyAlignment="1" applyProtection="1">
      <alignment horizontal="centerContinuous" vertical="center"/>
    </xf>
    <xf numFmtId="0" fontId="4" fillId="3" borderId="16" xfId="0" applyFont="1" applyFill="1" applyBorder="1" applyAlignment="1" applyProtection="1">
      <alignment horizontal="centerContinuous" vertical="center"/>
    </xf>
    <xf numFmtId="2" fontId="4" fillId="3" borderId="1" xfId="0" applyNumberFormat="1" applyFont="1" applyFill="1" applyBorder="1" applyAlignment="1" applyProtection="1">
      <alignment vertical="center"/>
    </xf>
    <xf numFmtId="37" fontId="4" fillId="2" borderId="1" xfId="0" applyNumberFormat="1" applyFont="1" applyFill="1" applyBorder="1" applyAlignment="1" applyProtection="1">
      <alignment horizontal="center" vertical="center"/>
      <protection locked="0"/>
    </xf>
    <xf numFmtId="169"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8"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5" borderId="1" xfId="0" applyNumberFormat="1" applyFont="1" applyFill="1" applyBorder="1" applyAlignment="1" applyProtection="1">
      <alignment horizontal="center" vertical="center"/>
    </xf>
    <xf numFmtId="169" fontId="3"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5"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0" fontId="3" fillId="3" borderId="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4" fillId="4" borderId="9" xfId="0" applyFont="1" applyFill="1" applyBorder="1" applyAlignment="1" applyProtection="1">
      <alignment vertical="center"/>
      <protection locked="0"/>
    </xf>
    <xf numFmtId="170" fontId="4" fillId="4" borderId="9" xfId="1" applyNumberFormat="1"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170" fontId="4" fillId="4" borderId="1" xfId="1" applyNumberFormat="1" applyFont="1"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3" borderId="4" xfId="0" applyFont="1" applyFill="1" applyBorder="1" applyAlignment="1" applyProtection="1">
      <alignment horizontal="centerContinuous" vertical="center"/>
    </xf>
    <xf numFmtId="37" fontId="4" fillId="5" borderId="10"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vertical="center"/>
    </xf>
    <xf numFmtId="165" fontId="4" fillId="5" borderId="4" xfId="0" applyNumberFormat="1" applyFont="1" applyFill="1" applyBorder="1" applyAlignment="1" applyProtection="1">
      <alignment vertical="center"/>
    </xf>
    <xf numFmtId="0" fontId="4" fillId="0" borderId="0" xfId="224" applyFont="1" applyAlignment="1">
      <alignment vertical="center" wrapText="1"/>
    </xf>
    <xf numFmtId="0" fontId="3" fillId="3" borderId="0" xfId="0" applyNumberFormat="1" applyFont="1" applyFill="1" applyBorder="1" applyAlignment="1" applyProtection="1">
      <alignment vertical="center"/>
    </xf>
    <xf numFmtId="0" fontId="4" fillId="3" borderId="0" xfId="0" applyNumberFormat="1" applyFont="1" applyFill="1" applyBorder="1" applyAlignment="1" applyProtection="1">
      <alignment horizontal="left" vertical="center"/>
    </xf>
    <xf numFmtId="0" fontId="4" fillId="3" borderId="0" xfId="0" applyNumberFormat="1" applyFont="1" applyFill="1" applyBorder="1" applyAlignment="1" applyProtection="1">
      <alignment vertical="center"/>
    </xf>
    <xf numFmtId="0" fontId="4" fillId="4" borderId="1" xfId="0" applyFont="1" applyFill="1" applyBorder="1" applyAlignment="1" applyProtection="1">
      <alignment horizontal="left" vertical="center"/>
      <protection locked="0"/>
    </xf>
    <xf numFmtId="0" fontId="4" fillId="3" borderId="0" xfId="0" applyNumberFormat="1" applyFont="1" applyFill="1" applyBorder="1" applyAlignment="1" applyProtection="1">
      <alignment horizontal="fill" vertical="center"/>
    </xf>
    <xf numFmtId="0" fontId="4" fillId="3" borderId="19" xfId="0" applyNumberFormat="1" applyFont="1" applyFill="1" applyBorder="1" applyAlignment="1" applyProtection="1">
      <alignment horizontal="left" vertical="center"/>
    </xf>
    <xf numFmtId="37" fontId="4" fillId="3" borderId="20" xfId="0" applyNumberFormat="1" applyFont="1" applyFill="1" applyBorder="1" applyAlignment="1" applyProtection="1">
      <alignment horizontal="center" vertical="center"/>
    </xf>
    <xf numFmtId="0" fontId="4" fillId="3" borderId="21" xfId="0" applyNumberFormat="1" applyFont="1" applyFill="1" applyBorder="1" applyAlignment="1" applyProtection="1">
      <alignment horizontal="center" vertical="center"/>
    </xf>
    <xf numFmtId="37" fontId="4" fillId="3" borderId="19" xfId="0" applyNumberFormat="1" applyFont="1" applyFill="1" applyBorder="1" applyAlignment="1" applyProtection="1">
      <alignment vertical="center"/>
    </xf>
    <xf numFmtId="0" fontId="4" fillId="4" borderId="19" xfId="0" applyNumberFormat="1" applyFont="1" applyFill="1" applyBorder="1" applyAlignment="1" applyProtection="1">
      <alignment horizontal="left" vertical="center"/>
      <protection locked="0"/>
    </xf>
    <xf numFmtId="37" fontId="4" fillId="4" borderId="19" xfId="0" applyNumberFormat="1" applyFont="1" applyFill="1" applyBorder="1" applyAlignment="1" applyProtection="1">
      <alignment vertical="center"/>
      <protection locked="0"/>
    </xf>
    <xf numFmtId="0" fontId="4" fillId="4" borderId="19" xfId="0" applyNumberFormat="1" applyFont="1" applyFill="1" applyBorder="1" applyAlignment="1" applyProtection="1">
      <alignment vertical="center"/>
      <protection locked="0"/>
    </xf>
    <xf numFmtId="37" fontId="3" fillId="5" borderId="19" xfId="0" applyNumberFormat="1" applyFont="1" applyFill="1" applyBorder="1" applyAlignment="1" applyProtection="1">
      <alignment vertical="center"/>
    </xf>
    <xf numFmtId="0" fontId="4" fillId="4" borderId="0" xfId="0" applyNumberFormat="1" applyFont="1" applyFill="1" applyBorder="1" applyAlignment="1" applyProtection="1">
      <alignment horizontal="left" vertical="center"/>
      <protection locked="0"/>
    </xf>
    <xf numFmtId="0" fontId="4" fillId="3" borderId="19" xfId="0" applyNumberFormat="1" applyFont="1" applyFill="1" applyBorder="1" applyAlignment="1" applyProtection="1">
      <alignment vertical="center"/>
    </xf>
    <xf numFmtId="37" fontId="4" fillId="5" borderId="19" xfId="0" applyNumberFormat="1" applyFont="1" applyFill="1" applyBorder="1" applyAlignment="1" applyProtection="1">
      <alignment vertical="center"/>
    </xf>
    <xf numFmtId="37" fontId="3" fillId="5" borderId="22" xfId="0" applyNumberFormat="1" applyFont="1" applyFill="1" applyBorder="1" applyAlignment="1" applyProtection="1">
      <alignment vertical="center"/>
    </xf>
    <xf numFmtId="0" fontId="15" fillId="3" borderId="0" xfId="0" applyNumberFormat="1" applyFont="1" applyFill="1" applyBorder="1" applyAlignment="1" applyProtection="1">
      <alignment vertical="center"/>
    </xf>
    <xf numFmtId="3" fontId="4" fillId="5" borderId="1" xfId="399" applyNumberFormat="1" applyFont="1" applyFill="1" applyBorder="1" applyAlignment="1" applyProtection="1">
      <alignment vertical="center"/>
    </xf>
    <xf numFmtId="0" fontId="4" fillId="0" borderId="0" xfId="411" applyFont="1" applyAlignment="1">
      <alignment vertical="center"/>
    </xf>
    <xf numFmtId="0" fontId="4" fillId="0" borderId="0" xfId="428" applyFont="1" applyAlignment="1">
      <alignment vertical="center"/>
    </xf>
    <xf numFmtId="0" fontId="0" fillId="0" borderId="0" xfId="0" applyAlignment="1"/>
    <xf numFmtId="0" fontId="14" fillId="0" borderId="0" xfId="0" applyFont="1" applyAlignment="1">
      <alignment horizontal="center"/>
    </xf>
    <xf numFmtId="0" fontId="2" fillId="0" borderId="0" xfId="0" applyFont="1"/>
    <xf numFmtId="0" fontId="21" fillId="0" borderId="0" xfId="0" applyFont="1"/>
    <xf numFmtId="0" fontId="21" fillId="0" borderId="0" xfId="0" applyFont="1" applyAlignment="1"/>
    <xf numFmtId="0" fontId="2" fillId="0" borderId="0" xfId="0" quotePrefix="1" applyFont="1"/>
    <xf numFmtId="0" fontId="2" fillId="0" borderId="0" xfId="143" applyFont="1"/>
    <xf numFmtId="0" fontId="2" fillId="0" borderId="0" xfId="143" applyFont="1" applyFill="1"/>
    <xf numFmtId="0" fontId="2" fillId="0" borderId="0" xfId="0" applyFont="1" applyAlignment="1"/>
    <xf numFmtId="0" fontId="21" fillId="0" borderId="0" xfId="0" applyFont="1" applyAlignment="1">
      <alignment horizontal="center"/>
    </xf>
    <xf numFmtId="0" fontId="30" fillId="0" borderId="0" xfId="412"/>
    <xf numFmtId="0" fontId="4" fillId="0" borderId="0" xfId="412" applyFont="1" applyAlignment="1">
      <alignment horizontal="left" vertical="center"/>
    </xf>
    <xf numFmtId="174" fontId="11" fillId="0" borderId="0" xfId="412" applyNumberFormat="1" applyFont="1" applyAlignment="1">
      <alignment horizontal="left" vertical="center"/>
    </xf>
    <xf numFmtId="49" fontId="4" fillId="0" borderId="0" xfId="412" applyNumberFormat="1" applyFont="1" applyAlignment="1">
      <alignment horizontal="left" vertical="center"/>
    </xf>
    <xf numFmtId="0" fontId="11" fillId="0" borderId="0" xfId="412" applyFont="1" applyAlignment="1">
      <alignment horizontal="left" vertical="center"/>
    </xf>
    <xf numFmtId="175" fontId="11" fillId="0" borderId="0" xfId="412" applyNumberFormat="1" applyFont="1" applyAlignment="1">
      <alignment horizontal="left" vertical="center"/>
    </xf>
    <xf numFmtId="0" fontId="4" fillId="0" borderId="0" xfId="68" applyFont="1" applyAlignment="1">
      <alignment vertical="center"/>
    </xf>
    <xf numFmtId="0" fontId="5" fillId="0" borderId="0" xfId="72" applyFont="1" applyAlignment="1">
      <alignment vertical="center"/>
    </xf>
    <xf numFmtId="0" fontId="4" fillId="3" borderId="0" xfId="0" applyFont="1" applyFill="1"/>
    <xf numFmtId="0" fontId="47"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0" fontId="5" fillId="0" borderId="0" xfId="73" applyFont="1" applyAlignment="1">
      <alignment vertical="center"/>
    </xf>
    <xf numFmtId="3" fontId="11" fillId="5" borderId="9" xfId="0" applyNumberFormat="1" applyFont="1" applyFill="1" applyBorder="1" applyAlignment="1">
      <alignment horizontal="center" vertical="center"/>
    </xf>
    <xf numFmtId="3" fontId="4" fillId="5" borderId="2" xfId="399" applyNumberFormat="1" applyFont="1" applyFill="1" applyBorder="1" applyAlignment="1" applyProtection="1">
      <alignment vertical="center"/>
    </xf>
    <xf numFmtId="3" fontId="4" fillId="2" borderId="2" xfId="0" applyNumberFormat="1" applyFont="1" applyFill="1" applyBorder="1" applyAlignment="1" applyProtection="1">
      <alignment horizontal="right" vertical="center"/>
      <protection locked="0"/>
    </xf>
    <xf numFmtId="3" fontId="3" fillId="5" borderId="2" xfId="0" applyNumberFormat="1" applyFont="1" applyFill="1" applyBorder="1" applyAlignment="1" applyProtection="1">
      <alignment horizontal="right" vertical="center"/>
    </xf>
    <xf numFmtId="3" fontId="4" fillId="5" borderId="2" xfId="0" applyNumberFormat="1" applyFont="1" applyFill="1" applyBorder="1" applyAlignment="1" applyProtection="1">
      <alignment horizontal="right" vertical="center"/>
    </xf>
    <xf numFmtId="3" fontId="4" fillId="3" borderId="2" xfId="0" applyNumberFormat="1" applyFont="1" applyFill="1" applyBorder="1" applyAlignment="1" applyProtection="1">
      <alignment horizontal="right" vertical="center"/>
    </xf>
    <xf numFmtId="3" fontId="4" fillId="3" borderId="2" xfId="1" applyNumberFormat="1" applyFont="1" applyFill="1" applyBorder="1" applyAlignment="1" applyProtection="1">
      <alignment horizontal="right" vertical="center"/>
    </xf>
    <xf numFmtId="0" fontId="33" fillId="14" borderId="0" xfId="0" applyFont="1" applyFill="1"/>
    <xf numFmtId="0" fontId="33" fillId="0" borderId="0" xfId="0" applyFont="1"/>
    <xf numFmtId="0" fontId="33" fillId="15" borderId="0" xfId="0" applyFont="1" applyFill="1"/>
    <xf numFmtId="0" fontId="48" fillId="14" borderId="0" xfId="0" applyFont="1" applyFill="1" applyAlignment="1">
      <alignment horizontal="center" wrapText="1"/>
    </xf>
    <xf numFmtId="0" fontId="48" fillId="15" borderId="0" xfId="0" applyFont="1" applyFill="1"/>
    <xf numFmtId="0" fontId="33" fillId="15" borderId="0" xfId="0" applyFont="1" applyFill="1" applyAlignment="1">
      <alignment horizontal="center"/>
    </xf>
    <xf numFmtId="0" fontId="48" fillId="15" borderId="23" xfId="0" applyFont="1" applyFill="1" applyBorder="1"/>
    <xf numFmtId="0" fontId="33" fillId="15" borderId="24" xfId="0" applyFont="1" applyFill="1" applyBorder="1"/>
    <xf numFmtId="0" fontId="33" fillId="15" borderId="25" xfId="0" applyFont="1" applyFill="1" applyBorder="1"/>
    <xf numFmtId="176" fontId="33" fillId="15" borderId="26" xfId="0" applyNumberFormat="1" applyFont="1" applyFill="1" applyBorder="1"/>
    <xf numFmtId="0" fontId="33" fillId="15" borderId="0" xfId="0" applyFont="1" applyFill="1" applyBorder="1"/>
    <xf numFmtId="176" fontId="33" fillId="15" borderId="4" xfId="0" applyNumberFormat="1" applyFont="1" applyFill="1" applyBorder="1" applyAlignment="1">
      <alignment horizontal="center"/>
    </xf>
    <xf numFmtId="0" fontId="33" fillId="15" borderId="27" xfId="0" applyFont="1" applyFill="1" applyBorder="1"/>
    <xf numFmtId="0" fontId="33" fillId="15" borderId="28" xfId="0" applyFont="1" applyFill="1" applyBorder="1"/>
    <xf numFmtId="0" fontId="33" fillId="15" borderId="29" xfId="0" applyFont="1" applyFill="1" applyBorder="1"/>
    <xf numFmtId="0" fontId="33" fillId="15" borderId="30" xfId="0" applyFont="1" applyFill="1" applyBorder="1"/>
    <xf numFmtId="176" fontId="33" fillId="15" borderId="0" xfId="0" applyNumberFormat="1" applyFont="1" applyFill="1"/>
    <xf numFmtId="0" fontId="33" fillId="15" borderId="23" xfId="0" applyFont="1" applyFill="1" applyBorder="1"/>
    <xf numFmtId="0" fontId="33" fillId="15" borderId="31" xfId="0" applyFont="1" applyFill="1" applyBorder="1"/>
    <xf numFmtId="176" fontId="33" fillId="16" borderId="26" xfId="0" applyNumberFormat="1" applyFont="1" applyFill="1" applyBorder="1" applyAlignment="1" applyProtection="1">
      <alignment horizontal="center"/>
      <protection locked="0"/>
    </xf>
    <xf numFmtId="173" fontId="33" fillId="15" borderId="0" xfId="0" applyNumberFormat="1" applyFont="1" applyFill="1" applyBorder="1" applyAlignment="1">
      <alignment horizontal="center"/>
    </xf>
    <xf numFmtId="0" fontId="49" fillId="0" borderId="0" xfId="0" applyFont="1" applyBorder="1"/>
    <xf numFmtId="0" fontId="33" fillId="0" borderId="0" xfId="0" applyFont="1" applyBorder="1"/>
    <xf numFmtId="0" fontId="48" fillId="0" borderId="0" xfId="0" applyFont="1" applyBorder="1" applyAlignment="1">
      <alignment horizontal="centerContinuous"/>
    </xf>
    <xf numFmtId="0" fontId="33" fillId="0" borderId="0" xfId="0" applyFont="1" applyBorder="1" applyAlignment="1">
      <alignment horizontal="centerContinuous"/>
    </xf>
    <xf numFmtId="0" fontId="33" fillId="14" borderId="0" xfId="0" applyFont="1" applyFill="1" applyBorder="1"/>
    <xf numFmtId="0" fontId="33" fillId="15" borderId="32" xfId="0" applyFont="1" applyFill="1" applyBorder="1"/>
    <xf numFmtId="0" fontId="33" fillId="15" borderId="13" xfId="0" applyFont="1" applyFill="1" applyBorder="1"/>
    <xf numFmtId="0" fontId="33" fillId="15" borderId="33" xfId="0" applyFont="1" applyFill="1" applyBorder="1"/>
    <xf numFmtId="177" fontId="33" fillId="15" borderId="0" xfId="0" applyNumberFormat="1" applyFont="1" applyFill="1" applyBorder="1" applyAlignment="1">
      <alignment horizontal="center"/>
    </xf>
    <xf numFmtId="5" fontId="33" fillId="15" borderId="29" xfId="0" applyNumberFormat="1" applyFont="1" applyFill="1" applyBorder="1" applyAlignment="1">
      <alignment horizontal="center"/>
    </xf>
    <xf numFmtId="0" fontId="33" fillId="15" borderId="29" xfId="0" applyFont="1" applyFill="1" applyBorder="1" applyAlignment="1">
      <alignment horizontal="center"/>
    </xf>
    <xf numFmtId="173" fontId="33" fillId="15" borderId="29" xfId="0" applyNumberFormat="1" applyFont="1" applyFill="1" applyBorder="1" applyAlignment="1">
      <alignment horizontal="center"/>
    </xf>
    <xf numFmtId="177" fontId="33" fillId="15" borderId="29" xfId="0" applyNumberFormat="1" applyFont="1" applyFill="1" applyBorder="1" applyAlignment="1">
      <alignment horizontal="center"/>
    </xf>
    <xf numFmtId="0" fontId="33" fillId="15" borderId="0" xfId="0" applyFont="1" applyFill="1" applyAlignment="1">
      <alignment horizontal="center" wrapText="1"/>
    </xf>
    <xf numFmtId="0" fontId="48" fillId="15" borderId="23" xfId="0" applyFont="1" applyFill="1" applyBorder="1" applyAlignment="1"/>
    <xf numFmtId="0" fontId="33" fillId="15" borderId="24" xfId="0" applyFont="1" applyFill="1" applyBorder="1" applyAlignment="1"/>
    <xf numFmtId="0" fontId="33" fillId="15" borderId="25" xfId="0" applyFont="1" applyFill="1" applyBorder="1" applyAlignment="1"/>
    <xf numFmtId="0" fontId="33" fillId="15" borderId="31" xfId="0" applyFont="1" applyFill="1" applyBorder="1" applyAlignment="1"/>
    <xf numFmtId="0" fontId="33" fillId="15" borderId="27" xfId="0" applyFont="1" applyFill="1" applyBorder="1" applyAlignment="1"/>
    <xf numFmtId="0" fontId="33" fillId="15" borderId="32" xfId="0" applyFont="1" applyFill="1" applyBorder="1" applyAlignment="1"/>
    <xf numFmtId="0" fontId="33" fillId="15" borderId="13" xfId="0" applyFont="1" applyFill="1" applyBorder="1" applyAlignment="1"/>
    <xf numFmtId="0" fontId="33" fillId="15" borderId="33" xfId="0" applyFont="1" applyFill="1" applyBorder="1" applyAlignment="1"/>
    <xf numFmtId="171" fontId="33" fillId="15" borderId="0" xfId="0" applyNumberFormat="1" applyFont="1" applyFill="1" applyBorder="1" applyAlignment="1">
      <alignment horizontal="center"/>
    </xf>
    <xf numFmtId="0" fontId="33" fillId="15" borderId="28" xfId="0" applyFont="1" applyFill="1" applyBorder="1" applyAlignment="1"/>
    <xf numFmtId="5" fontId="33" fillId="15" borderId="0" xfId="0" applyNumberFormat="1" applyFont="1" applyFill="1" applyBorder="1" applyAlignment="1">
      <alignment horizontal="center"/>
    </xf>
    <xf numFmtId="0" fontId="33" fillId="14" borderId="0" xfId="0" applyFont="1" applyFill="1" applyAlignment="1"/>
    <xf numFmtId="173" fontId="33" fillId="16" borderId="4" xfId="0" applyNumberFormat="1" applyFont="1" applyFill="1" applyBorder="1" applyAlignment="1" applyProtection="1">
      <alignment horizontal="center"/>
      <protection locked="0"/>
    </xf>
    <xf numFmtId="177" fontId="33" fillId="15" borderId="0" xfId="0" applyNumberFormat="1" applyFont="1" applyFill="1" applyBorder="1"/>
    <xf numFmtId="0" fontId="33" fillId="17" borderId="0" xfId="0" applyFont="1" applyFill="1"/>
    <xf numFmtId="0" fontId="35" fillId="0" borderId="0" xfId="0" applyFont="1" applyAlignment="1">
      <alignment horizontal="center"/>
    </xf>
    <xf numFmtId="0" fontId="36" fillId="0" borderId="0" xfId="10" applyFont="1" applyAlignment="1" applyProtection="1"/>
    <xf numFmtId="0" fontId="24" fillId="0" borderId="0" xfId="0" applyFont="1" applyAlignment="1">
      <alignment horizontal="center"/>
    </xf>
    <xf numFmtId="0" fontId="3" fillId="0" borderId="0" xfId="0" applyFont="1" applyAlignment="1">
      <alignment wrapText="1"/>
    </xf>
    <xf numFmtId="0" fontId="25" fillId="0" borderId="0" xfId="0" applyFont="1"/>
    <xf numFmtId="0" fontId="50" fillId="0" borderId="0" xfId="0" applyFont="1" applyAlignment="1">
      <alignment wrapText="1"/>
    </xf>
    <xf numFmtId="0" fontId="26" fillId="0" borderId="0" xfId="0" applyFont="1" applyAlignment="1">
      <alignment wrapText="1"/>
    </xf>
    <xf numFmtId="172" fontId="4" fillId="3" borderId="9" xfId="0" applyNumberFormat="1" applyFont="1" applyFill="1" applyBorder="1" applyAlignment="1" applyProtection="1">
      <alignment vertical="center"/>
    </xf>
    <xf numFmtId="0" fontId="8" fillId="8" borderId="8" xfId="0" applyFont="1" applyFill="1" applyBorder="1" applyAlignment="1" applyProtection="1">
      <alignment vertical="center" shrinkToFit="1"/>
    </xf>
    <xf numFmtId="0" fontId="15" fillId="6" borderId="7" xfId="0" applyFont="1" applyFill="1" applyBorder="1" applyAlignment="1" applyProtection="1">
      <alignment horizontal="center"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37" fontId="4" fillId="6" borderId="1" xfId="0" applyNumberFormat="1" applyFont="1" applyFill="1" applyBorder="1" applyAlignment="1" applyProtection="1">
      <alignment vertical="center"/>
    </xf>
    <xf numFmtId="0" fontId="0" fillId="6" borderId="1" xfId="0" applyFill="1" applyBorder="1" applyAlignment="1" applyProtection="1">
      <alignment vertical="center"/>
    </xf>
    <xf numFmtId="0" fontId="4" fillId="5" borderId="2" xfId="0" applyFont="1" applyFill="1" applyBorder="1" applyAlignment="1" applyProtection="1">
      <alignment vertical="center"/>
    </xf>
    <xf numFmtId="0" fontId="4" fillId="4" borderId="4" xfId="0" applyFont="1" applyFill="1" applyBorder="1" applyAlignment="1" applyProtection="1">
      <alignment vertical="center"/>
      <protection locked="0"/>
    </xf>
    <xf numFmtId="0" fontId="4" fillId="4" borderId="7" xfId="0" applyFont="1" applyFill="1" applyBorder="1" applyAlignment="1" applyProtection="1">
      <alignment vertical="center"/>
      <protection locked="0"/>
    </xf>
    <xf numFmtId="0" fontId="4" fillId="3" borderId="6" xfId="0" applyNumberFormat="1" applyFont="1" applyFill="1" applyBorder="1" applyAlignment="1" applyProtection="1">
      <alignment horizontal="center" vertical="center"/>
    </xf>
    <xf numFmtId="3" fontId="4" fillId="13" borderId="2" xfId="0" applyNumberFormat="1" applyFont="1" applyFill="1" applyBorder="1" applyAlignment="1" applyProtection="1">
      <alignment vertical="center"/>
    </xf>
    <xf numFmtId="37" fontId="15" fillId="4" borderId="1" xfId="0" applyNumberFormat="1" applyFont="1" applyFill="1" applyBorder="1" applyAlignment="1" applyProtection="1">
      <alignment horizontal="center" vertical="center"/>
    </xf>
    <xf numFmtId="37" fontId="4" fillId="3" borderId="34" xfId="0" applyNumberFormat="1" applyFont="1" applyFill="1" applyBorder="1" applyAlignment="1" applyProtection="1">
      <alignment vertical="center"/>
    </xf>
    <xf numFmtId="0" fontId="4" fillId="3" borderId="34" xfId="0" applyFont="1" applyFill="1" applyBorder="1" applyAlignment="1" applyProtection="1">
      <alignment vertical="center"/>
    </xf>
    <xf numFmtId="37" fontId="3" fillId="3" borderId="0" xfId="0" applyNumberFormat="1" applyFont="1" applyFill="1" applyBorder="1" applyAlignment="1" applyProtection="1">
      <alignment vertical="center"/>
    </xf>
    <xf numFmtId="0" fontId="4" fillId="2" borderId="2" xfId="19" applyNumberFormat="1" applyFont="1" applyFill="1" applyBorder="1" applyAlignment="1" applyProtection="1">
      <alignment horizontal="left" vertical="center"/>
      <protection locked="0"/>
    </xf>
    <xf numFmtId="0" fontId="4" fillId="2" borderId="2" xfId="39" applyNumberFormat="1" applyFont="1" applyFill="1" applyBorder="1" applyAlignment="1" applyProtection="1">
      <alignment horizontal="left" vertical="center"/>
      <protection locked="0"/>
    </xf>
    <xf numFmtId="173" fontId="4" fillId="16" borderId="15" xfId="36" applyNumberFormat="1" applyFont="1" applyFill="1" applyBorder="1" applyAlignment="1" applyProtection="1">
      <alignment horizontal="center"/>
      <protection locked="0"/>
    </xf>
    <xf numFmtId="176" fontId="4" fillId="15" borderId="12" xfId="36" applyNumberFormat="1" applyFont="1" applyFill="1" applyBorder="1" applyAlignment="1" applyProtection="1">
      <alignment horizontal="center"/>
    </xf>
    <xf numFmtId="0" fontId="4" fillId="0" borderId="0" xfId="36" applyFont="1" applyProtection="1"/>
    <xf numFmtId="0" fontId="4" fillId="18" borderId="4" xfId="36" applyFont="1" applyFill="1" applyBorder="1" applyProtection="1"/>
    <xf numFmtId="0" fontId="4" fillId="18" borderId="6" xfId="36" applyFont="1" applyFill="1" applyBorder="1" applyProtection="1"/>
    <xf numFmtId="0" fontId="4" fillId="18" borderId="0" xfId="36" applyFont="1" applyFill="1" applyBorder="1" applyProtection="1"/>
    <xf numFmtId="0" fontId="4" fillId="18" borderId="3" xfId="36" applyFont="1" applyFill="1" applyBorder="1" applyProtection="1"/>
    <xf numFmtId="171" fontId="4" fillId="15" borderId="15" xfId="36" applyNumberFormat="1" applyFont="1" applyFill="1" applyBorder="1" applyAlignment="1" applyProtection="1">
      <alignment horizontal="center"/>
    </xf>
    <xf numFmtId="0" fontId="4" fillId="15" borderId="15" xfId="36" applyFont="1" applyFill="1" applyBorder="1" applyProtection="1"/>
    <xf numFmtId="0" fontId="4" fillId="15" borderId="3" xfId="36" applyFont="1" applyFill="1" applyBorder="1" applyProtection="1"/>
    <xf numFmtId="0" fontId="4" fillId="0" borderId="0" xfId="36" applyFont="1" applyFill="1" applyBorder="1" applyProtection="1"/>
    <xf numFmtId="176" fontId="4" fillId="18" borderId="12" xfId="36" applyNumberFormat="1" applyFont="1" applyFill="1" applyBorder="1" applyAlignment="1" applyProtection="1">
      <alignment horizontal="center"/>
    </xf>
    <xf numFmtId="0" fontId="4" fillId="15" borderId="4" xfId="36" applyFont="1" applyFill="1" applyBorder="1" applyProtection="1"/>
    <xf numFmtId="0" fontId="4" fillId="15" borderId="6" xfId="36" applyFont="1" applyFill="1" applyBorder="1" applyProtection="1"/>
    <xf numFmtId="176" fontId="4" fillId="15" borderId="15" xfId="36" applyNumberFormat="1" applyFont="1" applyFill="1" applyBorder="1" applyAlignment="1" applyProtection="1">
      <alignment horizontal="center"/>
    </xf>
    <xf numFmtId="0" fontId="4" fillId="15" borderId="0" xfId="36" applyFont="1" applyFill="1" applyBorder="1" applyProtection="1"/>
    <xf numFmtId="0" fontId="37" fillId="15" borderId="3" xfId="36" applyFont="1" applyFill="1" applyBorder="1" applyProtection="1"/>
    <xf numFmtId="176" fontId="40" fillId="18" borderId="12" xfId="36" applyNumberFormat="1" applyFont="1" applyFill="1" applyBorder="1" applyAlignment="1" applyProtection="1">
      <alignment horizontal="center" vertical="center"/>
      <protection locked="0"/>
    </xf>
    <xf numFmtId="173" fontId="37" fillId="15" borderId="5" xfId="36" applyNumberFormat="1" applyFont="1" applyFill="1" applyBorder="1" applyAlignment="1" applyProtection="1">
      <alignment horizontal="center" vertical="center"/>
      <protection locked="0"/>
    </xf>
    <xf numFmtId="0" fontId="37" fillId="15" borderId="0" xfId="36" applyFont="1" applyFill="1" applyBorder="1" applyAlignment="1" applyProtection="1">
      <alignment vertical="center"/>
      <protection locked="0"/>
    </xf>
    <xf numFmtId="0" fontId="4" fillId="15" borderId="0" xfId="36" applyFont="1" applyFill="1" applyBorder="1" applyAlignment="1" applyProtection="1">
      <alignment vertical="center"/>
      <protection locked="0"/>
    </xf>
    <xf numFmtId="0" fontId="37" fillId="15" borderId="3" xfId="36" applyFont="1" applyFill="1" applyBorder="1" applyAlignment="1" applyProtection="1">
      <alignment vertical="center"/>
    </xf>
    <xf numFmtId="176" fontId="37" fillId="16" borderId="1" xfId="36" applyNumberFormat="1" applyFont="1" applyFill="1" applyBorder="1" applyAlignment="1" applyProtection="1">
      <alignment horizontal="center" vertical="center"/>
      <protection locked="0"/>
    </xf>
    <xf numFmtId="0" fontId="37" fillId="15" borderId="3" xfId="36" applyFont="1" applyFill="1" applyBorder="1" applyAlignment="1" applyProtection="1">
      <alignment horizontal="left" vertical="center"/>
    </xf>
    <xf numFmtId="0" fontId="4" fillId="18" borderId="12" xfId="36" applyFont="1" applyFill="1" applyBorder="1" applyAlignment="1" applyProtection="1">
      <alignment vertical="center"/>
    </xf>
    <xf numFmtId="0" fontId="37" fillId="18" borderId="12" xfId="36" applyFont="1" applyFill="1" applyBorder="1" applyAlignment="1" applyProtection="1">
      <alignment vertical="center"/>
    </xf>
    <xf numFmtId="0" fontId="40" fillId="18" borderId="4" xfId="36" applyFont="1" applyFill="1" applyBorder="1" applyAlignment="1" applyProtection="1">
      <alignment vertical="center"/>
    </xf>
    <xf numFmtId="176" fontId="40" fillId="18" borderId="6" xfId="36" applyNumberFormat="1" applyFont="1" applyFill="1" applyBorder="1" applyAlignment="1" applyProtection="1">
      <alignment horizontal="center" vertical="center"/>
    </xf>
    <xf numFmtId="176" fontId="37" fillId="15" borderId="3" xfId="36" applyNumberFormat="1" applyFont="1" applyFill="1" applyBorder="1" applyAlignment="1" applyProtection="1">
      <alignment vertical="center"/>
    </xf>
    <xf numFmtId="176" fontId="37" fillId="15" borderId="6" xfId="36" applyNumberFormat="1" applyFont="1" applyFill="1" applyBorder="1" applyAlignment="1" applyProtection="1">
      <alignment horizontal="center" vertical="center"/>
    </xf>
    <xf numFmtId="0" fontId="37" fillId="15" borderId="0" xfId="36" applyFont="1" applyFill="1" applyBorder="1" applyAlignment="1" applyProtection="1">
      <alignment vertical="center"/>
    </xf>
    <xf numFmtId="0" fontId="37" fillId="15" borderId="15" xfId="36" applyFont="1" applyFill="1" applyBorder="1" applyAlignment="1" applyProtection="1">
      <alignment vertical="center"/>
    </xf>
    <xf numFmtId="0" fontId="37" fillId="15" borderId="0" xfId="36" applyFont="1" applyFill="1" applyBorder="1" applyAlignment="1" applyProtection="1">
      <alignment horizontal="left" vertical="center"/>
    </xf>
    <xf numFmtId="176" fontId="37" fillId="15" borderId="3" xfId="36" applyNumberFormat="1" applyFont="1" applyFill="1" applyBorder="1" applyAlignment="1" applyProtection="1">
      <alignment horizontal="center" vertical="center"/>
    </xf>
    <xf numFmtId="0" fontId="4" fillId="15" borderId="15" xfId="36" applyFont="1" applyFill="1" applyBorder="1" applyAlignment="1" applyProtection="1">
      <alignment vertical="center"/>
    </xf>
    <xf numFmtId="0" fontId="4" fillId="15" borderId="0" xfId="36" applyFont="1" applyFill="1" applyBorder="1" applyAlignment="1" applyProtection="1">
      <alignment vertical="center"/>
    </xf>
    <xf numFmtId="0" fontId="4" fillId="3" borderId="0" xfId="39" applyFont="1" applyFill="1" applyAlignment="1" applyProtection="1">
      <alignment horizontal="right" vertical="center"/>
    </xf>
    <xf numFmtId="164" fontId="4" fillId="3" borderId="9" xfId="0" applyNumberFormat="1" applyFont="1" applyFill="1" applyBorder="1" applyAlignment="1" applyProtection="1">
      <alignment vertical="center"/>
    </xf>
    <xf numFmtId="37" fontId="13" fillId="3" borderId="1" xfId="0" applyNumberFormat="1" applyFont="1" applyFill="1" applyBorder="1" applyAlignment="1" applyProtection="1">
      <alignment horizontal="center" vertical="center"/>
    </xf>
    <xf numFmtId="37" fontId="3" fillId="3" borderId="0" xfId="0" applyNumberFormat="1" applyFont="1" applyFill="1" applyBorder="1" applyProtection="1"/>
    <xf numFmtId="0" fontId="51" fillId="3" borderId="0" xfId="0" applyFont="1" applyFill="1" applyAlignment="1" applyProtection="1">
      <alignment horizontal="center" vertical="center"/>
    </xf>
    <xf numFmtId="37" fontId="15" fillId="6" borderId="1" xfId="0" applyNumberFormat="1" applyFont="1" applyFill="1" applyBorder="1" applyAlignment="1" applyProtection="1">
      <alignment horizontal="center"/>
    </xf>
    <xf numFmtId="0" fontId="4" fillId="15" borderId="3" xfId="36" applyFont="1" applyFill="1" applyBorder="1" applyAlignment="1" applyProtection="1">
      <alignment vertical="center"/>
    </xf>
    <xf numFmtId="37" fontId="4" fillId="3" borderId="8" xfId="19" applyNumberFormat="1" applyFont="1" applyFill="1" applyBorder="1" applyAlignment="1" applyProtection="1">
      <alignment horizontal="center"/>
    </xf>
    <xf numFmtId="37" fontId="4" fillId="3" borderId="9" xfId="19" applyNumberFormat="1" applyFont="1" applyFill="1" applyBorder="1" applyAlignment="1" applyProtection="1">
      <alignment horizontal="center"/>
    </xf>
    <xf numFmtId="37" fontId="4" fillId="3" borderId="14" xfId="19" applyNumberFormat="1" applyFont="1" applyFill="1" applyBorder="1" applyAlignment="1" applyProtection="1">
      <alignment horizontal="center" vertical="center"/>
    </xf>
    <xf numFmtId="37" fontId="4" fillId="3" borderId="9" xfId="19" applyNumberFormat="1" applyFont="1" applyFill="1" applyBorder="1" applyAlignment="1" applyProtection="1">
      <alignment horizontal="center" vertical="center"/>
    </xf>
    <xf numFmtId="0" fontId="4" fillId="0" borderId="0" xfId="39" applyFont="1" applyAlignment="1">
      <alignment vertical="center" wrapText="1"/>
    </xf>
    <xf numFmtId="0" fontId="4" fillId="0" borderId="0" xfId="39" applyFont="1" applyAlignment="1">
      <alignment vertical="center"/>
    </xf>
    <xf numFmtId="0" fontId="4" fillId="0" borderId="0" xfId="431" applyFont="1" applyAlignment="1">
      <alignment vertical="center" wrapText="1"/>
    </xf>
    <xf numFmtId="0" fontId="4" fillId="0" borderId="0" xfId="20" applyFont="1" applyAlignment="1">
      <alignment vertical="center" wrapText="1"/>
    </xf>
    <xf numFmtId="0" fontId="4" fillId="0" borderId="0" xfId="247" applyFont="1" applyAlignment="1">
      <alignment vertical="center" wrapText="1"/>
    </xf>
    <xf numFmtId="176" fontId="4" fillId="18" borderId="15" xfId="36" applyNumberFormat="1" applyFont="1" applyFill="1" applyBorder="1" applyAlignment="1" applyProtection="1">
      <alignment horizontal="center"/>
    </xf>
    <xf numFmtId="0" fontId="4" fillId="18" borderId="6" xfId="0" applyFont="1" applyFill="1" applyBorder="1" applyAlignment="1">
      <alignment vertical="center"/>
    </xf>
    <xf numFmtId="0" fontId="4" fillId="18" borderId="4" xfId="0" applyFont="1" applyFill="1" applyBorder="1" applyAlignment="1">
      <alignment vertical="center"/>
    </xf>
    <xf numFmtId="176" fontId="4" fillId="18" borderId="12" xfId="0" applyNumberFormat="1" applyFont="1" applyFill="1" applyBorder="1" applyAlignment="1">
      <alignment horizontal="center" vertical="center"/>
    </xf>
    <xf numFmtId="37" fontId="4" fillId="6" borderId="1" xfId="1"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right" vertical="center"/>
    </xf>
    <xf numFmtId="0" fontId="4" fillId="3" borderId="0" xfId="0" applyFont="1" applyFill="1" applyAlignment="1" applyProtection="1">
      <alignment horizontal="right" vertical="center"/>
      <protection locked="0"/>
    </xf>
    <xf numFmtId="0" fontId="48" fillId="15" borderId="0" xfId="0" applyFont="1" applyFill="1" applyAlignment="1">
      <alignment horizontal="center" wrapText="1"/>
    </xf>
    <xf numFmtId="0" fontId="48" fillId="15" borderId="0" xfId="0" applyFont="1" applyFill="1" applyAlignment="1">
      <alignment horizontal="center"/>
    </xf>
    <xf numFmtId="176" fontId="33" fillId="15" borderId="0" xfId="0" applyNumberFormat="1" applyFont="1" applyFill="1" applyAlignment="1">
      <alignment horizontal="center"/>
    </xf>
    <xf numFmtId="176" fontId="33" fillId="16" borderId="4" xfId="0" applyNumberFormat="1" applyFont="1" applyFill="1" applyBorder="1" applyAlignment="1" applyProtection="1">
      <alignment horizontal="center"/>
      <protection locked="0"/>
    </xf>
    <xf numFmtId="0" fontId="33" fillId="15" borderId="0" xfId="0" applyFont="1" applyFill="1" applyBorder="1" applyAlignment="1"/>
    <xf numFmtId="0" fontId="33" fillId="15" borderId="30" xfId="0" applyFont="1" applyFill="1" applyBorder="1" applyAlignment="1"/>
    <xf numFmtId="0" fontId="33" fillId="15" borderId="0" xfId="0" applyFont="1" applyFill="1" applyBorder="1" applyAlignment="1">
      <alignment horizontal="center"/>
    </xf>
    <xf numFmtId="176" fontId="33" fillId="15" borderId="0" xfId="0" applyNumberFormat="1" applyFont="1" applyFill="1" applyBorder="1" applyAlignment="1">
      <alignment horizontal="center"/>
    </xf>
    <xf numFmtId="0" fontId="33" fillId="15" borderId="13" xfId="0" applyFont="1" applyFill="1" applyBorder="1" applyAlignment="1">
      <alignment horizontal="center"/>
    </xf>
    <xf numFmtId="176" fontId="33" fillId="0" borderId="0" xfId="0" applyNumberFormat="1" applyFont="1"/>
    <xf numFmtId="176" fontId="33" fillId="15" borderId="29" xfId="0" applyNumberFormat="1" applyFont="1" applyFill="1" applyBorder="1" applyAlignment="1">
      <alignment horizontal="center"/>
    </xf>
    <xf numFmtId="173" fontId="33" fillId="15" borderId="29" xfId="0" applyNumberFormat="1" applyFont="1" applyFill="1" applyBorder="1" applyAlignment="1" applyProtection="1">
      <alignment horizontal="center"/>
      <protection locked="0"/>
    </xf>
    <xf numFmtId="177" fontId="33" fillId="15" borderId="29" xfId="0" applyNumberFormat="1" applyFont="1" applyFill="1" applyBorder="1"/>
    <xf numFmtId="0" fontId="48" fillId="15" borderId="31" xfId="0" applyFont="1" applyFill="1" applyBorder="1" applyAlignment="1">
      <alignment horizontal="centerContinuous" vertical="center"/>
    </xf>
    <xf numFmtId="176" fontId="48" fillId="15" borderId="0" xfId="0" applyNumberFormat="1" applyFont="1" applyFill="1" applyBorder="1" applyAlignment="1">
      <alignment horizontal="centerContinuous" vertical="center"/>
    </xf>
    <xf numFmtId="0" fontId="48" fillId="15" borderId="0" xfId="0" applyFont="1" applyFill="1" applyBorder="1" applyAlignment="1">
      <alignment horizontal="centerContinuous" vertical="center"/>
    </xf>
    <xf numFmtId="173" fontId="48" fillId="15" borderId="0" xfId="0" applyNumberFormat="1" applyFont="1" applyFill="1" applyBorder="1" applyAlignment="1" applyProtection="1">
      <alignment horizontal="centerContinuous" vertical="center"/>
      <protection locked="0"/>
    </xf>
    <xf numFmtId="177" fontId="48" fillId="15" borderId="0" xfId="0" applyNumberFormat="1" applyFont="1" applyFill="1" applyBorder="1" applyAlignment="1">
      <alignment horizontal="centerContinuous" vertical="center"/>
    </xf>
    <xf numFmtId="0" fontId="48" fillId="15" borderId="27" xfId="0" applyFont="1" applyFill="1" applyBorder="1" applyAlignment="1">
      <alignment horizontal="centerContinuous" vertical="center"/>
    </xf>
    <xf numFmtId="0" fontId="48" fillId="15" borderId="31" xfId="0" applyFont="1" applyFill="1" applyBorder="1" applyAlignment="1">
      <alignment horizontal="centerContinuous"/>
    </xf>
    <xf numFmtId="176" fontId="48" fillId="15" borderId="0" xfId="0" applyNumberFormat="1" applyFont="1" applyFill="1" applyBorder="1" applyAlignment="1">
      <alignment horizontal="centerContinuous"/>
    </xf>
    <xf numFmtId="0" fontId="48" fillId="15" borderId="0" xfId="0" applyFont="1" applyFill="1" applyBorder="1" applyAlignment="1">
      <alignment horizontal="centerContinuous"/>
    </xf>
    <xf numFmtId="173" fontId="48" fillId="15" borderId="0" xfId="0" applyNumberFormat="1" applyFont="1" applyFill="1" applyBorder="1" applyAlignment="1" applyProtection="1">
      <alignment horizontal="centerContinuous"/>
      <protection locked="0"/>
    </xf>
    <xf numFmtId="177" fontId="48" fillId="15" borderId="0" xfId="0" applyNumberFormat="1" applyFont="1" applyFill="1" applyBorder="1" applyAlignment="1">
      <alignment horizontal="centerContinuous"/>
    </xf>
    <xf numFmtId="0" fontId="48" fillId="15" borderId="27" xfId="0" applyFont="1" applyFill="1" applyBorder="1" applyAlignment="1">
      <alignment horizontal="centerContinuous"/>
    </xf>
    <xf numFmtId="173" fontId="33" fillId="15" borderId="0" xfId="0" applyNumberFormat="1" applyFont="1" applyFill="1" applyBorder="1" applyAlignment="1" applyProtection="1">
      <alignment horizontal="center"/>
      <protection locked="0"/>
    </xf>
    <xf numFmtId="176" fontId="33" fillId="15" borderId="24" xfId="0" applyNumberFormat="1" applyFont="1" applyFill="1" applyBorder="1" applyAlignment="1">
      <alignment horizontal="center"/>
    </xf>
    <xf numFmtId="0" fontId="33" fillId="15" borderId="24" xfId="0" applyFont="1" applyFill="1" applyBorder="1" applyAlignment="1">
      <alignment horizontal="center"/>
    </xf>
    <xf numFmtId="173" fontId="33" fillId="15" borderId="24" xfId="0" applyNumberFormat="1" applyFont="1" applyFill="1" applyBorder="1" applyAlignment="1" applyProtection="1">
      <alignment horizontal="center"/>
      <protection locked="0"/>
    </xf>
    <xf numFmtId="177" fontId="33" fillId="15" borderId="24" xfId="0" applyNumberFormat="1" applyFont="1" applyFill="1" applyBorder="1"/>
    <xf numFmtId="176" fontId="33" fillId="15" borderId="0" xfId="0" applyNumberFormat="1" applyFont="1" applyFill="1" applyBorder="1" applyAlignment="1" applyProtection="1">
      <alignment horizontal="center"/>
      <protection locked="0"/>
    </xf>
    <xf numFmtId="0" fontId="3" fillId="3" borderId="0" xfId="20" applyFont="1" applyFill="1" applyAlignment="1" applyProtection="1">
      <alignment vertical="center"/>
    </xf>
    <xf numFmtId="3" fontId="15" fillId="13" borderId="2" xfId="0" applyNumberFormat="1" applyFont="1" applyFill="1" applyBorder="1" applyAlignment="1" applyProtection="1">
      <alignment horizontal="center" vertical="center"/>
    </xf>
    <xf numFmtId="3" fontId="15" fillId="13" borderId="1" xfId="0" applyNumberFormat="1" applyFont="1" applyFill="1" applyBorder="1" applyAlignment="1" applyProtection="1">
      <alignment horizontal="center" vertical="center"/>
    </xf>
    <xf numFmtId="3" fontId="3" fillId="5" borderId="6" xfId="0" applyNumberFormat="1" applyFont="1" applyFill="1" applyBorder="1" applyAlignment="1" applyProtection="1">
      <alignment horizontal="right" vertical="center"/>
    </xf>
    <xf numFmtId="0" fontId="37" fillId="15" borderId="3" xfId="0" applyFont="1" applyFill="1" applyBorder="1" applyAlignment="1" applyProtection="1">
      <alignment vertical="center"/>
    </xf>
    <xf numFmtId="0" fontId="4" fillId="15" borderId="0" xfId="0" applyFont="1" applyFill="1" applyBorder="1" applyAlignment="1" applyProtection="1">
      <alignment vertical="center"/>
    </xf>
    <xf numFmtId="0" fontId="37" fillId="15" borderId="0" xfId="0" applyFont="1" applyFill="1" applyBorder="1" applyAlignment="1" applyProtection="1">
      <alignment vertical="center"/>
    </xf>
    <xf numFmtId="176" fontId="37" fillId="15" borderId="15" xfId="0" applyNumberFormat="1" applyFont="1" applyFill="1" applyBorder="1" applyAlignment="1" applyProtection="1">
      <alignment horizontal="center" vertical="center"/>
    </xf>
    <xf numFmtId="0" fontId="37" fillId="15" borderId="3" xfId="0" applyFont="1" applyFill="1" applyBorder="1" applyAlignment="1" applyProtection="1">
      <alignment horizontal="left" vertical="center"/>
    </xf>
    <xf numFmtId="176" fontId="37" fillId="16" borderId="1" xfId="0" applyNumberFormat="1" applyFont="1" applyFill="1" applyBorder="1" applyAlignment="1" applyProtection="1">
      <alignment horizontal="center" vertical="center"/>
      <protection locked="0"/>
    </xf>
    <xf numFmtId="173" fontId="40" fillId="15" borderId="5" xfId="22" applyNumberFormat="1" applyFont="1" applyFill="1" applyBorder="1" applyAlignment="1" applyProtection="1">
      <alignment horizontal="center" vertical="center"/>
    </xf>
    <xf numFmtId="0" fontId="40" fillId="18" borderId="3" xfId="0" applyFont="1" applyFill="1" applyBorder="1" applyAlignment="1" applyProtection="1">
      <alignment vertical="center"/>
    </xf>
    <xf numFmtId="0" fontId="4" fillId="18" borderId="0" xfId="0" applyFont="1" applyFill="1" applyBorder="1" applyAlignment="1" applyProtection="1">
      <alignment vertical="center"/>
    </xf>
    <xf numFmtId="0" fontId="37" fillId="18" borderId="0" xfId="0" applyFont="1" applyFill="1" applyBorder="1" applyAlignment="1" applyProtection="1">
      <alignment vertical="center"/>
    </xf>
    <xf numFmtId="176" fontId="40" fillId="18" borderId="5" xfId="0" applyNumberFormat="1" applyFont="1" applyFill="1" applyBorder="1" applyAlignment="1" applyProtection="1">
      <alignment horizontal="center" vertical="center"/>
    </xf>
    <xf numFmtId="37" fontId="37" fillId="3" borderId="6" xfId="0" applyNumberFormat="1" applyFont="1" applyFill="1" applyBorder="1" applyAlignment="1" applyProtection="1">
      <alignment horizontal="left" vertical="center"/>
    </xf>
    <xf numFmtId="0" fontId="41" fillId="15" borderId="4" xfId="0" applyFont="1" applyFill="1" applyBorder="1" applyAlignment="1">
      <alignment horizontal="left" vertical="center"/>
    </xf>
    <xf numFmtId="176" fontId="40" fillId="18" borderId="12" xfId="0" applyNumberFormat="1" applyFont="1" applyFill="1" applyBorder="1" applyAlignment="1" applyProtection="1">
      <alignment horizontal="center" vertical="center"/>
      <protection locked="0"/>
    </xf>
    <xf numFmtId="3" fontId="4" fillId="5" borderId="1" xfId="0" applyNumberFormat="1" applyFont="1" applyFill="1" applyBorder="1" applyAlignment="1" applyProtection="1">
      <alignment horizontal="right" vertical="center"/>
    </xf>
    <xf numFmtId="0" fontId="4" fillId="15" borderId="3" xfId="35" applyFont="1" applyFill="1" applyBorder="1" applyAlignment="1" applyProtection="1">
      <alignment vertical="center"/>
    </xf>
    <xf numFmtId="0" fontId="4" fillId="15" borderId="0" xfId="35" applyFont="1" applyFill="1" applyBorder="1" applyAlignment="1" applyProtection="1">
      <alignment vertical="center"/>
    </xf>
    <xf numFmtId="0" fontId="4" fillId="3" borderId="15" xfId="10" applyNumberFormat="1" applyFont="1" applyFill="1" applyBorder="1" applyAlignment="1" applyProtection="1">
      <alignment horizontal="right" vertical="center"/>
    </xf>
    <xf numFmtId="0" fontId="4" fillId="15" borderId="15" xfId="35" applyFont="1" applyFill="1" applyBorder="1" applyAlignment="1" applyProtection="1">
      <alignment vertical="center"/>
    </xf>
    <xf numFmtId="0" fontId="11" fillId="15" borderId="0" xfId="35" applyFont="1" applyFill="1" applyBorder="1" applyAlignment="1" applyProtection="1">
      <alignment vertical="center"/>
    </xf>
    <xf numFmtId="0" fontId="52" fillId="0" borderId="0" xfId="0" applyFont="1" applyAlignment="1" applyProtection="1">
      <alignment vertical="center"/>
      <protection locked="0"/>
    </xf>
    <xf numFmtId="178" fontId="4" fillId="3" borderId="0" xfId="0" applyNumberFormat="1" applyFont="1" applyFill="1" applyAlignment="1">
      <alignment horizontal="center" vertical="center"/>
    </xf>
    <xf numFmtId="0" fontId="4" fillId="18" borderId="12" xfId="35" applyFont="1" applyFill="1" applyBorder="1" applyAlignment="1" applyProtection="1">
      <alignment vertical="center"/>
    </xf>
    <xf numFmtId="0" fontId="4" fillId="18" borderId="12" xfId="0" applyFont="1" applyFill="1" applyBorder="1" applyAlignment="1" applyProtection="1">
      <alignment vertical="center"/>
      <protection locked="0"/>
    </xf>
    <xf numFmtId="3" fontId="4" fillId="6" borderId="10" xfId="0" applyNumberFormat="1" applyFont="1" applyFill="1" applyBorder="1" applyAlignment="1" applyProtection="1">
      <alignment vertical="center"/>
    </xf>
    <xf numFmtId="173" fontId="37" fillId="15" borderId="3" xfId="0" applyNumberFormat="1" applyFont="1" applyFill="1" applyBorder="1" applyAlignment="1" applyProtection="1">
      <alignment horizontal="center" vertical="center"/>
    </xf>
    <xf numFmtId="0" fontId="37" fillId="15" borderId="0" xfId="0" applyFont="1" applyFill="1" applyBorder="1" applyAlignment="1" applyProtection="1">
      <alignment horizontal="left" vertical="center"/>
    </xf>
    <xf numFmtId="0" fontId="39" fillId="15" borderId="0" xfId="0" applyFont="1" applyFill="1" applyBorder="1" applyAlignment="1" applyProtection="1">
      <alignment horizontal="center" vertical="center"/>
    </xf>
    <xf numFmtId="0" fontId="0" fillId="15" borderId="15" xfId="0" applyFill="1" applyBorder="1" applyAlignment="1" applyProtection="1">
      <alignment vertical="center"/>
    </xf>
    <xf numFmtId="173" fontId="37" fillId="18" borderId="6" xfId="0" applyNumberFormat="1" applyFont="1" applyFill="1" applyBorder="1" applyAlignment="1" applyProtection="1">
      <alignment horizontal="center" vertical="center"/>
    </xf>
    <xf numFmtId="37" fontId="3" fillId="3" borderId="4" xfId="0" applyNumberFormat="1" applyFont="1" applyFill="1" applyBorder="1" applyAlignment="1" applyProtection="1">
      <alignment vertical="center"/>
    </xf>
    <xf numFmtId="173" fontId="37" fillId="15" borderId="2" xfId="0" applyNumberFormat="1" applyFont="1" applyFill="1" applyBorder="1" applyAlignment="1" applyProtection="1">
      <alignment horizontal="center" vertical="center"/>
    </xf>
    <xf numFmtId="173" fontId="37" fillId="18" borderId="2" xfId="0" applyNumberFormat="1" applyFont="1" applyFill="1" applyBorder="1" applyAlignment="1" applyProtection="1">
      <alignment horizontal="center" vertical="center"/>
    </xf>
    <xf numFmtId="0" fontId="37" fillId="15" borderId="4" xfId="0" applyFont="1" applyFill="1" applyBorder="1" applyAlignment="1" applyProtection="1">
      <alignment horizontal="left" vertical="center"/>
    </xf>
    <xf numFmtId="0" fontId="39" fillId="15" borderId="4" xfId="0" applyFont="1" applyFill="1" applyBorder="1" applyAlignment="1" applyProtection="1">
      <alignment horizontal="center" vertical="center"/>
    </xf>
    <xf numFmtId="0" fontId="0" fillId="15" borderId="12" xfId="0" applyFill="1" applyBorder="1" applyAlignment="1" applyProtection="1">
      <alignment vertical="center"/>
    </xf>
    <xf numFmtId="173" fontId="40" fillId="15" borderId="5" xfId="0" applyNumberFormat="1" applyFont="1" applyFill="1" applyBorder="1" applyAlignment="1" applyProtection="1">
      <alignment horizontal="center" vertical="center"/>
    </xf>
    <xf numFmtId="0" fontId="4" fillId="15" borderId="3" xfId="0" applyFont="1" applyFill="1" applyBorder="1" applyAlignment="1" applyProtection="1">
      <alignment vertical="center"/>
    </xf>
    <xf numFmtId="0" fontId="4" fillId="15" borderId="15" xfId="0" applyFont="1" applyFill="1" applyBorder="1" applyAlignment="1" applyProtection="1">
      <alignment vertical="center"/>
    </xf>
    <xf numFmtId="37" fontId="3" fillId="5" borderId="2" xfId="0" applyNumberFormat="1" applyFont="1" applyFill="1" applyBorder="1" applyAlignment="1" applyProtection="1">
      <alignment horizontal="left" vertical="center"/>
    </xf>
    <xf numFmtId="176" fontId="37" fillId="15" borderId="3" xfId="0" applyNumberFormat="1" applyFont="1" applyFill="1" applyBorder="1" applyAlignment="1" applyProtection="1">
      <alignment horizontal="center" vertical="center"/>
    </xf>
    <xf numFmtId="0" fontId="37" fillId="15" borderId="15" xfId="0" applyFont="1" applyFill="1" applyBorder="1" applyAlignment="1" applyProtection="1">
      <alignment vertical="center"/>
    </xf>
    <xf numFmtId="176" fontId="37" fillId="15" borderId="6" xfId="0" applyNumberFormat="1" applyFont="1" applyFill="1" applyBorder="1" applyAlignment="1" applyProtection="1">
      <alignment horizontal="center" vertical="center"/>
    </xf>
    <xf numFmtId="176" fontId="11" fillId="15" borderId="3" xfId="0" applyNumberFormat="1" applyFont="1" applyFill="1" applyBorder="1" applyAlignment="1" applyProtection="1">
      <alignment horizontal="center" vertical="center"/>
    </xf>
    <xf numFmtId="176" fontId="11" fillId="15" borderId="3" xfId="0" applyNumberFormat="1" applyFont="1" applyFill="1" applyBorder="1" applyAlignment="1" applyProtection="1">
      <alignment vertical="center"/>
    </xf>
    <xf numFmtId="0" fontId="11" fillId="15" borderId="0" xfId="0" applyFont="1" applyFill="1" applyBorder="1" applyAlignment="1" applyProtection="1">
      <alignment vertical="center"/>
    </xf>
    <xf numFmtId="176" fontId="11" fillId="15" borderId="6" xfId="0" applyNumberFormat="1" applyFont="1" applyFill="1" applyBorder="1" applyAlignment="1" applyProtection="1">
      <alignment horizontal="center" vertical="center"/>
    </xf>
    <xf numFmtId="176" fontId="11" fillId="18" borderId="6" xfId="0" applyNumberFormat="1" applyFont="1" applyFill="1" applyBorder="1" applyAlignment="1" applyProtection="1">
      <alignment horizontal="center" vertical="center"/>
    </xf>
    <xf numFmtId="0" fontId="11" fillId="18" borderId="4" xfId="0" applyFont="1" applyFill="1" applyBorder="1" applyAlignment="1" applyProtection="1">
      <alignment vertical="center"/>
    </xf>
    <xf numFmtId="0" fontId="4" fillId="18" borderId="12" xfId="0" applyFont="1" applyFill="1" applyBorder="1" applyAlignment="1" applyProtection="1">
      <alignment vertical="center"/>
    </xf>
    <xf numFmtId="0" fontId="4" fillId="18" borderId="12" xfId="0" applyFont="1" applyFill="1" applyBorder="1" applyProtection="1">
      <protection locked="0"/>
    </xf>
    <xf numFmtId="3" fontId="4" fillId="13" borderId="10" xfId="0" applyNumberFormat="1" applyFont="1" applyFill="1" applyBorder="1" applyAlignment="1" applyProtection="1">
      <alignment vertical="center"/>
    </xf>
    <xf numFmtId="0" fontId="4" fillId="3" borderId="12" xfId="0" applyFont="1" applyFill="1" applyBorder="1" applyAlignment="1" applyProtection="1">
      <alignment horizontal="center" vertical="center"/>
    </xf>
    <xf numFmtId="0" fontId="3" fillId="3" borderId="0" xfId="0" applyFont="1" applyFill="1" applyAlignment="1" applyProtection="1">
      <alignment horizontal="right" vertical="center"/>
    </xf>
    <xf numFmtId="0" fontId="4" fillId="15" borderId="0" xfId="26" applyFont="1" applyFill="1"/>
    <xf numFmtId="0" fontId="2" fillId="0" borderId="0" xfId="26"/>
    <xf numFmtId="0" fontId="4" fillId="15" borderId="0" xfId="26" applyFont="1" applyFill="1" applyAlignment="1">
      <alignment vertical="center"/>
    </xf>
    <xf numFmtId="37" fontId="4" fillId="15" borderId="0" xfId="26" applyNumberFormat="1" applyFont="1" applyFill="1" applyAlignment="1">
      <alignment vertical="center"/>
    </xf>
    <xf numFmtId="0" fontId="4" fillId="15" borderId="4" xfId="26" applyFont="1" applyFill="1" applyBorder="1" applyAlignment="1">
      <alignment vertical="center"/>
    </xf>
    <xf numFmtId="0" fontId="4" fillId="15" borderId="0" xfId="26" applyFont="1" applyFill="1" applyAlignment="1">
      <alignment horizontal="center" vertical="center"/>
    </xf>
    <xf numFmtId="0" fontId="5" fillId="15" borderId="0" xfId="26" applyFont="1" applyFill="1" applyAlignment="1">
      <alignment horizontal="center" vertical="center"/>
    </xf>
    <xf numFmtId="176" fontId="4" fillId="15" borderId="0" xfId="26" applyNumberFormat="1" applyFont="1" applyFill="1" applyAlignment="1">
      <alignment vertical="center"/>
    </xf>
    <xf numFmtId="176" fontId="4" fillId="15" borderId="13" xfId="26" applyNumberFormat="1" applyFont="1" applyFill="1" applyBorder="1" applyAlignment="1">
      <alignment vertical="center"/>
    </xf>
    <xf numFmtId="6" fontId="4" fillId="15" borderId="0" xfId="26" applyNumberFormat="1" applyFont="1" applyFill="1" applyBorder="1" applyAlignment="1">
      <alignment horizontal="center" vertical="center"/>
    </xf>
    <xf numFmtId="176" fontId="4" fillId="15" borderId="0" xfId="26" applyNumberFormat="1" applyFont="1" applyFill="1" applyBorder="1" applyAlignment="1">
      <alignment vertical="center"/>
    </xf>
    <xf numFmtId="0" fontId="53" fillId="18" borderId="0" xfId="26" applyFont="1" applyFill="1" applyAlignment="1">
      <alignment vertical="center"/>
    </xf>
    <xf numFmtId="0" fontId="53" fillId="15" borderId="0" xfId="26" applyFont="1" applyFill="1" applyAlignment="1">
      <alignment horizontal="center" vertical="center"/>
    </xf>
    <xf numFmtId="173" fontId="4" fillId="15" borderId="0" xfId="26" applyNumberFormat="1" applyFont="1" applyFill="1" applyAlignment="1">
      <alignment horizontal="center" vertical="center"/>
    </xf>
    <xf numFmtId="179" fontId="53" fillId="15" borderId="0" xfId="26" applyNumberFormat="1" applyFont="1" applyFill="1" applyAlignment="1">
      <alignment horizontal="center" vertical="center"/>
    </xf>
    <xf numFmtId="0" fontId="53" fillId="18" borderId="0" xfId="26" applyFont="1" applyFill="1" applyAlignment="1">
      <alignment horizontal="center" vertical="center"/>
    </xf>
    <xf numFmtId="0" fontId="54" fillId="18" borderId="0" xfId="26" applyFont="1" applyFill="1" applyAlignment="1">
      <alignment horizontal="center" vertical="center"/>
    </xf>
    <xf numFmtId="0" fontId="4" fillId="15" borderId="0" xfId="26" applyFont="1" applyFill="1" applyAlignment="1">
      <alignment horizontal="right" vertical="center"/>
    </xf>
    <xf numFmtId="0" fontId="4" fillId="15" borderId="0" xfId="26" applyFont="1" applyFill="1" applyAlignment="1">
      <alignment horizontal="left" vertical="center"/>
    </xf>
    <xf numFmtId="0" fontId="4" fillId="15" borderId="0" xfId="22" applyFont="1" applyFill="1"/>
    <xf numFmtId="0" fontId="2" fillId="15" borderId="0" xfId="26" applyFill="1"/>
    <xf numFmtId="0" fontId="3" fillId="15" borderId="0" xfId="22" applyFont="1" applyFill="1"/>
    <xf numFmtId="0" fontId="2" fillId="15" borderId="0" xfId="22" applyFill="1"/>
    <xf numFmtId="0" fontId="10" fillId="0" borderId="0" xfId="10" applyAlignment="1" applyProtection="1"/>
    <xf numFmtId="49" fontId="4" fillId="2" borderId="1" xfId="0" applyNumberFormat="1" applyFont="1" applyFill="1" applyBorder="1" applyAlignment="1" applyProtection="1">
      <alignment horizontal="center" vertical="center"/>
      <protection locked="0"/>
    </xf>
    <xf numFmtId="0" fontId="4" fillId="15" borderId="0" xfId="0" applyFont="1" applyFill="1" applyAlignment="1" applyProtection="1">
      <alignment vertical="center"/>
      <protection locked="0"/>
    </xf>
    <xf numFmtId="178" fontId="4" fillId="2" borderId="1" xfId="0" applyNumberFormat="1" applyFont="1" applyFill="1" applyBorder="1" applyAlignment="1" applyProtection="1">
      <alignment vertical="center"/>
      <protection locked="0"/>
    </xf>
    <xf numFmtId="0" fontId="55" fillId="0" borderId="0" xfId="0" applyFont="1"/>
    <xf numFmtId="49" fontId="4" fillId="4" borderId="0" xfId="412" applyNumberFormat="1" applyFont="1" applyFill="1" applyAlignment="1" applyProtection="1">
      <alignment horizontal="left" vertical="center"/>
      <protection locked="0"/>
    </xf>
    <xf numFmtId="49" fontId="4" fillId="0" borderId="0" xfId="412" applyNumberFormat="1" applyFont="1" applyFill="1" applyAlignment="1" applyProtection="1">
      <alignment horizontal="left" vertical="center"/>
      <protection locked="0"/>
    </xf>
    <xf numFmtId="0" fontId="4" fillId="4" borderId="0" xfId="412" applyFont="1" applyFill="1" applyAlignment="1" applyProtection="1">
      <alignment horizontal="left" vertical="center"/>
      <protection locked="0"/>
    </xf>
    <xf numFmtId="0" fontId="30" fillId="4" borderId="0" xfId="412" applyFill="1" applyAlignment="1" applyProtection="1">
      <alignment horizontal="left" vertical="center"/>
      <protection locked="0"/>
    </xf>
    <xf numFmtId="0" fontId="56" fillId="0" borderId="0" xfId="412" applyFont="1"/>
    <xf numFmtId="174" fontId="57" fillId="0" borderId="0" xfId="412" applyNumberFormat="1" applyFont="1" applyAlignment="1">
      <alignment horizontal="left" vertical="center"/>
    </xf>
    <xf numFmtId="0" fontId="57" fillId="0" borderId="0" xfId="412" applyNumberFormat="1" applyFont="1" applyAlignment="1">
      <alignment horizontal="left" vertical="center"/>
    </xf>
    <xf numFmtId="1" fontId="57" fillId="0" borderId="0" xfId="412" applyNumberFormat="1" applyFont="1" applyAlignment="1">
      <alignment horizontal="left" vertical="center"/>
    </xf>
    <xf numFmtId="0" fontId="58" fillId="0" borderId="0" xfId="412" applyFont="1" applyAlignment="1">
      <alignment horizontal="left" vertical="center"/>
    </xf>
    <xf numFmtId="0" fontId="4"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center" vertical="center"/>
    </xf>
    <xf numFmtId="171" fontId="4" fillId="3" borderId="5" xfId="0" applyNumberFormat="1" applyFont="1" applyFill="1" applyBorder="1" applyAlignment="1" applyProtection="1">
      <alignment vertical="center"/>
    </xf>
    <xf numFmtId="178" fontId="4" fillId="2" borderId="9" xfId="0" applyNumberFormat="1" applyFont="1" applyFill="1" applyBorder="1" applyAlignment="1" applyProtection="1">
      <alignment vertical="center"/>
      <protection locked="0"/>
    </xf>
    <xf numFmtId="37" fontId="4" fillId="3" borderId="20" xfId="0" applyNumberFormat="1" applyFont="1" applyFill="1" applyBorder="1" applyAlignment="1" applyProtection="1">
      <alignment horizontal="left" vertical="center"/>
    </xf>
    <xf numFmtId="173" fontId="4" fillId="3" borderId="8" xfId="0" applyNumberFormat="1" applyFont="1" applyFill="1" applyBorder="1" applyAlignment="1" applyProtection="1">
      <alignment horizontal="center" vertical="center"/>
    </xf>
    <xf numFmtId="3" fontId="4" fillId="3" borderId="8" xfId="0" applyNumberFormat="1" applyFont="1" applyFill="1" applyBorder="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fill" vertical="center"/>
      <protection locked="0"/>
    </xf>
    <xf numFmtId="0" fontId="37" fillId="0" borderId="0" xfId="36" applyFont="1" applyFill="1" applyBorder="1" applyAlignment="1" applyProtection="1">
      <alignment vertical="center"/>
    </xf>
    <xf numFmtId="0" fontId="4" fillId="0" borderId="0" xfId="36" applyFont="1" applyFill="1" applyBorder="1" applyAlignment="1" applyProtection="1">
      <alignment vertical="center"/>
      <protection locked="0"/>
    </xf>
    <xf numFmtId="0" fontId="37" fillId="0" borderId="0" xfId="36" applyFont="1" applyFill="1" applyBorder="1" applyAlignment="1" applyProtection="1">
      <alignment vertical="center"/>
      <protection locked="0"/>
    </xf>
    <xf numFmtId="173" fontId="37" fillId="0" borderId="0" xfId="36" applyNumberFormat="1" applyFont="1" applyFill="1" applyBorder="1" applyAlignment="1" applyProtection="1">
      <alignment horizontal="center" vertical="center"/>
      <protection locked="0"/>
    </xf>
    <xf numFmtId="176" fontId="40" fillId="0" borderId="0" xfId="36" applyNumberFormat="1" applyFont="1" applyFill="1" applyBorder="1" applyAlignment="1" applyProtection="1">
      <alignment horizontal="center" vertical="center"/>
      <protection locked="0"/>
    </xf>
    <xf numFmtId="0" fontId="40" fillId="18" borderId="3" xfId="36" applyFont="1" applyFill="1" applyBorder="1" applyAlignment="1" applyProtection="1">
      <alignment vertical="center"/>
      <protection locked="0"/>
    </xf>
    <xf numFmtId="0" fontId="4" fillId="18" borderId="0" xfId="36" applyFont="1" applyFill="1" applyBorder="1" applyAlignment="1" applyProtection="1">
      <alignment vertical="center"/>
      <protection locked="0"/>
    </xf>
    <xf numFmtId="0" fontId="37" fillId="18" borderId="0" xfId="36" applyFont="1" applyFill="1" applyBorder="1" applyAlignment="1" applyProtection="1">
      <alignment vertical="center"/>
      <protection locked="0"/>
    </xf>
    <xf numFmtId="0" fontId="37" fillId="15" borderId="6" xfId="0" applyFont="1" applyFill="1" applyBorder="1" applyAlignment="1" applyProtection="1">
      <alignment vertical="center"/>
      <protection locked="0"/>
    </xf>
    <xf numFmtId="0" fontId="37" fillId="15" borderId="4" xfId="0" applyFont="1" applyFill="1" applyBorder="1" applyAlignment="1" applyProtection="1">
      <alignment vertical="center"/>
      <protection locked="0"/>
    </xf>
    <xf numFmtId="0" fontId="4" fillId="15" borderId="4" xfId="0" applyFont="1" applyFill="1" applyBorder="1" applyAlignment="1" applyProtection="1">
      <alignment vertical="center"/>
      <protection locked="0"/>
    </xf>
    <xf numFmtId="0" fontId="52" fillId="0" borderId="0" xfId="0" applyFont="1" applyProtection="1">
      <protection locked="0"/>
    </xf>
    <xf numFmtId="0" fontId="43" fillId="0" borderId="0" xfId="0" applyFont="1" applyAlignment="1" applyProtection="1">
      <alignment vertical="center"/>
    </xf>
    <xf numFmtId="0" fontId="4" fillId="15" borderId="15" xfId="0" applyFont="1" applyFill="1" applyBorder="1" applyProtection="1">
      <protection locked="0"/>
    </xf>
    <xf numFmtId="0" fontId="4" fillId="15" borderId="15" xfId="0" applyFont="1" applyFill="1" applyBorder="1" applyAlignment="1" applyProtection="1">
      <alignment vertical="center"/>
      <protection locked="0"/>
    </xf>
    <xf numFmtId="176" fontId="37" fillId="15" borderId="3" xfId="0" applyNumberFormat="1" applyFont="1" applyFill="1" applyBorder="1" applyAlignment="1" applyProtection="1">
      <alignment vertical="center"/>
    </xf>
    <xf numFmtId="176" fontId="37" fillId="18" borderId="6" xfId="0" applyNumberFormat="1" applyFont="1" applyFill="1" applyBorder="1" applyAlignment="1" applyProtection="1">
      <alignment horizontal="center" vertical="center"/>
    </xf>
    <xf numFmtId="0" fontId="37" fillId="18" borderId="4" xfId="0" applyFont="1" applyFill="1" applyBorder="1" applyAlignment="1" applyProtection="1">
      <alignment vertical="center"/>
    </xf>
    <xf numFmtId="0" fontId="37" fillId="18" borderId="12" xfId="0" applyFont="1" applyFill="1" applyBorder="1" applyAlignment="1" applyProtection="1">
      <alignment vertical="center"/>
    </xf>
    <xf numFmtId="0" fontId="52" fillId="0" borderId="0" xfId="0" applyFont="1"/>
    <xf numFmtId="0" fontId="4" fillId="0" borderId="0" xfId="73" applyFont="1" applyAlignment="1">
      <alignment vertical="center"/>
    </xf>
    <xf numFmtId="0" fontId="4" fillId="0" borderId="0" xfId="21" applyFont="1" applyAlignment="1">
      <alignment vertical="center" wrapText="1"/>
    </xf>
    <xf numFmtId="0" fontId="4" fillId="0" borderId="0" xfId="40" applyFont="1" applyAlignment="1">
      <alignment vertical="center" wrapText="1"/>
    </xf>
    <xf numFmtId="0" fontId="4" fillId="0" borderId="0" xfId="350" applyFont="1" applyAlignment="1">
      <alignment vertical="center" wrapText="1"/>
    </xf>
    <xf numFmtId="0" fontId="4" fillId="0" borderId="0" xfId="379" applyNumberFormat="1" applyFont="1" applyAlignment="1">
      <alignment vertical="center" wrapText="1"/>
    </xf>
    <xf numFmtId="0" fontId="4" fillId="0" borderId="0" xfId="29" applyFont="1" applyAlignment="1">
      <alignment vertical="center" wrapText="1"/>
    </xf>
    <xf numFmtId="0" fontId="4" fillId="0" borderId="0" xfId="62" applyFont="1" applyAlignment="1">
      <alignment vertical="center" wrapText="1"/>
    </xf>
    <xf numFmtId="0" fontId="4" fillId="0" borderId="0" xfId="69" applyFont="1" applyAlignment="1">
      <alignment vertical="center" wrapText="1"/>
    </xf>
    <xf numFmtId="0" fontId="44" fillId="0" borderId="0" xfId="0" applyFont="1" applyAlignment="1" applyProtection="1">
      <alignment vertical="center"/>
    </xf>
    <xf numFmtId="0" fontId="37" fillId="15" borderId="0" xfId="35" applyFont="1" applyFill="1" applyBorder="1" applyAlignment="1" applyProtection="1">
      <alignment vertical="center"/>
    </xf>
    <xf numFmtId="0" fontId="37" fillId="18" borderId="4" xfId="35" applyFont="1" applyFill="1" applyBorder="1" applyAlignment="1" applyProtection="1">
      <alignment vertical="center"/>
    </xf>
    <xf numFmtId="0" fontId="37" fillId="15" borderId="0" xfId="35" applyFont="1" applyFill="1" applyBorder="1" applyAlignment="1" applyProtection="1">
      <alignment horizontal="left" vertical="center"/>
    </xf>
    <xf numFmtId="176" fontId="37" fillId="15" borderId="3" xfId="35" applyNumberFormat="1" applyFont="1" applyFill="1" applyBorder="1" applyAlignment="1" applyProtection="1">
      <alignment horizontal="center" vertical="center"/>
    </xf>
    <xf numFmtId="176" fontId="37" fillId="15" borderId="6" xfId="35" applyNumberFormat="1" applyFont="1" applyFill="1" applyBorder="1" applyAlignment="1" applyProtection="1">
      <alignment horizontal="center" vertical="center"/>
    </xf>
    <xf numFmtId="176" fontId="37" fillId="15" borderId="3" xfId="35" applyNumberFormat="1" applyFont="1" applyFill="1" applyBorder="1" applyAlignment="1" applyProtection="1">
      <alignment vertical="center"/>
    </xf>
    <xf numFmtId="176" fontId="37" fillId="18" borderId="6" xfId="35" applyNumberFormat="1" applyFont="1" applyFill="1" applyBorder="1" applyAlignment="1" applyProtection="1">
      <alignment horizontal="center" vertical="center"/>
    </xf>
    <xf numFmtId="0" fontId="4" fillId="0" borderId="0" xfId="19" applyFont="1" applyAlignment="1">
      <alignment vertical="center" wrapText="1"/>
    </xf>
    <xf numFmtId="0" fontId="10" fillId="19" borderId="0" xfId="10" applyFill="1" applyAlignment="1" applyProtection="1"/>
    <xf numFmtId="0" fontId="46" fillId="19" borderId="0" xfId="334" applyFill="1"/>
    <xf numFmtId="0" fontId="4" fillId="0" borderId="0" xfId="103" applyFont="1" applyAlignment="1">
      <alignment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0" fontId="59" fillId="15" borderId="5" xfId="0" applyFont="1" applyFill="1" applyBorder="1" applyAlignment="1">
      <alignment horizontal="center" vertical="center"/>
    </xf>
    <xf numFmtId="0" fontId="3" fillId="15" borderId="7" xfId="0" applyFont="1" applyFill="1" applyBorder="1" applyAlignment="1">
      <alignment horizontal="centerContinuous" vertical="center"/>
    </xf>
    <xf numFmtId="0" fontId="40" fillId="15" borderId="2" xfId="0" applyFont="1" applyFill="1" applyBorder="1" applyAlignment="1">
      <alignment horizontal="centerContinuous"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left" vertical="center"/>
    </xf>
    <xf numFmtId="0" fontId="0" fillId="0" borderId="0" xfId="0" applyAlignment="1">
      <alignment horizontal="left"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9" borderId="13" xfId="0" applyFont="1" applyFill="1" applyBorder="1" applyAlignment="1">
      <alignment vertical="center" wrapText="1"/>
    </xf>
    <xf numFmtId="0" fontId="0" fillId="0" borderId="13" xfId="0" applyBorder="1" applyAlignment="1">
      <alignment vertical="center" wrapText="1"/>
    </xf>
    <xf numFmtId="0" fontId="3" fillId="8" borderId="0" xfId="0" applyFont="1" applyFill="1" applyBorder="1" applyAlignment="1">
      <alignment horizontal="center" vertical="center"/>
    </xf>
    <xf numFmtId="0" fontId="1" fillId="8" borderId="0" xfId="0" applyFont="1" applyFill="1" applyBorder="1" applyAlignment="1">
      <alignment horizontal="center" vertical="center"/>
    </xf>
    <xf numFmtId="37" fontId="4" fillId="3" borderId="4" xfId="0" applyNumberFormat="1" applyFont="1" applyFill="1" applyBorder="1" applyAlignment="1" applyProtection="1">
      <alignment horizontal="left" vertical="center"/>
    </xf>
    <xf numFmtId="0" fontId="0" fillId="0" borderId="4" xfId="0" applyBorder="1" applyAlignment="1">
      <alignment vertical="center"/>
    </xf>
    <xf numFmtId="0" fontId="0" fillId="0" borderId="12" xfId="0" applyBorder="1" applyAlignment="1">
      <alignment vertical="center"/>
    </xf>
    <xf numFmtId="0" fontId="4" fillId="0" borderId="0" xfId="412" applyFont="1" applyAlignment="1">
      <alignment horizontal="left" vertical="center" wrapText="1"/>
    </xf>
    <xf numFmtId="0" fontId="30" fillId="0" borderId="0" xfId="412" applyAlignment="1">
      <alignment horizontal="left" vertical="center" wrapText="1"/>
    </xf>
    <xf numFmtId="0" fontId="12" fillId="0" borderId="0" xfId="412" applyFont="1" applyAlignment="1">
      <alignment horizontal="left" vertical="center"/>
    </xf>
    <xf numFmtId="37" fontId="12" fillId="3" borderId="0" xfId="0" applyNumberFormat="1" applyFont="1" applyFill="1" applyAlignment="1" applyProtection="1">
      <alignment horizontal="center" vertical="center"/>
    </xf>
    <xf numFmtId="0" fontId="21"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8" borderId="8" xfId="0" applyFont="1" applyFill="1" applyBorder="1" applyAlignment="1" applyProtection="1">
      <alignment horizontal="center" vertical="center" wrapText="1" shrinkToFit="1"/>
    </xf>
    <xf numFmtId="0" fontId="0" fillId="0" borderId="9" xfId="0" applyBorder="1" applyAlignment="1" applyProtection="1">
      <alignment horizontal="center" vertical="center" wrapText="1"/>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3" fillId="3" borderId="0" xfId="0" applyNumberFormat="1" applyFont="1" applyFill="1" applyAlignment="1" applyProtection="1">
      <alignment horizontal="center" vertical="center"/>
    </xf>
    <xf numFmtId="37" fontId="4" fillId="3" borderId="2"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3" fillId="3" borderId="0" xfId="0" applyFont="1" applyFill="1" applyAlignment="1" applyProtection="1">
      <alignment horizontal="center" vertical="center"/>
    </xf>
    <xf numFmtId="0" fontId="4" fillId="3" borderId="6" xfId="0" applyFont="1" applyFill="1" applyBorder="1" applyAlignment="1" applyProtection="1">
      <alignment horizontal="center" vertical="center"/>
    </xf>
    <xf numFmtId="0" fontId="0" fillId="0" borderId="12" xfId="0" applyBorder="1" applyAlignment="1" applyProtection="1">
      <alignment vertical="center"/>
    </xf>
    <xf numFmtId="1" fontId="4" fillId="3" borderId="6" xfId="0" applyNumberFormat="1" applyFont="1" applyFill="1" applyBorder="1" applyAlignment="1" applyProtection="1">
      <alignment horizontal="center" vertical="center"/>
    </xf>
    <xf numFmtId="0" fontId="0" fillId="0" borderId="12" xfId="0" applyBorder="1" applyAlignment="1" applyProtection="1">
      <alignment horizontal="center" vertical="center"/>
    </xf>
    <xf numFmtId="0" fontId="12" fillId="15" borderId="0" xfId="429" applyFont="1" applyFill="1" applyAlignment="1">
      <alignment horizontal="center"/>
    </xf>
    <xf numFmtId="0" fontId="2" fillId="15" borderId="0" xfId="26" applyFill="1" applyAlignment="1">
      <alignment horizontal="center"/>
    </xf>
    <xf numFmtId="0" fontId="3" fillId="15" borderId="0" xfId="26" applyFont="1" applyFill="1" applyAlignment="1">
      <alignment horizontal="center" vertical="center"/>
    </xf>
    <xf numFmtId="0" fontId="12" fillId="15" borderId="0" xfId="26" applyFont="1" applyFill="1" applyAlignment="1">
      <alignment horizontal="center" vertical="center"/>
    </xf>
    <xf numFmtId="0" fontId="4" fillId="15" borderId="0" xfId="26" applyFont="1" applyFill="1" applyAlignment="1">
      <alignment vertical="center" wrapText="1"/>
    </xf>
    <xf numFmtId="173" fontId="39" fillId="15" borderId="18" xfId="0" applyNumberFormat="1" applyFont="1" applyFill="1" applyBorder="1" applyAlignment="1" applyProtection="1">
      <alignment horizontal="center"/>
    </xf>
    <xf numFmtId="0" fontId="14" fillId="0" borderId="13" xfId="0" applyFont="1" applyBorder="1" applyAlignment="1"/>
    <xf numFmtId="0" fontId="14" fillId="0" borderId="16" xfId="0" applyFont="1" applyBorder="1" applyAlignment="1"/>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3" fontId="4" fillId="3" borderId="13" xfId="39" applyNumberFormat="1" applyFont="1" applyFill="1" applyBorder="1" applyAlignment="1" applyProtection="1">
      <alignment horizontal="right" vertical="center"/>
    </xf>
    <xf numFmtId="0" fontId="2" fillId="0" borderId="16" xfId="39" applyBorder="1" applyAlignment="1">
      <alignment horizontal="right" vertical="center"/>
    </xf>
    <xf numFmtId="0" fontId="4" fillId="3" borderId="0" xfId="39" applyFont="1" applyFill="1" applyAlignment="1" applyProtection="1">
      <alignment horizontal="right" vertical="center"/>
    </xf>
    <xf numFmtId="0" fontId="4" fillId="0" borderId="15" xfId="39" applyFont="1" applyBorder="1" applyAlignment="1">
      <alignment horizontal="right" vertical="center"/>
    </xf>
    <xf numFmtId="0" fontId="39" fillId="15" borderId="18" xfId="36" applyFont="1" applyFill="1" applyBorder="1" applyAlignment="1" applyProtection="1">
      <alignment horizontal="center" vertical="center"/>
    </xf>
    <xf numFmtId="0" fontId="39" fillId="15" borderId="13" xfId="36" applyFont="1" applyFill="1" applyBorder="1" applyAlignment="1" applyProtection="1">
      <alignment horizontal="center" vertical="center"/>
    </xf>
    <xf numFmtId="0" fontId="2" fillId="0" borderId="16" xfId="36" applyBorder="1" applyAlignment="1" applyProtection="1">
      <alignment vertical="center"/>
    </xf>
    <xf numFmtId="0" fontId="0" fillId="0" borderId="13" xfId="0" applyBorder="1" applyAlignment="1">
      <alignment vertical="center"/>
    </xf>
    <xf numFmtId="0" fontId="0" fillId="0" borderId="16" xfId="0" applyBorder="1" applyAlignment="1">
      <alignment vertical="center"/>
    </xf>
    <xf numFmtId="0" fontId="39" fillId="15" borderId="18" xfId="0" applyFont="1" applyFill="1" applyBorder="1" applyAlignment="1" applyProtection="1">
      <alignment horizontal="center" vertical="center"/>
    </xf>
    <xf numFmtId="0" fontId="38" fillId="15" borderId="18" xfId="35" applyFont="1" applyFill="1" applyBorder="1" applyAlignment="1" applyProtection="1">
      <alignment horizontal="center" vertical="center"/>
    </xf>
    <xf numFmtId="0" fontId="0" fillId="0" borderId="13" xfId="0" applyBorder="1" applyAlignment="1">
      <alignment horizontal="center" vertical="center"/>
    </xf>
    <xf numFmtId="0" fontId="41" fillId="0" borderId="13" xfId="0" applyFont="1" applyBorder="1" applyAlignment="1">
      <alignment horizontal="center" vertical="center"/>
    </xf>
    <xf numFmtId="0" fontId="0" fillId="0" borderId="16" xfId="0" applyBorder="1" applyAlignment="1"/>
    <xf numFmtId="0" fontId="0" fillId="0" borderId="0" xfId="0" applyBorder="1" applyAlignment="1">
      <alignment horizontal="righ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12" fillId="15" borderId="18" xfId="36" applyFont="1" applyFill="1" applyBorder="1" applyAlignment="1" applyProtection="1">
      <alignment horizontal="center"/>
    </xf>
    <xf numFmtId="0" fontId="12" fillId="15" borderId="13" xfId="36" applyFont="1" applyFill="1" applyBorder="1" applyAlignment="1" applyProtection="1">
      <alignment horizontal="center"/>
    </xf>
    <xf numFmtId="0" fontId="12" fillId="15" borderId="16" xfId="36" applyFont="1" applyFill="1" applyBorder="1" applyAlignment="1" applyProtection="1">
      <alignment horizontal="center"/>
    </xf>
    <xf numFmtId="0" fontId="2" fillId="0" borderId="13" xfId="36" applyBorder="1" applyAlignment="1" applyProtection="1">
      <alignment horizontal="center"/>
    </xf>
    <xf numFmtId="0" fontId="2" fillId="0" borderId="16" xfId="36" applyBorder="1" applyAlignment="1" applyProtection="1">
      <alignment horizontal="center"/>
    </xf>
    <xf numFmtId="0" fontId="0" fillId="0" borderId="13" xfId="0" applyBorder="1" applyAlignment="1">
      <alignment horizontal="center"/>
    </xf>
    <xf numFmtId="0" fontId="0" fillId="0" borderId="16" xfId="0" applyBorder="1" applyAlignment="1">
      <alignment horizontal="center"/>
    </xf>
    <xf numFmtId="37" fontId="4"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0" fontId="3" fillId="3" borderId="4" xfId="0" applyNumberFormat="1" applyFont="1" applyFill="1" applyBorder="1" applyAlignment="1" applyProtection="1">
      <alignment horizontal="center" vertical="center"/>
    </xf>
    <xf numFmtId="37" fontId="4" fillId="15"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3" borderId="0" xfId="0" applyFont="1" applyFill="1" applyAlignment="1">
      <alignment horizontal="right"/>
    </xf>
    <xf numFmtId="0" fontId="0" fillId="0" borderId="0" xfId="0" applyAlignment="1">
      <alignment horizontal="right"/>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37" fontId="3" fillId="3" borderId="35" xfId="0" applyNumberFormat="1" applyFont="1" applyFill="1" applyBorder="1" applyAlignment="1" applyProtection="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4" fillId="3" borderId="2" xfId="0" applyFont="1" applyFill="1" applyBorder="1" applyAlignment="1" applyProtection="1">
      <alignment horizontal="right"/>
    </xf>
    <xf numFmtId="0" fontId="4" fillId="3" borderId="7" xfId="0" applyFont="1" applyFill="1" applyBorder="1" applyAlignment="1" applyProtection="1">
      <alignment horizontal="right"/>
    </xf>
    <xf numFmtId="0" fontId="4" fillId="3" borderId="2" xfId="0" applyFont="1" applyFill="1" applyBorder="1" applyAlignment="1" applyProtection="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3" fontId="4" fillId="6" borderId="2" xfId="0" applyNumberFormat="1" applyFont="1" applyFill="1" applyBorder="1" applyAlignment="1" applyProtection="1">
      <alignment horizontal="center" vertical="center"/>
    </xf>
    <xf numFmtId="3" fontId="4" fillId="6" borderId="5" xfId="0" applyNumberFormat="1" applyFont="1" applyFill="1" applyBorder="1" applyAlignment="1" applyProtection="1">
      <alignment horizontal="center" vertical="center"/>
    </xf>
    <xf numFmtId="0" fontId="3" fillId="3" borderId="0" xfId="0" applyFont="1" applyFill="1" applyAlignment="1" applyProtection="1">
      <alignment horizontal="center"/>
    </xf>
    <xf numFmtId="0" fontId="0" fillId="0" borderId="0" xfId="0" applyAlignment="1"/>
    <xf numFmtId="0" fontId="0" fillId="0" borderId="0" xfId="0" applyAlignment="1" applyProtection="1"/>
    <xf numFmtId="0" fontId="4" fillId="3" borderId="0" xfId="0" applyFont="1" applyFill="1" applyAlignment="1" applyProtection="1">
      <alignment horizontal="right"/>
    </xf>
    <xf numFmtId="0" fontId="3" fillId="3" borderId="0" xfId="99" applyFont="1" applyFill="1" applyAlignment="1" applyProtection="1">
      <alignment horizontal="center" vertical="center"/>
    </xf>
    <xf numFmtId="0" fontId="20" fillId="0" borderId="0" xfId="99" applyAlignment="1" applyProtection="1">
      <alignment vertical="center"/>
    </xf>
    <xf numFmtId="0" fontId="20" fillId="0" borderId="0" xfId="99" applyAlignment="1">
      <alignment vertical="center"/>
    </xf>
    <xf numFmtId="0" fontId="4" fillId="3" borderId="0" xfId="99" applyFont="1" applyFill="1" applyAlignment="1" applyProtection="1">
      <alignment horizontal="right" vertical="center"/>
    </xf>
    <xf numFmtId="0" fontId="20" fillId="0" borderId="0" xfId="99" applyAlignment="1">
      <alignment horizontal="right" vertical="center"/>
    </xf>
    <xf numFmtId="0" fontId="4" fillId="3" borderId="0" xfId="99" applyFont="1" applyFill="1" applyAlignment="1">
      <alignment horizontal="right" vertical="center"/>
    </xf>
    <xf numFmtId="0" fontId="4" fillId="3" borderId="2" xfId="99" applyFont="1" applyFill="1" applyBorder="1" applyAlignment="1" applyProtection="1">
      <alignment horizontal="left" vertical="center"/>
    </xf>
    <xf numFmtId="0" fontId="20" fillId="0" borderId="7" xfId="99" applyFont="1" applyBorder="1" applyAlignment="1" applyProtection="1">
      <alignment horizontal="left" vertical="center"/>
    </xf>
    <xf numFmtId="0" fontId="20" fillId="0" borderId="5" xfId="99" applyFont="1" applyBorder="1" applyAlignment="1" applyProtection="1">
      <alignment horizontal="left" vertical="center"/>
    </xf>
    <xf numFmtId="0" fontId="4" fillId="3" borderId="2" xfId="99" applyFont="1" applyFill="1" applyBorder="1" applyAlignment="1" applyProtection="1">
      <alignment vertical="center"/>
    </xf>
    <xf numFmtId="0" fontId="20" fillId="0" borderId="7" xfId="99" applyBorder="1" applyAlignment="1" applyProtection="1">
      <alignment vertical="center"/>
    </xf>
    <xf numFmtId="0" fontId="20" fillId="0" borderId="5" xfId="99" applyBorder="1" applyAlignment="1" applyProtection="1">
      <alignment vertical="center"/>
    </xf>
    <xf numFmtId="0" fontId="3" fillId="3" borderId="35" xfId="99" applyFont="1" applyFill="1" applyBorder="1" applyAlignment="1" applyProtection="1">
      <alignment horizontal="center" vertical="center"/>
    </xf>
    <xf numFmtId="0" fontId="3" fillId="3" borderId="36" xfId="99" applyFont="1" applyFill="1" applyBorder="1" applyAlignment="1" applyProtection="1">
      <alignment horizontal="center" vertical="center"/>
    </xf>
    <xf numFmtId="0" fontId="3" fillId="3" borderId="37" xfId="99" applyFont="1" applyFill="1" applyBorder="1" applyAlignment="1" applyProtection="1">
      <alignment horizontal="center" vertical="center"/>
    </xf>
    <xf numFmtId="37" fontId="3" fillId="3" borderId="35" xfId="99" applyNumberFormat="1" applyFont="1" applyFill="1" applyBorder="1" applyAlignment="1" applyProtection="1">
      <alignment horizontal="center" vertical="center"/>
    </xf>
    <xf numFmtId="0" fontId="21" fillId="0" borderId="36" xfId="99" applyFont="1" applyBorder="1" applyAlignment="1">
      <alignment horizontal="center" vertical="center"/>
    </xf>
    <xf numFmtId="0" fontId="21" fillId="0" borderId="37" xfId="99" applyFont="1" applyBorder="1" applyAlignment="1">
      <alignment horizontal="center" vertical="center"/>
    </xf>
    <xf numFmtId="37" fontId="3" fillId="3" borderId="2" xfId="99" applyNumberFormat="1" applyFont="1" applyFill="1" applyBorder="1" applyAlignment="1" applyProtection="1">
      <alignment horizontal="center" vertical="center"/>
    </xf>
    <xf numFmtId="0" fontId="21" fillId="0" borderId="7" xfId="99" applyFont="1" applyBorder="1" applyAlignment="1">
      <alignment horizontal="center" vertical="center"/>
    </xf>
    <xf numFmtId="0" fontId="21" fillId="0" borderId="5" xfId="99" applyFont="1" applyBorder="1" applyAlignment="1">
      <alignment horizontal="center" vertical="center"/>
    </xf>
    <xf numFmtId="0" fontId="19" fillId="3" borderId="0" xfId="99" applyFont="1" applyFill="1" applyAlignment="1" applyProtection="1">
      <alignment horizontal="center" vertical="center"/>
    </xf>
    <xf numFmtId="0" fontId="22" fillId="0" borderId="0" xfId="99" applyFont="1" applyAlignment="1">
      <alignment horizontal="center" vertical="center"/>
    </xf>
    <xf numFmtId="0" fontId="22" fillId="0" borderId="0" xfId="99" applyFont="1" applyAlignment="1">
      <alignmen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171" fontId="33" fillId="16" borderId="4" xfId="0" applyNumberFormat="1" applyFont="1" applyFill="1" applyBorder="1" applyAlignment="1" applyProtection="1">
      <alignment horizontal="center"/>
      <protection locked="0"/>
    </xf>
    <xf numFmtId="177" fontId="33" fillId="15" borderId="0" xfId="0" applyNumberFormat="1" applyFont="1" applyFill="1" applyBorder="1" applyAlignment="1">
      <alignment horizontal="center"/>
    </xf>
    <xf numFmtId="177" fontId="33" fillId="0" borderId="27" xfId="0" applyNumberFormat="1" applyFont="1" applyBorder="1" applyAlignment="1">
      <alignment horizontal="center"/>
    </xf>
    <xf numFmtId="0" fontId="48" fillId="15" borderId="0" xfId="0" applyFont="1" applyFill="1" applyAlignment="1">
      <alignment horizontal="center" wrapText="1"/>
    </xf>
    <xf numFmtId="0" fontId="33" fillId="15" borderId="0" xfId="0" applyFont="1" applyFill="1" applyAlignment="1">
      <alignment wrapText="1"/>
    </xf>
    <xf numFmtId="0" fontId="33" fillId="15" borderId="0" xfId="0" applyFont="1" applyFill="1" applyBorder="1" applyAlignment="1">
      <alignment horizontal="center"/>
    </xf>
    <xf numFmtId="176" fontId="33" fillId="16" borderId="4" xfId="0" applyNumberFormat="1" applyFont="1" applyFill="1" applyBorder="1" applyAlignment="1" applyProtection="1">
      <alignment horizontal="center"/>
      <protection locked="0"/>
    </xf>
    <xf numFmtId="176" fontId="33" fillId="15" borderId="0" xfId="0" applyNumberFormat="1" applyFont="1" applyFill="1" applyBorder="1" applyAlignment="1">
      <alignment horizontal="center"/>
    </xf>
    <xf numFmtId="0" fontId="33" fillId="15" borderId="13" xfId="0" applyFont="1" applyFill="1" applyBorder="1" applyAlignment="1">
      <alignment horizontal="center"/>
    </xf>
    <xf numFmtId="0" fontId="33" fillId="15" borderId="31" xfId="0" applyFont="1" applyFill="1" applyBorder="1" applyAlignment="1">
      <alignment vertical="top" wrapText="1"/>
    </xf>
    <xf numFmtId="0" fontId="33" fillId="0" borderId="0" xfId="0" applyFont="1" applyAlignment="1">
      <alignment vertical="top" wrapText="1"/>
    </xf>
    <xf numFmtId="0" fontId="33" fillId="0" borderId="27" xfId="0" applyFont="1" applyBorder="1" applyAlignment="1">
      <alignment vertical="top" wrapText="1"/>
    </xf>
    <xf numFmtId="0" fontId="33" fillId="0" borderId="27" xfId="0" applyFont="1" applyBorder="1" applyAlignment="1">
      <alignment horizontal="center"/>
    </xf>
    <xf numFmtId="5" fontId="33" fillId="15" borderId="4" xfId="0" applyNumberFormat="1" applyFont="1" applyFill="1" applyBorder="1" applyAlignment="1">
      <alignment horizontal="center"/>
    </xf>
    <xf numFmtId="0" fontId="48" fillId="15" borderId="24" xfId="0" applyFont="1" applyFill="1" applyBorder="1" applyAlignment="1">
      <alignment horizontal="center" vertical="center"/>
    </xf>
    <xf numFmtId="0" fontId="33" fillId="0" borderId="24" xfId="0" applyFont="1" applyBorder="1" applyAlignment="1">
      <alignment horizontal="center" vertical="center"/>
    </xf>
    <xf numFmtId="0" fontId="48" fillId="15" borderId="0" xfId="0" applyFont="1" applyFill="1" applyBorder="1" applyAlignment="1">
      <alignment horizontal="center" wrapText="1"/>
    </xf>
    <xf numFmtId="0" fontId="33" fillId="0" borderId="0" xfId="0" applyFont="1" applyAlignment="1">
      <alignment horizontal="center" wrapText="1"/>
    </xf>
    <xf numFmtId="0" fontId="48" fillId="0" borderId="0" xfId="0" applyFont="1" applyAlignment="1">
      <alignment horizontal="center" wrapText="1"/>
    </xf>
    <xf numFmtId="0" fontId="33" fillId="15" borderId="0" xfId="0" applyFont="1" applyFill="1" applyBorder="1" applyAlignment="1">
      <alignment wrapText="1"/>
    </xf>
    <xf numFmtId="0" fontId="33" fillId="0" borderId="0" xfId="0" applyFont="1" applyAlignment="1">
      <alignment wrapText="1"/>
    </xf>
    <xf numFmtId="176" fontId="33" fillId="15" borderId="0" xfId="0" applyNumberFormat="1" applyFont="1" applyFill="1" applyAlignment="1"/>
    <xf numFmtId="0" fontId="48" fillId="15" borderId="0" xfId="0" applyFont="1" applyFill="1" applyAlignment="1">
      <alignment horizontal="center"/>
    </xf>
    <xf numFmtId="176" fontId="33" fillId="15" borderId="0" xfId="0" applyNumberFormat="1" applyFont="1" applyFill="1" applyAlignment="1">
      <alignment horizontal="center"/>
    </xf>
    <xf numFmtId="176" fontId="33" fillId="16" borderId="26" xfId="0" applyNumberFormat="1" applyFont="1" applyFill="1" applyBorder="1" applyAlignment="1" applyProtection="1">
      <alignment horizontal="center"/>
      <protection locked="0"/>
    </xf>
    <xf numFmtId="0" fontId="33" fillId="15" borderId="0" xfId="0" applyFont="1" applyFill="1" applyBorder="1" applyAlignment="1"/>
    <xf numFmtId="0" fontId="33" fillId="0" borderId="0" xfId="0" applyFont="1" applyBorder="1" applyAlignment="1"/>
    <xf numFmtId="0" fontId="33" fillId="15" borderId="29" xfId="0" applyFont="1" applyFill="1" applyBorder="1" applyAlignment="1"/>
    <xf numFmtId="0" fontId="33" fillId="15" borderId="30" xfId="0" applyFont="1" applyFill="1" applyBorder="1" applyAlignment="1"/>
    <xf numFmtId="0" fontId="48" fillId="15" borderId="0" xfId="0" applyFont="1" applyFill="1" applyAlignment="1">
      <alignment horizontal="center" vertical="center"/>
    </xf>
    <xf numFmtId="0" fontId="48" fillId="0" borderId="0" xfId="0" applyFont="1" applyAlignment="1">
      <alignment horizontal="center" vertical="center"/>
    </xf>
  </cellXfs>
  <cellStyles count="440">
    <cellStyle name="Comma" xfId="1" builtinId="3"/>
    <cellStyle name="Comma 11 2" xfId="2"/>
    <cellStyle name="Comma 16" xfId="3"/>
    <cellStyle name="Comma 16 2" xfId="4"/>
    <cellStyle name="Comma 16 3" xfId="5"/>
    <cellStyle name="Comma 2 2" xfId="6"/>
    <cellStyle name="Comma 4 2" xfId="7"/>
    <cellStyle name="Comma 7 2" xfId="8"/>
    <cellStyle name="Comma 7 3" xfId="9"/>
    <cellStyle name="Hyperlink" xfId="10" builtinId="8"/>
    <cellStyle name="Hyperlink 2 2" xfId="11"/>
    <cellStyle name="Hyperlink 3 2" xfId="12"/>
    <cellStyle name="Hyperlink 3 3" xfId="13"/>
    <cellStyle name="Hyperlink 4 2" xfId="14"/>
    <cellStyle name="Hyperlink 7" xfId="15"/>
    <cellStyle name="Hyperlink 7 2" xfId="16"/>
    <cellStyle name="Hyperlink 8" xfId="17"/>
    <cellStyle name="Hyperlink 8 2" xfId="18"/>
    <cellStyle name="Normal" xfId="0" builtinId="0"/>
    <cellStyle name="Normal 10" xfId="19"/>
    <cellStyle name="Normal 10 2" xfId="20"/>
    <cellStyle name="Normal 10 2 2" xfId="21"/>
    <cellStyle name="Normal 10 2 2 2" xfId="22"/>
    <cellStyle name="Normal 10 2 2 3" xfId="23"/>
    <cellStyle name="Normal 10 3" xfId="24"/>
    <cellStyle name="Normal 10 4" xfId="25"/>
    <cellStyle name="Normal 10 5" xfId="26"/>
    <cellStyle name="Normal 10 6" xfId="27"/>
    <cellStyle name="Normal 10 7" xfId="28"/>
    <cellStyle name="Normal 11" xfId="29"/>
    <cellStyle name="Normal 11 2" xfId="30"/>
    <cellStyle name="Normal 11 2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xfId="76"/>
    <cellStyle name="Normal 17 2" xfId="77"/>
    <cellStyle name="Normal 17 3" xfId="78"/>
    <cellStyle name="Normal 17 4" xfId="79"/>
    <cellStyle name="Normal 18" xfId="80"/>
    <cellStyle name="Normal 18 2" xfId="81"/>
    <cellStyle name="Normal 18 2 2" xfId="82"/>
    <cellStyle name="Normal 18 2 3" xfId="83"/>
    <cellStyle name="Normal 18 3" xfId="84"/>
    <cellStyle name="Normal 18 4" xfId="85"/>
    <cellStyle name="Normal 18 5" xfId="86"/>
    <cellStyle name="Normal 18 6" xfId="87"/>
    <cellStyle name="Normal 18 7" xfId="88"/>
    <cellStyle name="Normal 18 8" xfId="89"/>
    <cellStyle name="Normal 19" xfId="90"/>
    <cellStyle name="Normal 19 2" xfId="91"/>
    <cellStyle name="Normal 19 2 2" xfId="92"/>
    <cellStyle name="Normal 19 2 3" xfId="93"/>
    <cellStyle name="Normal 19 3" xfId="94"/>
    <cellStyle name="Normal 19 4" xfId="95"/>
    <cellStyle name="Normal 19 5" xfId="96"/>
    <cellStyle name="Normal 19 6" xfId="97"/>
    <cellStyle name="Normal 19 7" xfId="98"/>
    <cellStyle name="Normal 2" xfId="99"/>
    <cellStyle name="Normal 2 10" xfId="100"/>
    <cellStyle name="Normal 2 10 10" xfId="101"/>
    <cellStyle name="Normal 2 10 11" xfId="102"/>
    <cellStyle name="Normal 2 10 2" xfId="103"/>
    <cellStyle name="Normal 2 10 2 2" xfId="104"/>
    <cellStyle name="Normal 2 10 3" xfId="105"/>
    <cellStyle name="Normal 2 10 3 2" xfId="106"/>
    <cellStyle name="Normal 2 10 4" xfId="107"/>
    <cellStyle name="Normal 2 10 4 2" xfId="108"/>
    <cellStyle name="Normal 2 10 5" xfId="109"/>
    <cellStyle name="Normal 2 10 5 2" xfId="110"/>
    <cellStyle name="Normal 2 10 6" xfId="111"/>
    <cellStyle name="Normal 2 10 6 2" xfId="112"/>
    <cellStyle name="Normal 2 10 7" xfId="113"/>
    <cellStyle name="Normal 2 10 7 2" xfId="114"/>
    <cellStyle name="Normal 2 10 8" xfId="115"/>
    <cellStyle name="Normal 2 10 8 2" xfId="116"/>
    <cellStyle name="Normal 2 10 9" xfId="117"/>
    <cellStyle name="Normal 2 11" xfId="118"/>
    <cellStyle name="Normal 2 11 10" xfId="119"/>
    <cellStyle name="Normal 2 11 11" xfId="120"/>
    <cellStyle name="Normal 2 11 2" xfId="121"/>
    <cellStyle name="Normal 2 11 2 2" xfId="122"/>
    <cellStyle name="Normal 2 11 3" xfId="123"/>
    <cellStyle name="Normal 2 11 3 2" xfId="124"/>
    <cellStyle name="Normal 2 11 4" xfId="125"/>
    <cellStyle name="Normal 2 11 4 2" xfId="126"/>
    <cellStyle name="Normal 2 11 5" xfId="127"/>
    <cellStyle name="Normal 2 11 5 2" xfId="128"/>
    <cellStyle name="Normal 2 11 6" xfId="129"/>
    <cellStyle name="Normal 2 11 6 2" xfId="130"/>
    <cellStyle name="Normal 2 11 7" xfId="131"/>
    <cellStyle name="Normal 2 11 7 2" xfId="132"/>
    <cellStyle name="Normal 2 11 8" xfId="133"/>
    <cellStyle name="Normal 2 11 8 2" xfId="134"/>
    <cellStyle name="Normal 2 11 9" xfId="135"/>
    <cellStyle name="Normal 2 12" xfId="136"/>
    <cellStyle name="Normal 2 13" xfId="137"/>
    <cellStyle name="Normal 2 14" xfId="138"/>
    <cellStyle name="Normal 2 15" xfId="139"/>
    <cellStyle name="Normal 2 16" xfId="140"/>
    <cellStyle name="Normal 2 17" xfId="141"/>
    <cellStyle name="Normal 2 2" xfId="142"/>
    <cellStyle name="Normal 2 2 10" xfId="143"/>
    <cellStyle name="Normal 2 2 10 2" xfId="144"/>
    <cellStyle name="Normal 2 2 11" xfId="145"/>
    <cellStyle name="Normal 2 2 11 2" xfId="146"/>
    <cellStyle name="Normal 2 2 12" xfId="147"/>
    <cellStyle name="Normal 2 2 12 2" xfId="148"/>
    <cellStyle name="Normal 2 2 12 2 2" xfId="149"/>
    <cellStyle name="Normal 2 2 12 2 3" xfId="150"/>
    <cellStyle name="Normal 2 2 12 3" xfId="151"/>
    <cellStyle name="Normal 2 2 12 4" xfId="152"/>
    <cellStyle name="Normal 2 2 13" xfId="153"/>
    <cellStyle name="Normal 2 2 13 2" xfId="154"/>
    <cellStyle name="Normal 2 2 13 2 2" xfId="155"/>
    <cellStyle name="Normal 2 2 13 2 3" xfId="156"/>
    <cellStyle name="Normal 2 2 13 3" xfId="157"/>
    <cellStyle name="Normal 2 2 13 4" xfId="158"/>
    <cellStyle name="Normal 2 2 14" xfId="159"/>
    <cellStyle name="Normal 2 2 14 2" xfId="160"/>
    <cellStyle name="Normal 2 2 15" xfId="161"/>
    <cellStyle name="Normal 2 2 15 2" xfId="162"/>
    <cellStyle name="Normal 2 2 16" xfId="163"/>
    <cellStyle name="Normal 2 2 16 2" xfId="164"/>
    <cellStyle name="Normal 2 2 16 3" xfId="165"/>
    <cellStyle name="Normal 2 2 17" xfId="166"/>
    <cellStyle name="Normal 2 2 18" xfId="167"/>
    <cellStyle name="Normal 2 2 19" xfId="168"/>
    <cellStyle name="Normal 2 2 2" xfId="169"/>
    <cellStyle name="Normal 2 2 2 2" xfId="170"/>
    <cellStyle name="Normal 2 2 2 2 2" xfId="171"/>
    <cellStyle name="Normal 2 2 2 2 3" xfId="172"/>
    <cellStyle name="Normal 2 2 2 2 3 2" xfId="173"/>
    <cellStyle name="Normal 2 2 2 3" xfId="174"/>
    <cellStyle name="Normal 2 2 2 3 2" xfId="175"/>
    <cellStyle name="Normal 2 2 2 4" xfId="176"/>
    <cellStyle name="Normal 2 2 2 4 2" xfId="177"/>
    <cellStyle name="Normal 2 2 2 5" xfId="178"/>
    <cellStyle name="Normal 2 2 2 5 2" xfId="179"/>
    <cellStyle name="Normal 2 2 2 6" xfId="180"/>
    <cellStyle name="Normal 2 2 2 6 2" xfId="181"/>
    <cellStyle name="Normal 2 2 2 7" xfId="182"/>
    <cellStyle name="Normal 2 2 2 7 2" xfId="183"/>
    <cellStyle name="Normal 2 2 2 8" xfId="184"/>
    <cellStyle name="Normal 2 2 20" xfId="185"/>
    <cellStyle name="Normal 2 2 21" xfId="186"/>
    <cellStyle name="Normal 2 2 3" xfId="187"/>
    <cellStyle name="Normal 2 2 3 2" xfId="188"/>
    <cellStyle name="Normal 2 2 4" xfId="189"/>
    <cellStyle name="Normal 2 2 4 2" xfId="190"/>
    <cellStyle name="Normal 2 2 5" xfId="191"/>
    <cellStyle name="Normal 2 2 5 2" xfId="192"/>
    <cellStyle name="Normal 2 2 6" xfId="193"/>
    <cellStyle name="Normal 2 2 6 2" xfId="194"/>
    <cellStyle name="Normal 2 2 7" xfId="195"/>
    <cellStyle name="Normal 2 2 7 2" xfId="196"/>
    <cellStyle name="Normal 2 2 8" xfId="197"/>
    <cellStyle name="Normal 2 2 8 2" xfId="198"/>
    <cellStyle name="Normal 2 2 9" xfId="199"/>
    <cellStyle name="Normal 2 2 9 2" xfId="200"/>
    <cellStyle name="Normal 2 3" xfId="201"/>
    <cellStyle name="Normal 2 3 10" xfId="202"/>
    <cellStyle name="Normal 2 3 11" xfId="203"/>
    <cellStyle name="Normal 2 3 12" xfId="204"/>
    <cellStyle name="Normal 2 3 13" xfId="205"/>
    <cellStyle name="Normal 2 3 14" xfId="206"/>
    <cellStyle name="Normal 2 3 15" xfId="207"/>
    <cellStyle name="Normal 2 3 2" xfId="208"/>
    <cellStyle name="Normal 2 3 2 2" xfId="209"/>
    <cellStyle name="Normal 2 3 2 2 2" xfId="210"/>
    <cellStyle name="Normal 2 3 2 2 3" xfId="211"/>
    <cellStyle name="Normal 2 3 2 3" xfId="212"/>
    <cellStyle name="Normal 2 3 2 4" xfId="213"/>
    <cellStyle name="Normal 2 3 2 5" xfId="214"/>
    <cellStyle name="Normal 2 3 3" xfId="215"/>
    <cellStyle name="Normal 2 3 3 2" xfId="216"/>
    <cellStyle name="Normal 2 3 3 3" xfId="217"/>
    <cellStyle name="Normal 2 3 4" xfId="218"/>
    <cellStyle name="Normal 2 3 5" xfId="219"/>
    <cellStyle name="Normal 2 3 6" xfId="220"/>
    <cellStyle name="Normal 2 3 7" xfId="221"/>
    <cellStyle name="Normal 2 3 8" xfId="222"/>
    <cellStyle name="Normal 2 3 9" xfId="223"/>
    <cellStyle name="Normal 2 4" xfId="224"/>
    <cellStyle name="Normal 2 4 10" xfId="225"/>
    <cellStyle name="Normal 2 4 11" xfId="226"/>
    <cellStyle name="Normal 2 4 12" xfId="227"/>
    <cellStyle name="Normal 2 4 12 2" xfId="228"/>
    <cellStyle name="Normal 2 4 13" xfId="229"/>
    <cellStyle name="Normal 2 4 13 2" xfId="230"/>
    <cellStyle name="Normal 2 4 2" xfId="231"/>
    <cellStyle name="Normal 2 4 2 2" xfId="232"/>
    <cellStyle name="Normal 2 4 2 2 2" xfId="233"/>
    <cellStyle name="Normal 2 4 2 2 3" xfId="234"/>
    <cellStyle name="Normal 2 4 2 3" xfId="235"/>
    <cellStyle name="Normal 2 4 2 4" xfId="236"/>
    <cellStyle name="Normal 2 4 2 5"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12 3" xfId="252"/>
    <cellStyle name="Normal 2 5 2" xfId="253"/>
    <cellStyle name="Normal 2 5 2 2" xfId="254"/>
    <cellStyle name="Normal 2 5 3" xfId="255"/>
    <cellStyle name="Normal 2 5 3 2" xfId="256"/>
    <cellStyle name="Normal 2 5 4" xfId="257"/>
    <cellStyle name="Normal 2 5 5" xfId="258"/>
    <cellStyle name="Normal 2 5 6" xfId="259"/>
    <cellStyle name="Normal 2 5 7" xfId="260"/>
    <cellStyle name="Normal 2 5 8" xfId="261"/>
    <cellStyle name="Normal 2 5 9" xfId="262"/>
    <cellStyle name="Normal 2 6" xfId="263"/>
    <cellStyle name="Normal 2 6 10" xfId="264"/>
    <cellStyle name="Normal 2 6 11" xfId="265"/>
    <cellStyle name="Normal 2 6 12" xfId="266"/>
    <cellStyle name="Normal 2 6 2" xfId="267"/>
    <cellStyle name="Normal 2 6 2 2" xfId="268"/>
    <cellStyle name="Normal 2 6 3" xfId="269"/>
    <cellStyle name="Normal 2 6 3 2" xfId="270"/>
    <cellStyle name="Normal 2 6 4" xfId="271"/>
    <cellStyle name="Normal 2 6 5" xfId="272"/>
    <cellStyle name="Normal 2 6 6" xfId="273"/>
    <cellStyle name="Normal 2 6 7" xfId="274"/>
    <cellStyle name="Normal 2 6 8" xfId="275"/>
    <cellStyle name="Normal 2 6 9" xfId="276"/>
    <cellStyle name="Normal 2 7" xfId="277"/>
    <cellStyle name="Normal 2 7 10"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2" xfId="336"/>
    <cellStyle name="Normal 22 2" xfId="337"/>
    <cellStyle name="Normal 22 3" xfId="338"/>
    <cellStyle name="Normal 23" xfId="339"/>
    <cellStyle name="Normal 23 2" xfId="340"/>
    <cellStyle name="Normal 23 3" xfId="341"/>
    <cellStyle name="Normal 24" xfId="342"/>
    <cellStyle name="Normal 24 2" xfId="343"/>
    <cellStyle name="Normal 24 3" xfId="344"/>
    <cellStyle name="Normal 25" xfId="345"/>
    <cellStyle name="Normal 25 2" xfId="346"/>
    <cellStyle name="Normal 25 3" xfId="347"/>
    <cellStyle name="Normal 26" xfId="348"/>
    <cellStyle name="Normal 3" xfId="349"/>
    <cellStyle name="Normal 3 10" xfId="350"/>
    <cellStyle name="Normal 3 11" xfId="351"/>
    <cellStyle name="Normal 3 12" xfId="352"/>
    <cellStyle name="Normal 3 13" xfId="353"/>
    <cellStyle name="Normal 3 14" xfId="354"/>
    <cellStyle name="Normal 3 15" xfId="355"/>
    <cellStyle name="Normal 3 2" xfId="356"/>
    <cellStyle name="Normal 3 2 2" xfId="357"/>
    <cellStyle name="Normal 3 2 2 2" xfId="358"/>
    <cellStyle name="Normal 3 2 2 3" xfId="359"/>
    <cellStyle name="Normal 3 2 3" xfId="360"/>
    <cellStyle name="Normal 3 2 4" xfId="361"/>
    <cellStyle name="Normal 3 2 5" xfId="362"/>
    <cellStyle name="Normal 3 3" xfId="363"/>
    <cellStyle name="Normal 3 3 2" xfId="364"/>
    <cellStyle name="Normal 3 3 2 2" xfId="365"/>
    <cellStyle name="Normal 3 3 2 3" xfId="366"/>
    <cellStyle name="Normal 3 3 3" xfId="367"/>
    <cellStyle name="Normal 3 3 4" xfId="368"/>
    <cellStyle name="Normal 3 4" xfId="369"/>
    <cellStyle name="Normal 3 5" xfId="370"/>
    <cellStyle name="Normal 3 6" xfId="371"/>
    <cellStyle name="Normal 3 7" xfId="372"/>
    <cellStyle name="Normal 3 7 2" xfId="373"/>
    <cellStyle name="Normal 3 8" xfId="374"/>
    <cellStyle name="Normal 3 8 2" xfId="375"/>
    <cellStyle name="Normal 3 9" xfId="376"/>
    <cellStyle name="Normal 3 9 2" xfId="377"/>
    <cellStyle name="Normal 4" xfId="378"/>
    <cellStyle name="Normal 4 10" xfId="379"/>
    <cellStyle name="Normal 4 11" xfId="380"/>
    <cellStyle name="Normal 4 12" xfId="381"/>
    <cellStyle name="Normal 4 13" xfId="382"/>
    <cellStyle name="Normal 4 2" xfId="383"/>
    <cellStyle name="Normal 4 2 2" xfId="384"/>
    <cellStyle name="Normal 4 2 2 2" xfId="385"/>
    <cellStyle name="Normal 4 2 3" xfId="386"/>
    <cellStyle name="Normal 4 2 4" xfId="387"/>
    <cellStyle name="Normal 4 3" xfId="388"/>
    <cellStyle name="Normal 4 3 2" xfId="389"/>
    <cellStyle name="Normal 4 3 3" xfId="390"/>
    <cellStyle name="Normal 4 4" xfId="391"/>
    <cellStyle name="Normal 4 5" xfId="392"/>
    <cellStyle name="Normal 4 5 2" xfId="393"/>
    <cellStyle name="Normal 4 6" xfId="394"/>
    <cellStyle name="Normal 4 6 2" xfId="395"/>
    <cellStyle name="Normal 4 7" xfId="396"/>
    <cellStyle name="Normal 4 8" xfId="397"/>
    <cellStyle name="Normal 4 9" xfId="398"/>
    <cellStyle name="Normal 5" xfId="399"/>
    <cellStyle name="Normal 5 2" xfId="400"/>
    <cellStyle name="Normal 5 3" xfId="401"/>
    <cellStyle name="Normal 5 3 2" xfId="402"/>
    <cellStyle name="Normal 5 3 3" xfId="403"/>
    <cellStyle name="Normal 5 4" xfId="404"/>
    <cellStyle name="Normal 5 5" xfId="405"/>
    <cellStyle name="Normal 6" xfId="406"/>
    <cellStyle name="Normal 6 2" xfId="407"/>
    <cellStyle name="Normal 6 3" xfId="408"/>
    <cellStyle name="Normal 6 4" xfId="409"/>
    <cellStyle name="Normal 6 5" xfId="410"/>
    <cellStyle name="Normal 7" xfId="411"/>
    <cellStyle name="Normal 7 2" xfId="412"/>
    <cellStyle name="Normal 7 2 2" xfId="413"/>
    <cellStyle name="Normal 7 2 2 2" xfId="414"/>
    <cellStyle name="Normal 7 2 3" xfId="415"/>
    <cellStyle name="Normal 7 2 4" xfId="416"/>
    <cellStyle name="Normal 7 2 5" xfId="417"/>
    <cellStyle name="Normal 7 3" xfId="418"/>
    <cellStyle name="Normal 7 4" xfId="419"/>
    <cellStyle name="Normal 7 4 2" xfId="420"/>
    <cellStyle name="Normal 7 4 3" xfId="421"/>
    <cellStyle name="Normal 7 5" xfId="422"/>
    <cellStyle name="Normal 7 5 2" xfId="423"/>
    <cellStyle name="Normal 7 5 3" xfId="424"/>
    <cellStyle name="Normal 7 5 4" xfId="425"/>
    <cellStyle name="Normal 7 6" xfId="426"/>
    <cellStyle name="Normal 7 7" xfId="427"/>
    <cellStyle name="Normal 8" xfId="428"/>
    <cellStyle name="Normal 8 2" xfId="429"/>
    <cellStyle name="Normal 8 3" xfId="430"/>
    <cellStyle name="Normal 9" xfId="431"/>
    <cellStyle name="Normal 9 2" xfId="432"/>
    <cellStyle name="Normal 9 2 2" xfId="433"/>
    <cellStyle name="Normal 9 3" xfId="434"/>
    <cellStyle name="Normal 9 4" xfId="435"/>
    <cellStyle name="Normal 9 5" xfId="436"/>
    <cellStyle name="Normal 9 6" xfId="437"/>
    <cellStyle name="Normal_debt" xfId="438"/>
    <cellStyle name="Normal_lpform" xfId="439"/>
  </cellStyles>
  <dxfs count="284">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7.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13"/>
  <sheetViews>
    <sheetView topLeftCell="A100" zoomScale="80" workbookViewId="0">
      <selection activeCell="L23" sqref="L23"/>
    </sheetView>
  </sheetViews>
  <sheetFormatPr defaultColWidth="8.88671875" defaultRowHeight="15.75"/>
  <cols>
    <col min="1" max="1" width="75.77734375" style="62" customWidth="1"/>
    <col min="2" max="16384" width="8.88671875" style="62"/>
  </cols>
  <sheetData>
    <row r="1" spans="1:1">
      <c r="A1" s="61" t="s">
        <v>387</v>
      </c>
    </row>
    <row r="3" spans="1:1" ht="39.75" customHeight="1">
      <c r="A3" s="2" t="s">
        <v>1037</v>
      </c>
    </row>
    <row r="4" spans="1:1">
      <c r="A4" s="63"/>
    </row>
    <row r="5" spans="1:1">
      <c r="A5" s="64"/>
    </row>
    <row r="6" spans="1:1" ht="66.75" customHeight="1">
      <c r="A6" s="64" t="s">
        <v>975</v>
      </c>
    </row>
    <row r="7" spans="1:1">
      <c r="A7" s="64"/>
    </row>
    <row r="8" spans="1:1" ht="32.25" customHeight="1">
      <c r="A8" s="64" t="s">
        <v>318</v>
      </c>
    </row>
    <row r="10" spans="1:1" ht="51" customHeight="1">
      <c r="A10" s="64" t="s">
        <v>1007</v>
      </c>
    </row>
    <row r="12" spans="1:1">
      <c r="A12" s="61" t="s">
        <v>17</v>
      </c>
    </row>
    <row r="13" spans="1:1">
      <c r="A13" s="61"/>
    </row>
    <row r="14" spans="1:1">
      <c r="A14" s="63" t="s">
        <v>19</v>
      </c>
    </row>
    <row r="16" spans="1:1" ht="37.5" customHeight="1">
      <c r="A16" s="65" t="s">
        <v>1008</v>
      </c>
    </row>
    <row r="17" spans="1:1" ht="9" customHeight="1">
      <c r="A17" s="65"/>
    </row>
    <row r="19" spans="1:1">
      <c r="A19" s="61" t="s">
        <v>72</v>
      </c>
    </row>
    <row r="21" spans="1:1" ht="36" customHeight="1">
      <c r="A21" s="64" t="s">
        <v>319</v>
      </c>
    </row>
    <row r="22" spans="1:1">
      <c r="A22" s="64"/>
    </row>
    <row r="23" spans="1:1">
      <c r="A23" s="66" t="s">
        <v>320</v>
      </c>
    </row>
    <row r="24" spans="1:1" ht="12" customHeight="1">
      <c r="A24" s="64"/>
    </row>
    <row r="25" spans="1:1">
      <c r="A25" s="67" t="s">
        <v>231</v>
      </c>
    </row>
    <row r="26" spans="1:1">
      <c r="A26" s="68"/>
    </row>
    <row r="27" spans="1:1" ht="84.75" customHeight="1">
      <c r="A27" s="69" t="s">
        <v>2</v>
      </c>
    </row>
    <row r="28" spans="1:1" ht="12.75" customHeight="1">
      <c r="A28" s="70"/>
    </row>
    <row r="29" spans="1:1">
      <c r="A29" s="71" t="s">
        <v>321</v>
      </c>
    </row>
    <row r="30" spans="1:1">
      <c r="A30" s="70"/>
    </row>
    <row r="31" spans="1:1">
      <c r="A31" s="72" t="s">
        <v>16</v>
      </c>
    </row>
    <row r="32" spans="1:1">
      <c r="A32" s="70"/>
    </row>
    <row r="33" spans="1:1">
      <c r="A33" s="64" t="s">
        <v>166</v>
      </c>
    </row>
    <row r="35" spans="1:1">
      <c r="A35" s="61" t="s">
        <v>167</v>
      </c>
    </row>
    <row r="37" spans="1:1" ht="66.75" customHeight="1">
      <c r="A37" s="64" t="s">
        <v>816</v>
      </c>
    </row>
    <row r="38" spans="1:1" ht="35.25" customHeight="1">
      <c r="A38" s="64" t="s">
        <v>250</v>
      </c>
    </row>
    <row r="39" spans="1:1" ht="53.25" customHeight="1">
      <c r="A39" s="73" t="s">
        <v>322</v>
      </c>
    </row>
    <row r="41" spans="1:1" ht="84" customHeight="1">
      <c r="A41" s="64" t="s">
        <v>11</v>
      </c>
    </row>
    <row r="42" spans="1:1" ht="53.25" customHeight="1">
      <c r="A42" s="64" t="s">
        <v>323</v>
      </c>
    </row>
    <row r="43" spans="1:1" ht="102" customHeight="1">
      <c r="A43" s="64" t="s">
        <v>67</v>
      </c>
    </row>
    <row r="44" spans="1:1" ht="15.75" customHeight="1">
      <c r="A44" s="64"/>
    </row>
    <row r="45" spans="1:1" ht="76.5" customHeight="1">
      <c r="A45" s="612" t="s">
        <v>976</v>
      </c>
    </row>
    <row r="46" spans="1:1" ht="75" customHeight="1">
      <c r="A46" s="613" t="s">
        <v>817</v>
      </c>
    </row>
    <row r="47" spans="1:1" ht="75" customHeight="1">
      <c r="A47" s="613" t="s">
        <v>977</v>
      </c>
    </row>
    <row r="48" spans="1:1" ht="15.75" customHeight="1">
      <c r="A48" s="64"/>
    </row>
    <row r="49" spans="1:1" ht="69.75" customHeight="1">
      <c r="A49" s="64" t="s">
        <v>818</v>
      </c>
    </row>
    <row r="50" spans="1:1" ht="37.5" customHeight="1">
      <c r="A50" s="64" t="s">
        <v>819</v>
      </c>
    </row>
    <row r="51" spans="1:1" ht="69" customHeight="1">
      <c r="A51" s="64" t="s">
        <v>820</v>
      </c>
    </row>
    <row r="52" spans="1:1" ht="102" customHeight="1">
      <c r="A52" s="793" t="s">
        <v>1021</v>
      </c>
    </row>
    <row r="54" spans="1:1" ht="84.75" customHeight="1">
      <c r="A54" s="64" t="s">
        <v>978</v>
      </c>
    </row>
    <row r="55" spans="1:1" ht="116.25" customHeight="1">
      <c r="A55" s="64" t="s">
        <v>821</v>
      </c>
    </row>
    <row r="56" spans="1:1" ht="38.25" customHeight="1">
      <c r="A56" s="64" t="s">
        <v>822</v>
      </c>
    </row>
    <row r="57" spans="1:1">
      <c r="A57" s="64"/>
    </row>
    <row r="58" spans="1:1" ht="68.25" customHeight="1">
      <c r="A58" s="778" t="s">
        <v>979</v>
      </c>
    </row>
    <row r="59" spans="1:1">
      <c r="A59" s="64"/>
    </row>
    <row r="60" spans="1:1" ht="66.75" customHeight="1">
      <c r="A60" s="64" t="s">
        <v>823</v>
      </c>
    </row>
    <row r="61" spans="1:1" ht="33.75" customHeight="1">
      <c r="A61" s="64" t="s">
        <v>824</v>
      </c>
    </row>
    <row r="62" spans="1:1" ht="96.75" customHeight="1">
      <c r="A62" s="64" t="s">
        <v>1009</v>
      </c>
    </row>
    <row r="63" spans="1:1" ht="41.25" customHeight="1">
      <c r="A63" s="437" t="s">
        <v>825</v>
      </c>
    </row>
    <row r="65" spans="1:1" s="64" customFormat="1" ht="66.75" customHeight="1">
      <c r="A65" s="64" t="s">
        <v>826</v>
      </c>
    </row>
    <row r="67" spans="1:1" ht="67.5" customHeight="1">
      <c r="A67" s="64" t="s">
        <v>827</v>
      </c>
    </row>
    <row r="69" spans="1:1" ht="153" customHeight="1">
      <c r="A69" s="778" t="s">
        <v>980</v>
      </c>
    </row>
    <row r="71" spans="1:1" ht="95.25" customHeight="1">
      <c r="A71" s="64" t="s">
        <v>981</v>
      </c>
    </row>
    <row r="72" spans="1:1" ht="75.75" customHeight="1">
      <c r="A72" s="778" t="s">
        <v>982</v>
      </c>
    </row>
    <row r="73" spans="1:1" ht="104.25" customHeight="1">
      <c r="A73" s="779" t="s">
        <v>983</v>
      </c>
    </row>
    <row r="74" spans="1:1" ht="86.25" customHeight="1">
      <c r="A74" s="779" t="s">
        <v>984</v>
      </c>
    </row>
    <row r="75" spans="1:1" ht="76.5" customHeight="1">
      <c r="A75" s="779" t="s">
        <v>985</v>
      </c>
    </row>
    <row r="76" spans="1:1" ht="147" customHeight="1">
      <c r="A76" s="64" t="s">
        <v>986</v>
      </c>
    </row>
    <row r="77" spans="1:1" ht="87" customHeight="1">
      <c r="A77" s="778" t="s">
        <v>987</v>
      </c>
    </row>
    <row r="78" spans="1:1" ht="120.75" customHeight="1">
      <c r="A78" s="64" t="s">
        <v>988</v>
      </c>
    </row>
    <row r="79" spans="1:1" ht="140.25" customHeight="1">
      <c r="A79" s="64" t="s">
        <v>989</v>
      </c>
    </row>
    <row r="80" spans="1:1" ht="54.75" customHeight="1">
      <c r="A80" s="64" t="s">
        <v>990</v>
      </c>
    </row>
    <row r="81" spans="1:1" ht="112.5" customHeight="1">
      <c r="A81" s="64" t="s">
        <v>991</v>
      </c>
    </row>
    <row r="82" spans="1:1" ht="58.5" customHeight="1">
      <c r="A82" s="64" t="s">
        <v>992</v>
      </c>
    </row>
    <row r="83" spans="1:1" ht="108" customHeight="1">
      <c r="A83" s="64" t="s">
        <v>993</v>
      </c>
    </row>
    <row r="84" spans="1:1" ht="117.75" customHeight="1">
      <c r="A84" s="780" t="s">
        <v>994</v>
      </c>
    </row>
    <row r="85" spans="1:1" ht="101.25" customHeight="1">
      <c r="A85" s="781" t="s">
        <v>995</v>
      </c>
    </row>
    <row r="86" spans="1:1" ht="72.75" customHeight="1">
      <c r="A86" s="614" t="s">
        <v>996</v>
      </c>
    </row>
    <row r="87" spans="1:1" ht="20.25" customHeight="1">
      <c r="A87" s="614"/>
    </row>
    <row r="88" spans="1:1" ht="63.75" customHeight="1">
      <c r="A88" s="778" t="s">
        <v>828</v>
      </c>
    </row>
    <row r="89" spans="1:1" ht="41.25" customHeight="1">
      <c r="A89" s="782" t="s">
        <v>997</v>
      </c>
    </row>
    <row r="90" spans="1:1" ht="54" customHeight="1">
      <c r="A90" s="779" t="s">
        <v>998</v>
      </c>
    </row>
    <row r="91" spans="1:1" ht="135.75" customHeight="1">
      <c r="A91" s="779" t="s">
        <v>999</v>
      </c>
    </row>
    <row r="92" spans="1:1" ht="151.5" customHeight="1">
      <c r="A92" s="779" t="s">
        <v>1000</v>
      </c>
    </row>
    <row r="93" spans="1:1" ht="92.25" customHeight="1">
      <c r="A93" s="783" t="s">
        <v>1001</v>
      </c>
    </row>
    <row r="94" spans="1:1" ht="105.75" customHeight="1">
      <c r="A94" s="784" t="s">
        <v>1002</v>
      </c>
    </row>
    <row r="95" spans="1:1" ht="18" customHeight="1"/>
    <row r="96" spans="1:1" ht="157.5" customHeight="1">
      <c r="A96" s="64" t="s">
        <v>1003</v>
      </c>
    </row>
    <row r="97" spans="1:1" ht="138" customHeight="1">
      <c r="A97" s="64" t="s">
        <v>1010</v>
      </c>
    </row>
    <row r="98" spans="1:1" ht="63" customHeight="1">
      <c r="A98" s="64" t="s">
        <v>1004</v>
      </c>
    </row>
    <row r="99" spans="1:1" ht="20.25" customHeight="1">
      <c r="A99" s="64" t="s">
        <v>1005</v>
      </c>
    </row>
    <row r="101" spans="1:1" ht="71.25" customHeight="1">
      <c r="A101" s="778" t="s">
        <v>1006</v>
      </c>
    </row>
    <row r="102" spans="1:1">
      <c r="A102" s="64"/>
    </row>
    <row r="103" spans="1:1" ht="22.5" customHeight="1">
      <c r="A103" s="82" t="s">
        <v>388</v>
      </c>
    </row>
    <row r="104" spans="1:1" ht="59.25" customHeight="1">
      <c r="A104" s="83" t="s">
        <v>1013</v>
      </c>
    </row>
    <row r="105" spans="1:1" ht="55.5" customHeight="1">
      <c r="A105" s="64" t="s">
        <v>1014</v>
      </c>
    </row>
    <row r="106" spans="1:1" ht="74.25" customHeight="1">
      <c r="A106" s="83" t="s">
        <v>1015</v>
      </c>
    </row>
    <row r="107" spans="1:1" ht="45.75" customHeight="1">
      <c r="A107" s="83" t="s">
        <v>1016</v>
      </c>
    </row>
    <row r="108" spans="1:1" ht="83.25" customHeight="1">
      <c r="A108" s="83" t="s">
        <v>1017</v>
      </c>
    </row>
    <row r="110" spans="1:1">
      <c r="A110" s="61" t="s">
        <v>829</v>
      </c>
    </row>
    <row r="111" spans="1:1" ht="63" customHeight="1">
      <c r="A111" s="610" t="s">
        <v>1018</v>
      </c>
    </row>
    <row r="112" spans="1:1" ht="102" customHeight="1">
      <c r="A112" s="610" t="s">
        <v>1019</v>
      </c>
    </row>
    <row r="113" spans="1:1" ht="100.5" customHeight="1">
      <c r="A113" s="610" t="s">
        <v>1020</v>
      </c>
    </row>
  </sheetData>
  <sheetProtection sheet="1"/>
  <phoneticPr fontId="0" type="noConversion"/>
  <pageMargins left="0.5" right="0.5" top="0.5" bottom="0.5" header="0.5" footer="0"/>
  <pageSetup scale="90" fitToHeight="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topLeftCell="B19" zoomScaleNormal="100" workbookViewId="0">
      <selection activeCell="M37" sqref="M37"/>
    </sheetView>
  </sheetViews>
  <sheetFormatPr defaultColWidth="8.88671875" defaultRowHeight="15.75"/>
  <cols>
    <col min="1" max="1" width="6.5546875" style="121" customWidth="1"/>
    <col min="2" max="2" width="20.77734375" style="121" customWidth="1"/>
    <col min="3" max="3" width="8.6640625" style="121" customWidth="1"/>
    <col min="4" max="4" width="9.21875" style="121" customWidth="1"/>
    <col min="5" max="5" width="8.77734375" style="121" customWidth="1"/>
    <col min="6" max="6" width="12.77734375" style="121" customWidth="1"/>
    <col min="7" max="7" width="13.77734375" style="121" customWidth="1"/>
    <col min="8" max="13" width="9.77734375" style="121" customWidth="1"/>
    <col min="14" max="16384" width="8.88671875" style="121"/>
  </cols>
  <sheetData>
    <row r="1" spans="2:13">
      <c r="B1" s="105" t="str">
        <f>inputPrYr!$D$2</f>
        <v>City of Hiawatha</v>
      </c>
      <c r="C1" s="85"/>
      <c r="D1" s="85"/>
      <c r="E1" s="85"/>
      <c r="F1" s="85"/>
      <c r="G1" s="85"/>
      <c r="H1" s="85"/>
      <c r="I1" s="85"/>
      <c r="J1" s="85"/>
      <c r="K1" s="85"/>
      <c r="L1" s="85"/>
      <c r="M1" s="317">
        <f>inputPrYr!$C$5</f>
        <v>2014</v>
      </c>
    </row>
    <row r="2" spans="2:13">
      <c r="B2" s="105"/>
      <c r="C2" s="85"/>
      <c r="D2" s="85"/>
      <c r="E2" s="85"/>
      <c r="F2" s="85"/>
      <c r="G2" s="85"/>
      <c r="H2" s="85"/>
      <c r="I2" s="85"/>
      <c r="J2" s="85"/>
      <c r="K2" s="85"/>
      <c r="L2" s="85"/>
      <c r="M2" s="118"/>
    </row>
    <row r="3" spans="2:13">
      <c r="B3" s="379" t="s">
        <v>175</v>
      </c>
      <c r="C3" s="88"/>
      <c r="D3" s="88"/>
      <c r="E3" s="88"/>
      <c r="F3" s="88"/>
      <c r="G3" s="88"/>
      <c r="H3" s="88"/>
      <c r="I3" s="88"/>
      <c r="J3" s="88"/>
      <c r="K3" s="88"/>
      <c r="L3" s="88"/>
      <c r="M3" s="88"/>
    </row>
    <row r="4" spans="2:13">
      <c r="B4" s="85"/>
      <c r="C4" s="375"/>
      <c r="D4" s="375"/>
      <c r="E4" s="375"/>
      <c r="F4" s="375"/>
      <c r="G4" s="375"/>
      <c r="H4" s="375"/>
      <c r="I4" s="375"/>
      <c r="J4" s="375"/>
      <c r="K4" s="375"/>
      <c r="L4" s="375"/>
      <c r="M4" s="375"/>
    </row>
    <row r="5" spans="2:13">
      <c r="B5" s="110"/>
      <c r="C5" s="221" t="s">
        <v>143</v>
      </c>
      <c r="D5" s="380" t="s">
        <v>143</v>
      </c>
      <c r="E5" s="380" t="s">
        <v>157</v>
      </c>
      <c r="F5" s="380"/>
      <c r="G5" s="380" t="s">
        <v>279</v>
      </c>
      <c r="H5" s="85"/>
      <c r="I5" s="85"/>
      <c r="J5" s="392" t="s">
        <v>144</v>
      </c>
      <c r="K5" s="393"/>
      <c r="L5" s="392" t="s">
        <v>144</v>
      </c>
      <c r="M5" s="393"/>
    </row>
    <row r="6" spans="2:13">
      <c r="B6" s="381" t="s">
        <v>856</v>
      </c>
      <c r="C6" s="220" t="s">
        <v>145</v>
      </c>
      <c r="D6" s="381" t="s">
        <v>280</v>
      </c>
      <c r="E6" s="381" t="s">
        <v>146</v>
      </c>
      <c r="F6" s="381" t="s">
        <v>98</v>
      </c>
      <c r="G6" s="381" t="s">
        <v>281</v>
      </c>
      <c r="H6" s="872" t="s">
        <v>147</v>
      </c>
      <c r="I6" s="873"/>
      <c r="J6" s="874">
        <f>M1-1</f>
        <v>2013</v>
      </c>
      <c r="K6" s="875"/>
      <c r="L6" s="874">
        <f>M1</f>
        <v>2014</v>
      </c>
      <c r="M6" s="875"/>
    </row>
    <row r="7" spans="2:13">
      <c r="B7" s="382" t="s">
        <v>855</v>
      </c>
      <c r="C7" s="709" t="s">
        <v>148</v>
      </c>
      <c r="D7" s="382" t="s">
        <v>282</v>
      </c>
      <c r="E7" s="382" t="s">
        <v>123</v>
      </c>
      <c r="F7" s="382" t="s">
        <v>149</v>
      </c>
      <c r="G7" s="323" t="str">
        <f>CONCATENATE("Jan 1,",M1-1,"")</f>
        <v>Jan 1,2013</v>
      </c>
      <c r="H7" s="214" t="s">
        <v>157</v>
      </c>
      <c r="I7" s="214" t="s">
        <v>159</v>
      </c>
      <c r="J7" s="214" t="s">
        <v>157</v>
      </c>
      <c r="K7" s="214" t="s">
        <v>159</v>
      </c>
      <c r="L7" s="214" t="s">
        <v>157</v>
      </c>
      <c r="M7" s="214" t="s">
        <v>159</v>
      </c>
    </row>
    <row r="8" spans="2:13">
      <c r="B8" s="368" t="s">
        <v>150</v>
      </c>
      <c r="C8" s="102"/>
      <c r="D8" s="102"/>
      <c r="E8" s="394"/>
      <c r="F8" s="327"/>
      <c r="G8" s="327"/>
      <c r="H8" s="102"/>
      <c r="I8" s="102"/>
      <c r="J8" s="327"/>
      <c r="K8" s="327"/>
      <c r="L8" s="327"/>
      <c r="M8" s="327"/>
    </row>
    <row r="9" spans="2:13">
      <c r="B9" s="139" t="s">
        <v>1059</v>
      </c>
      <c r="C9" s="385">
        <v>40983</v>
      </c>
      <c r="D9" s="385"/>
      <c r="E9" s="387" t="s">
        <v>1060</v>
      </c>
      <c r="F9" s="388">
        <v>1265000</v>
      </c>
      <c r="G9" s="395">
        <v>1245000</v>
      </c>
      <c r="H9" s="396" t="s">
        <v>1061</v>
      </c>
      <c r="I9" s="396" t="s">
        <v>1061</v>
      </c>
      <c r="J9" s="395">
        <v>24383</v>
      </c>
      <c r="K9" s="395">
        <v>40000</v>
      </c>
      <c r="L9" s="395">
        <v>23942.5</v>
      </c>
      <c r="M9" s="395">
        <v>40000</v>
      </c>
    </row>
    <row r="10" spans="2:13">
      <c r="B10" s="139" t="s">
        <v>1062</v>
      </c>
      <c r="C10" s="385"/>
      <c r="D10" s="385"/>
      <c r="E10" s="387"/>
      <c r="F10" s="388"/>
      <c r="G10" s="395"/>
      <c r="H10" s="396" t="s">
        <v>1064</v>
      </c>
      <c r="I10" s="396" t="s">
        <v>1065</v>
      </c>
      <c r="J10" s="395">
        <v>202640</v>
      </c>
      <c r="K10" s="395">
        <v>105000</v>
      </c>
      <c r="L10" s="395">
        <v>200540</v>
      </c>
      <c r="M10" s="395">
        <v>105000</v>
      </c>
    </row>
    <row r="11" spans="2:13">
      <c r="B11" s="139" t="s">
        <v>1063</v>
      </c>
      <c r="C11" s="385">
        <v>40772</v>
      </c>
      <c r="D11" s="385"/>
      <c r="E11" s="387"/>
      <c r="F11" s="388">
        <v>400000</v>
      </c>
      <c r="G11" s="395">
        <v>380000</v>
      </c>
      <c r="H11" s="396" t="s">
        <v>1064</v>
      </c>
      <c r="I11" s="396" t="s">
        <v>1065</v>
      </c>
      <c r="J11" s="395">
        <v>11350</v>
      </c>
      <c r="K11" s="395">
        <v>20000</v>
      </c>
      <c r="L11" s="395">
        <v>11000</v>
      </c>
      <c r="M11" s="395">
        <v>25000</v>
      </c>
    </row>
    <row r="12" spans="2:13">
      <c r="B12" s="139" t="s">
        <v>1068</v>
      </c>
      <c r="C12" s="385">
        <v>38930</v>
      </c>
      <c r="D12" s="385"/>
      <c r="E12" s="387" t="s">
        <v>1077</v>
      </c>
      <c r="F12" s="388">
        <v>1400000</v>
      </c>
      <c r="G12" s="395">
        <v>930000</v>
      </c>
      <c r="H12" s="396" t="s">
        <v>1080</v>
      </c>
      <c r="I12" s="396" t="s">
        <v>922</v>
      </c>
      <c r="J12" s="395">
        <v>33829</v>
      </c>
      <c r="K12" s="395">
        <v>95000</v>
      </c>
      <c r="L12" s="395">
        <v>23830</v>
      </c>
      <c r="M12" s="395">
        <v>104000</v>
      </c>
    </row>
    <row r="13" spans="2:13">
      <c r="B13" s="139" t="s">
        <v>1069</v>
      </c>
      <c r="C13" s="385" t="s">
        <v>1070</v>
      </c>
      <c r="D13" s="385"/>
      <c r="E13" s="387" t="s">
        <v>1076</v>
      </c>
      <c r="F13" s="388">
        <v>2450000</v>
      </c>
      <c r="G13" s="395">
        <v>1695000</v>
      </c>
      <c r="H13" s="396" t="s">
        <v>1064</v>
      </c>
      <c r="I13" s="396" t="s">
        <v>1065</v>
      </c>
      <c r="J13" s="395">
        <v>71370</v>
      </c>
      <c r="K13" s="395">
        <v>95000</v>
      </c>
      <c r="L13" s="395">
        <v>47447.5</v>
      </c>
      <c r="M13" s="395">
        <v>109000</v>
      </c>
    </row>
    <row r="14" spans="2:13">
      <c r="B14" s="139" t="s">
        <v>1071</v>
      </c>
      <c r="C14" s="385" t="s">
        <v>1074</v>
      </c>
      <c r="D14" s="385"/>
      <c r="E14" s="387">
        <v>4.25</v>
      </c>
      <c r="F14" s="388">
        <v>1600000</v>
      </c>
      <c r="G14" s="395">
        <v>1483838</v>
      </c>
      <c r="H14" s="396" t="s">
        <v>1081</v>
      </c>
      <c r="I14" s="396" t="s">
        <v>1082</v>
      </c>
      <c r="J14" s="395">
        <v>62290</v>
      </c>
      <c r="K14" s="395">
        <v>21121</v>
      </c>
      <c r="L14" s="395">
        <v>47270</v>
      </c>
      <c r="M14" s="395">
        <v>32000</v>
      </c>
    </row>
    <row r="15" spans="2:13">
      <c r="B15" s="139" t="s">
        <v>1072</v>
      </c>
      <c r="C15" s="385" t="s">
        <v>1074</v>
      </c>
      <c r="D15" s="385"/>
      <c r="E15" s="387">
        <v>4.25</v>
      </c>
      <c r="F15" s="388">
        <v>3000000</v>
      </c>
      <c r="G15" s="395">
        <v>2759181</v>
      </c>
      <c r="H15" s="396" t="s">
        <v>1064</v>
      </c>
      <c r="I15" s="396" t="s">
        <v>1065</v>
      </c>
      <c r="J15" s="395">
        <v>117265</v>
      </c>
      <c r="K15" s="395">
        <v>39762</v>
      </c>
      <c r="L15" s="395">
        <v>93253</v>
      </c>
      <c r="M15" s="395">
        <v>55000</v>
      </c>
    </row>
    <row r="16" spans="2:13">
      <c r="B16" s="139" t="s">
        <v>1073</v>
      </c>
      <c r="C16" s="385">
        <v>38808</v>
      </c>
      <c r="D16" s="385"/>
      <c r="E16" s="387" t="s">
        <v>1075</v>
      </c>
      <c r="F16" s="388">
        <v>1025000</v>
      </c>
      <c r="G16" s="395">
        <v>870000</v>
      </c>
      <c r="H16" s="396" t="s">
        <v>1064</v>
      </c>
      <c r="I16" s="396" t="s">
        <v>1065</v>
      </c>
      <c r="J16" s="395">
        <v>3730</v>
      </c>
      <c r="K16" s="395">
        <v>35000</v>
      </c>
      <c r="L16" s="395">
        <v>2000</v>
      </c>
      <c r="M16" s="395">
        <v>40000</v>
      </c>
    </row>
    <row r="17" spans="2:13">
      <c r="B17" s="139" t="s">
        <v>1085</v>
      </c>
      <c r="C17" s="385"/>
      <c r="D17" s="385"/>
      <c r="E17" s="387" t="s">
        <v>1086</v>
      </c>
      <c r="F17" s="388">
        <v>1950000</v>
      </c>
      <c r="G17" s="395">
        <v>20000</v>
      </c>
      <c r="H17" s="396" t="s">
        <v>1064</v>
      </c>
      <c r="I17" s="396" t="s">
        <v>1065</v>
      </c>
      <c r="J17" s="395">
        <v>770</v>
      </c>
      <c r="K17" s="395">
        <v>20000</v>
      </c>
      <c r="L17" s="395">
        <v>0</v>
      </c>
      <c r="M17" s="395">
        <v>0</v>
      </c>
    </row>
    <row r="18" spans="2:13">
      <c r="B18" s="139" t="s">
        <v>1087</v>
      </c>
      <c r="C18" s="385"/>
      <c r="D18" s="385"/>
      <c r="E18" s="387" t="s">
        <v>1088</v>
      </c>
      <c r="F18" s="388">
        <v>315000</v>
      </c>
      <c r="G18" s="395">
        <v>0</v>
      </c>
      <c r="H18" s="396" t="s">
        <v>1064</v>
      </c>
      <c r="I18" s="396" t="s">
        <v>1065</v>
      </c>
      <c r="J18" s="395">
        <v>0</v>
      </c>
      <c r="K18" s="395">
        <v>0</v>
      </c>
      <c r="L18" s="395">
        <v>0</v>
      </c>
      <c r="M18" s="395">
        <v>0</v>
      </c>
    </row>
    <row r="19" spans="2:13">
      <c r="B19" s="139"/>
      <c r="C19" s="385"/>
      <c r="D19" s="385"/>
      <c r="E19" s="387"/>
      <c r="F19" s="388"/>
      <c r="G19" s="395"/>
      <c r="H19" s="396"/>
      <c r="I19" s="396"/>
      <c r="J19" s="395"/>
      <c r="K19" s="395"/>
      <c r="L19" s="395"/>
      <c r="M19" s="395"/>
    </row>
    <row r="20" spans="2:13">
      <c r="B20" s="397" t="s">
        <v>151</v>
      </c>
      <c r="C20" s="398"/>
      <c r="D20" s="398"/>
      <c r="E20" s="399"/>
      <c r="F20" s="400"/>
      <c r="G20" s="401">
        <f>SUM(G9:G19)</f>
        <v>9383019</v>
      </c>
      <c r="H20" s="402"/>
      <c r="I20" s="402"/>
      <c r="J20" s="401">
        <f>SUM(J9:J19)</f>
        <v>527627</v>
      </c>
      <c r="K20" s="401">
        <f>SUM(K9:K19)</f>
        <v>470883</v>
      </c>
      <c r="L20" s="401">
        <f>SUM(L9:L19)</f>
        <v>449283</v>
      </c>
      <c r="M20" s="401">
        <f>SUM(M9:M19)</f>
        <v>510000</v>
      </c>
    </row>
    <row r="21" spans="2:13">
      <c r="B21" s="368" t="s">
        <v>152</v>
      </c>
      <c r="C21" s="403"/>
      <c r="D21" s="403"/>
      <c r="E21" s="404"/>
      <c r="F21" s="280"/>
      <c r="G21" s="280"/>
      <c r="H21" s="405"/>
      <c r="I21" s="405"/>
      <c r="J21" s="280"/>
      <c r="K21" s="280"/>
      <c r="L21" s="280"/>
      <c r="M21" s="280"/>
    </row>
    <row r="22" spans="2:13">
      <c r="B22" s="139" t="s">
        <v>1066</v>
      </c>
      <c r="C22" s="385"/>
      <c r="D22" s="385"/>
      <c r="E22" s="387"/>
      <c r="F22" s="388"/>
      <c r="G22" s="395"/>
      <c r="H22" s="396"/>
      <c r="I22" s="396"/>
      <c r="J22" s="395"/>
      <c r="K22" s="395"/>
      <c r="L22" s="395"/>
      <c r="M22" s="395"/>
    </row>
    <row r="23" spans="2:13">
      <c r="B23" s="139"/>
      <c r="C23" s="385"/>
      <c r="D23" s="385"/>
      <c r="E23" s="387"/>
      <c r="F23" s="388"/>
      <c r="G23" s="395"/>
      <c r="H23" s="396"/>
      <c r="I23" s="396"/>
      <c r="J23" s="395"/>
      <c r="K23" s="395"/>
      <c r="L23" s="395"/>
      <c r="M23" s="395"/>
    </row>
    <row r="24" spans="2:13">
      <c r="B24" s="139"/>
      <c r="C24" s="385"/>
      <c r="D24" s="385"/>
      <c r="E24" s="387"/>
      <c r="F24" s="388"/>
      <c r="G24" s="395"/>
      <c r="H24" s="396"/>
      <c r="I24" s="396"/>
      <c r="J24" s="395"/>
      <c r="K24" s="395"/>
      <c r="L24" s="395"/>
      <c r="M24" s="395"/>
    </row>
    <row r="25" spans="2:13">
      <c r="B25" s="139"/>
      <c r="C25" s="385"/>
      <c r="D25" s="385"/>
      <c r="E25" s="387"/>
      <c r="F25" s="388"/>
      <c r="G25" s="395"/>
      <c r="H25" s="396"/>
      <c r="I25" s="396"/>
      <c r="J25" s="395"/>
      <c r="K25" s="395"/>
      <c r="L25" s="395"/>
      <c r="M25" s="395"/>
    </row>
    <row r="26" spans="2:13">
      <c r="B26" s="139"/>
      <c r="C26" s="385"/>
      <c r="D26" s="385"/>
      <c r="E26" s="387"/>
      <c r="F26" s="388"/>
      <c r="G26" s="395"/>
      <c r="H26" s="396"/>
      <c r="I26" s="396"/>
      <c r="J26" s="395"/>
      <c r="K26" s="395"/>
      <c r="L26" s="395"/>
      <c r="M26" s="395"/>
    </row>
    <row r="27" spans="2:13">
      <c r="B27" s="139"/>
      <c r="C27" s="385"/>
      <c r="D27" s="385"/>
      <c r="E27" s="387"/>
      <c r="F27" s="388"/>
      <c r="G27" s="395"/>
      <c r="H27" s="396"/>
      <c r="I27" s="396"/>
      <c r="J27" s="395"/>
      <c r="K27" s="395"/>
      <c r="L27" s="395"/>
      <c r="M27" s="395"/>
    </row>
    <row r="28" spans="2:13">
      <c r="B28" s="139"/>
      <c r="C28" s="385"/>
      <c r="D28" s="385"/>
      <c r="E28" s="387"/>
      <c r="F28" s="388"/>
      <c r="G28" s="395"/>
      <c r="H28" s="396"/>
      <c r="I28" s="396"/>
      <c r="J28" s="395"/>
      <c r="K28" s="395"/>
      <c r="L28" s="395"/>
      <c r="M28" s="395"/>
    </row>
    <row r="29" spans="2:13">
      <c r="B29" s="139"/>
      <c r="C29" s="385"/>
      <c r="D29" s="385"/>
      <c r="E29" s="387"/>
      <c r="F29" s="388"/>
      <c r="G29" s="395"/>
      <c r="H29" s="396"/>
      <c r="I29" s="396"/>
      <c r="J29" s="395"/>
      <c r="K29" s="395"/>
      <c r="L29" s="395"/>
      <c r="M29" s="395"/>
    </row>
    <row r="30" spans="2:13">
      <c r="B30" s="139"/>
      <c r="C30" s="385"/>
      <c r="D30" s="385"/>
      <c r="E30" s="387"/>
      <c r="F30" s="388"/>
      <c r="G30" s="395"/>
      <c r="H30" s="396"/>
      <c r="I30" s="396"/>
      <c r="J30" s="395"/>
      <c r="K30" s="395"/>
      <c r="L30" s="395"/>
      <c r="M30" s="395"/>
    </row>
    <row r="31" spans="2:13">
      <c r="B31" s="139"/>
      <c r="C31" s="385"/>
      <c r="D31" s="385"/>
      <c r="E31" s="387"/>
      <c r="F31" s="388"/>
      <c r="G31" s="395"/>
      <c r="H31" s="396"/>
      <c r="I31" s="396"/>
      <c r="J31" s="395"/>
      <c r="K31" s="395"/>
      <c r="L31" s="395"/>
      <c r="M31" s="395"/>
    </row>
    <row r="32" spans="2:13">
      <c r="B32" s="397" t="s">
        <v>153</v>
      </c>
      <c r="C32" s="398"/>
      <c r="D32" s="398"/>
      <c r="E32" s="406"/>
      <c r="F32" s="400"/>
      <c r="G32" s="407">
        <f>SUM(G22:G31)</f>
        <v>0</v>
      </c>
      <c r="H32" s="402"/>
      <c r="I32" s="402"/>
      <c r="J32" s="407">
        <f>SUM(J22:J31)</f>
        <v>0</v>
      </c>
      <c r="K32" s="407">
        <f>SUM(K22:K31)</f>
        <v>0</v>
      </c>
      <c r="L32" s="401">
        <f>SUM(L22:L31)</f>
        <v>0</v>
      </c>
      <c r="M32" s="407">
        <f>SUM(M22:M31)</f>
        <v>0</v>
      </c>
    </row>
    <row r="33" spans="2:29">
      <c r="B33" s="368" t="s">
        <v>154</v>
      </c>
      <c r="C33" s="403"/>
      <c r="D33" s="403"/>
      <c r="E33" s="404"/>
      <c r="F33" s="280"/>
      <c r="G33" s="408"/>
      <c r="H33" s="405"/>
      <c r="I33" s="405"/>
      <c r="J33" s="280"/>
      <c r="K33" s="280"/>
      <c r="L33" s="280"/>
      <c r="M33" s="280"/>
    </row>
    <row r="34" spans="2:29">
      <c r="B34" s="139" t="s">
        <v>1067</v>
      </c>
      <c r="C34" s="385"/>
      <c r="D34" s="385"/>
      <c r="E34" s="387">
        <v>2.7</v>
      </c>
      <c r="F34" s="388">
        <v>998000</v>
      </c>
      <c r="G34" s="395">
        <v>972838</v>
      </c>
      <c r="H34" s="396"/>
      <c r="I34" s="396"/>
      <c r="J34" s="395">
        <v>27445</v>
      </c>
      <c r="K34" s="395">
        <v>14012</v>
      </c>
      <c r="L34" s="395">
        <v>2772.08</v>
      </c>
      <c r="M34" s="395">
        <v>26019.66</v>
      </c>
    </row>
    <row r="35" spans="2:29">
      <c r="B35" s="139" t="s">
        <v>1083</v>
      </c>
      <c r="C35" s="385"/>
      <c r="D35" s="385"/>
      <c r="E35" s="387" t="s">
        <v>1074</v>
      </c>
      <c r="F35" s="388" t="s">
        <v>1074</v>
      </c>
      <c r="G35" s="395" t="s">
        <v>1084</v>
      </c>
      <c r="H35" s="396"/>
      <c r="I35" s="396"/>
      <c r="J35" s="395"/>
      <c r="K35" s="395"/>
      <c r="L35" s="395">
        <v>3820</v>
      </c>
      <c r="M35" s="395">
        <v>25162</v>
      </c>
    </row>
    <row r="36" spans="2:29">
      <c r="B36" s="139" t="s">
        <v>1138</v>
      </c>
      <c r="C36" s="385"/>
      <c r="D36" s="385"/>
      <c r="E36" s="387">
        <v>3.5</v>
      </c>
      <c r="F36" s="388">
        <v>258400</v>
      </c>
      <c r="G36" s="395">
        <v>258400</v>
      </c>
      <c r="H36" s="396"/>
      <c r="I36" s="396"/>
      <c r="J36" s="395"/>
      <c r="K36" s="395"/>
      <c r="L36" s="395">
        <v>4522</v>
      </c>
      <c r="M36" s="395">
        <v>10902</v>
      </c>
    </row>
    <row r="37" spans="2:29">
      <c r="B37" s="139"/>
      <c r="C37" s="385"/>
      <c r="D37" s="385"/>
      <c r="E37" s="387"/>
      <c r="F37" s="388"/>
      <c r="G37" s="395"/>
      <c r="H37" s="396"/>
      <c r="I37" s="396"/>
      <c r="J37" s="395"/>
      <c r="K37" s="395"/>
      <c r="L37" s="395"/>
      <c r="M37" s="395"/>
    </row>
    <row r="38" spans="2:29">
      <c r="B38" s="139"/>
      <c r="C38" s="385"/>
      <c r="D38" s="385"/>
      <c r="E38" s="387"/>
      <c r="F38" s="388"/>
      <c r="G38" s="395"/>
      <c r="H38" s="396"/>
      <c r="I38" s="396"/>
      <c r="J38" s="395"/>
      <c r="K38" s="395"/>
      <c r="L38" s="395"/>
      <c r="M38" s="395"/>
    </row>
    <row r="39" spans="2:29">
      <c r="B39" s="139"/>
      <c r="C39" s="385"/>
      <c r="D39" s="385"/>
      <c r="E39" s="387"/>
      <c r="F39" s="388"/>
      <c r="G39" s="395"/>
      <c r="H39" s="396"/>
      <c r="I39" s="396"/>
      <c r="J39" s="395"/>
      <c r="K39" s="395"/>
      <c r="L39" s="395"/>
      <c r="M39" s="395"/>
    </row>
    <row r="40" spans="2:29">
      <c r="B40" s="139"/>
      <c r="C40" s="385"/>
      <c r="D40" s="385"/>
      <c r="E40" s="387"/>
      <c r="F40" s="388"/>
      <c r="G40" s="395"/>
      <c r="H40" s="396"/>
      <c r="I40" s="396"/>
      <c r="J40" s="395"/>
      <c r="K40" s="395"/>
      <c r="L40" s="395"/>
      <c r="M40" s="395"/>
    </row>
    <row r="41" spans="2:29">
      <c r="B41" s="139"/>
      <c r="C41" s="385"/>
      <c r="D41" s="385"/>
      <c r="E41" s="387"/>
      <c r="F41" s="388"/>
      <c r="G41" s="395"/>
      <c r="H41" s="396"/>
      <c r="I41" s="396"/>
      <c r="J41" s="395"/>
      <c r="K41" s="395"/>
      <c r="L41" s="395"/>
      <c r="M41" s="395"/>
      <c r="N41" s="62"/>
      <c r="O41" s="62"/>
      <c r="P41" s="62"/>
      <c r="Q41" s="62"/>
      <c r="R41" s="62"/>
      <c r="S41" s="62"/>
      <c r="T41" s="62"/>
      <c r="U41" s="62"/>
      <c r="V41" s="62"/>
      <c r="W41" s="62"/>
      <c r="X41" s="62"/>
      <c r="Y41" s="62"/>
      <c r="Z41" s="62"/>
      <c r="AA41" s="62"/>
      <c r="AB41" s="62"/>
      <c r="AC41" s="62"/>
    </row>
    <row r="42" spans="2:29">
      <c r="B42" s="397" t="s">
        <v>283</v>
      </c>
      <c r="C42" s="409"/>
      <c r="D42" s="409"/>
      <c r="E42" s="406"/>
      <c r="F42" s="400"/>
      <c r="G42" s="407">
        <f>SUM(G34:G41)</f>
        <v>1231238</v>
      </c>
      <c r="H42" s="400"/>
      <c r="I42" s="400"/>
      <c r="J42" s="407">
        <f>SUM(J34:J41)</f>
        <v>27445</v>
      </c>
      <c r="K42" s="407">
        <f>SUM(K34:K41)</f>
        <v>14012</v>
      </c>
      <c r="L42" s="407">
        <f>SUM(L34:L41)</f>
        <v>11114.08</v>
      </c>
      <c r="M42" s="407">
        <f>SUM(M34:M41)</f>
        <v>62083.66</v>
      </c>
    </row>
    <row r="43" spans="2:29">
      <c r="B43" s="397" t="s">
        <v>155</v>
      </c>
      <c r="C43" s="409"/>
      <c r="D43" s="409"/>
      <c r="E43" s="409"/>
      <c r="F43" s="400"/>
      <c r="G43" s="407">
        <f>SUM(G20+G32+G42)</f>
        <v>10614257</v>
      </c>
      <c r="H43" s="400"/>
      <c r="I43" s="400"/>
      <c r="J43" s="407">
        <f>SUM(J20+J32+J42)</f>
        <v>555072</v>
      </c>
      <c r="K43" s="407">
        <f>SUM(K20+K32+K42)</f>
        <v>484895</v>
      </c>
      <c r="L43" s="407">
        <f>SUM(L20+L32+L42)</f>
        <v>460397.08</v>
      </c>
      <c r="M43" s="407">
        <f>SUM(M20+M32+M42)</f>
        <v>572083.66</v>
      </c>
    </row>
    <row r="44" spans="2:29">
      <c r="B44" s="62"/>
      <c r="C44" s="62"/>
      <c r="D44" s="62"/>
      <c r="E44" s="62"/>
      <c r="F44" s="62"/>
      <c r="G44" s="62"/>
      <c r="H44" s="62"/>
      <c r="I44" s="62"/>
      <c r="J44" s="62"/>
      <c r="K44" s="62"/>
      <c r="L44" s="62"/>
      <c r="M44" s="62"/>
    </row>
    <row r="45" spans="2:29">
      <c r="F45" s="410"/>
      <c r="G45" s="410"/>
      <c r="J45" s="410"/>
      <c r="K45" s="410"/>
      <c r="L45" s="410"/>
      <c r="M45" s="410"/>
    </row>
    <row r="46" spans="2:29">
      <c r="F46" s="62"/>
      <c r="H46" s="411"/>
      <c r="N46" s="62"/>
    </row>
    <row r="47" spans="2:29">
      <c r="B47" s="62"/>
      <c r="C47" s="62"/>
      <c r="D47" s="62"/>
      <c r="E47" s="62"/>
      <c r="F47" s="62"/>
      <c r="G47" s="62"/>
      <c r="H47" s="62"/>
      <c r="I47" s="62"/>
      <c r="J47" s="62"/>
      <c r="K47" s="62"/>
      <c r="L47" s="62"/>
      <c r="M47" s="62"/>
    </row>
    <row r="48" spans="2:29">
      <c r="B48" s="62"/>
      <c r="C48" s="62"/>
      <c r="D48" s="62"/>
      <c r="E48" s="62"/>
      <c r="F48" s="62"/>
      <c r="G48" s="62"/>
      <c r="H48" s="62"/>
      <c r="I48" s="62"/>
      <c r="J48" s="62"/>
      <c r="K48" s="62"/>
      <c r="L48" s="62"/>
      <c r="M48" s="62"/>
    </row>
  </sheetData>
  <sheetProtection sheet="1"/>
  <mergeCells count="3">
    <mergeCell ref="H6:I6"/>
    <mergeCell ref="J6:K6"/>
    <mergeCell ref="L6:M6"/>
  </mergeCells>
  <phoneticPr fontId="0" type="noConversion"/>
  <pageMargins left="0.25" right="0" top="1" bottom="0.5" header="0.5" footer="0.25"/>
  <pageSetup scale="75" orientation="landscape" blackAndWhite="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workbookViewId="0">
      <selection activeCell="I12" sqref="I12"/>
    </sheetView>
  </sheetViews>
  <sheetFormatPr defaultColWidth="8.88671875" defaultRowHeight="15.75"/>
  <cols>
    <col min="1" max="1" width="8.88671875" style="121"/>
    <col min="2" max="2" width="23.5546875" style="121" customWidth="1"/>
    <col min="3" max="5" width="9.77734375" style="121" customWidth="1"/>
    <col min="6" max="6" width="18.33203125" style="121" customWidth="1"/>
    <col min="7" max="9" width="15.77734375" style="121" customWidth="1"/>
    <col min="10" max="16384" width="8.88671875" style="121"/>
  </cols>
  <sheetData>
    <row r="1" spans="2:9">
      <c r="B1" s="105" t="str">
        <f>inputPrYr!$D$2</f>
        <v>City of Hiawatha</v>
      </c>
      <c r="C1" s="85"/>
      <c r="D1" s="85"/>
      <c r="E1" s="85"/>
      <c r="F1" s="85"/>
      <c r="G1" s="85"/>
      <c r="H1" s="85"/>
      <c r="I1" s="343">
        <f>inputPrYr!C5</f>
        <v>2014</v>
      </c>
    </row>
    <row r="2" spans="2:9">
      <c r="B2" s="105"/>
      <c r="C2" s="85"/>
      <c r="D2" s="85"/>
      <c r="E2" s="85"/>
      <c r="F2" s="85"/>
      <c r="G2" s="85"/>
      <c r="H2" s="85"/>
      <c r="I2" s="118"/>
    </row>
    <row r="3" spans="2:9">
      <c r="B3" s="85"/>
      <c r="C3" s="85"/>
      <c r="D3" s="85"/>
      <c r="E3" s="85"/>
      <c r="F3" s="85"/>
      <c r="G3" s="85"/>
      <c r="H3" s="85"/>
      <c r="I3" s="119"/>
    </row>
    <row r="4" spans="2:9">
      <c r="B4" s="379" t="s">
        <v>169</v>
      </c>
      <c r="C4" s="88"/>
      <c r="D4" s="88"/>
      <c r="E4" s="88"/>
      <c r="F4" s="88"/>
      <c r="G4" s="88"/>
      <c r="H4" s="88"/>
      <c r="I4" s="88"/>
    </row>
    <row r="5" spans="2:9">
      <c r="B5" s="117"/>
      <c r="C5" s="375"/>
      <c r="D5" s="375"/>
      <c r="E5" s="375"/>
      <c r="F5" s="375"/>
      <c r="G5" s="375"/>
      <c r="H5" s="375"/>
      <c r="I5" s="375"/>
    </row>
    <row r="6" spans="2:9">
      <c r="B6" s="110"/>
      <c r="C6" s="110"/>
      <c r="D6" s="110"/>
      <c r="E6" s="110"/>
      <c r="F6" s="380" t="s">
        <v>77</v>
      </c>
      <c r="G6" s="110"/>
      <c r="H6" s="110"/>
      <c r="I6" s="110"/>
    </row>
    <row r="7" spans="2:9">
      <c r="B7" s="211"/>
      <c r="C7" s="381"/>
      <c r="D7" s="381" t="s">
        <v>156</v>
      </c>
      <c r="E7" s="381" t="s">
        <v>157</v>
      </c>
      <c r="F7" s="381" t="s">
        <v>98</v>
      </c>
      <c r="G7" s="381" t="s">
        <v>159</v>
      </c>
      <c r="H7" s="381" t="s">
        <v>160</v>
      </c>
      <c r="I7" s="381" t="s">
        <v>160</v>
      </c>
    </row>
    <row r="8" spans="2:9">
      <c r="B8" s="381" t="s">
        <v>858</v>
      </c>
      <c r="C8" s="381" t="s">
        <v>161</v>
      </c>
      <c r="D8" s="381" t="s">
        <v>162</v>
      </c>
      <c r="E8" s="381" t="s">
        <v>146</v>
      </c>
      <c r="F8" s="381" t="s">
        <v>163</v>
      </c>
      <c r="G8" s="381" t="s">
        <v>209</v>
      </c>
      <c r="H8" s="381" t="s">
        <v>164</v>
      </c>
      <c r="I8" s="381" t="s">
        <v>164</v>
      </c>
    </row>
    <row r="9" spans="2:9">
      <c r="B9" s="382" t="s">
        <v>857</v>
      </c>
      <c r="C9" s="382" t="s">
        <v>143</v>
      </c>
      <c r="D9" s="383" t="s">
        <v>165</v>
      </c>
      <c r="E9" s="382" t="s">
        <v>123</v>
      </c>
      <c r="F9" s="383" t="s">
        <v>234</v>
      </c>
      <c r="G9" s="384" t="str">
        <f>CONCATENATE("Jan 1,",I1-1,"")</f>
        <v>Jan 1,2013</v>
      </c>
      <c r="H9" s="382">
        <f>I1-1</f>
        <v>2013</v>
      </c>
      <c r="I9" s="382">
        <f>I1</f>
        <v>2014</v>
      </c>
    </row>
    <row r="10" spans="2:9">
      <c r="B10" s="139" t="s">
        <v>1089</v>
      </c>
      <c r="C10" s="385">
        <v>41061</v>
      </c>
      <c r="D10" s="386">
        <v>60</v>
      </c>
      <c r="E10" s="387">
        <v>2.99</v>
      </c>
      <c r="F10" s="388">
        <v>55234</v>
      </c>
      <c r="G10" s="388"/>
      <c r="H10" s="388">
        <v>9924</v>
      </c>
      <c r="I10" s="388">
        <v>9924</v>
      </c>
    </row>
    <row r="11" spans="2:9">
      <c r="B11" s="139" t="s">
        <v>1090</v>
      </c>
      <c r="C11" s="385">
        <v>41122</v>
      </c>
      <c r="D11" s="386">
        <v>60</v>
      </c>
      <c r="E11" s="387">
        <v>2.44</v>
      </c>
      <c r="F11" s="388">
        <v>100700</v>
      </c>
      <c r="G11" s="388"/>
      <c r="H11" s="388">
        <v>34967</v>
      </c>
      <c r="I11" s="388">
        <v>34967</v>
      </c>
    </row>
    <row r="12" spans="2:9">
      <c r="B12" s="139"/>
      <c r="C12" s="385"/>
      <c r="D12" s="386"/>
      <c r="E12" s="387"/>
      <c r="F12" s="388"/>
      <c r="G12" s="388"/>
      <c r="H12" s="388"/>
      <c r="I12" s="388"/>
    </row>
    <row r="13" spans="2:9">
      <c r="B13" s="139"/>
      <c r="C13" s="385"/>
      <c r="D13" s="386"/>
      <c r="E13" s="387"/>
      <c r="F13" s="388"/>
      <c r="G13" s="388"/>
      <c r="H13" s="388"/>
      <c r="I13" s="388"/>
    </row>
    <row r="14" spans="2:9">
      <c r="B14" s="139"/>
      <c r="C14" s="385"/>
      <c r="D14" s="386"/>
      <c r="E14" s="387"/>
      <c r="F14" s="388"/>
      <c r="G14" s="388"/>
      <c r="H14" s="388"/>
      <c r="I14" s="388"/>
    </row>
    <row r="15" spans="2:9">
      <c r="B15" s="139"/>
      <c r="C15" s="385"/>
      <c r="D15" s="386"/>
      <c r="E15" s="387"/>
      <c r="F15" s="388"/>
      <c r="G15" s="388"/>
      <c r="H15" s="388"/>
      <c r="I15" s="388"/>
    </row>
    <row r="16" spans="2:9">
      <c r="B16" s="139"/>
      <c r="C16" s="385"/>
      <c r="D16" s="386"/>
      <c r="E16" s="387"/>
      <c r="F16" s="388"/>
      <c r="G16" s="388"/>
      <c r="H16" s="388"/>
      <c r="I16" s="388"/>
    </row>
    <row r="17" spans="2:9">
      <c r="B17" s="139"/>
      <c r="C17" s="385"/>
      <c r="D17" s="386"/>
      <c r="E17" s="387"/>
      <c r="F17" s="388"/>
      <c r="G17" s="388"/>
      <c r="H17" s="388"/>
      <c r="I17" s="388"/>
    </row>
    <row r="18" spans="2:9">
      <c r="B18" s="139"/>
      <c r="C18" s="385"/>
      <c r="D18" s="386"/>
      <c r="E18" s="387"/>
      <c r="F18" s="388"/>
      <c r="G18" s="388"/>
      <c r="H18" s="388"/>
      <c r="I18" s="388"/>
    </row>
    <row r="19" spans="2:9">
      <c r="B19" s="139"/>
      <c r="C19" s="385"/>
      <c r="D19" s="386"/>
      <c r="E19" s="387"/>
      <c r="F19" s="388"/>
      <c r="G19" s="388"/>
      <c r="H19" s="388"/>
      <c r="I19" s="388"/>
    </row>
    <row r="20" spans="2:9">
      <c r="B20" s="139"/>
      <c r="C20" s="385"/>
      <c r="D20" s="386"/>
      <c r="E20" s="387"/>
      <c r="F20" s="388"/>
      <c r="G20" s="388"/>
      <c r="H20" s="388"/>
      <c r="I20" s="388"/>
    </row>
    <row r="21" spans="2:9">
      <c r="B21" s="139"/>
      <c r="C21" s="385"/>
      <c r="D21" s="386"/>
      <c r="E21" s="387"/>
      <c r="F21" s="388"/>
      <c r="G21" s="388"/>
      <c r="H21" s="388"/>
      <c r="I21" s="388"/>
    </row>
    <row r="22" spans="2:9">
      <c r="B22" s="139"/>
      <c r="C22" s="385"/>
      <c r="D22" s="386"/>
      <c r="E22" s="387"/>
      <c r="F22" s="388"/>
      <c r="G22" s="388"/>
      <c r="H22" s="388"/>
      <c r="I22" s="388"/>
    </row>
    <row r="23" spans="2:9">
      <c r="B23" s="139"/>
      <c r="C23" s="385"/>
      <c r="D23" s="386"/>
      <c r="E23" s="387"/>
      <c r="F23" s="388"/>
      <c r="G23" s="388"/>
      <c r="H23" s="388"/>
      <c r="I23" s="388"/>
    </row>
    <row r="24" spans="2:9">
      <c r="B24" s="139"/>
      <c r="C24" s="385"/>
      <c r="D24" s="386"/>
      <c r="E24" s="387"/>
      <c r="F24" s="388"/>
      <c r="G24" s="388"/>
      <c r="H24" s="388"/>
      <c r="I24" s="388"/>
    </row>
    <row r="25" spans="2:9">
      <c r="B25" s="139"/>
      <c r="C25" s="385"/>
      <c r="D25" s="386"/>
      <c r="E25" s="387"/>
      <c r="F25" s="388"/>
      <c r="G25" s="388"/>
      <c r="H25" s="388"/>
      <c r="I25" s="388"/>
    </row>
    <row r="26" spans="2:9">
      <c r="B26" s="139"/>
      <c r="C26" s="385"/>
      <c r="D26" s="386"/>
      <c r="E26" s="387"/>
      <c r="F26" s="388"/>
      <c r="G26" s="388"/>
      <c r="H26" s="388"/>
      <c r="I26" s="388"/>
    </row>
    <row r="27" spans="2:9">
      <c r="B27" s="139"/>
      <c r="C27" s="385"/>
      <c r="D27" s="386"/>
      <c r="E27" s="387"/>
      <c r="F27" s="388"/>
      <c r="G27" s="388"/>
      <c r="H27" s="388"/>
      <c r="I27" s="388"/>
    </row>
    <row r="28" spans="2:9" ht="16.5" thickBot="1">
      <c r="B28" s="374"/>
      <c r="C28" s="113"/>
      <c r="D28" s="113"/>
      <c r="E28" s="113"/>
      <c r="F28" s="710" t="s">
        <v>93</v>
      </c>
      <c r="G28" s="389">
        <f>SUM(G10:G27)</f>
        <v>0</v>
      </c>
      <c r="H28" s="389">
        <f>SUM(H10:H27)</f>
        <v>44891</v>
      </c>
      <c r="I28" s="389">
        <f>SUM(I10:I27)</f>
        <v>44891</v>
      </c>
    </row>
    <row r="29" spans="2:9" ht="16.5" thickTop="1">
      <c r="B29" s="85"/>
      <c r="C29" s="85"/>
      <c r="D29" s="85"/>
      <c r="E29" s="85"/>
      <c r="F29" s="85"/>
      <c r="G29" s="85"/>
      <c r="H29" s="105"/>
      <c r="I29" s="105"/>
    </row>
    <row r="30" spans="2:9">
      <c r="B30" s="390" t="s">
        <v>23</v>
      </c>
      <c r="C30" s="391"/>
      <c r="D30" s="391"/>
      <c r="E30" s="391"/>
      <c r="F30" s="391"/>
      <c r="G30" s="391"/>
      <c r="H30" s="105"/>
      <c r="I30" s="105"/>
    </row>
  </sheetData>
  <sheetProtection sheet="1"/>
  <phoneticPr fontId="0" type="noConversion"/>
  <pageMargins left="0.83" right="0.25" top="1" bottom="0.5" header="0.5" footer="0.5"/>
  <pageSetup scale="85" orientation="landscape" blackAndWhite="1"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16" zoomScaleNormal="100" workbookViewId="0">
      <selection activeCell="P12" sqref="P12"/>
    </sheetView>
  </sheetViews>
  <sheetFormatPr defaultColWidth="8.88671875" defaultRowHeight="15"/>
  <cols>
    <col min="1" max="1" width="2.5546875" style="712" customWidth="1"/>
    <col min="2" max="4" width="8.88671875" style="712"/>
    <col min="5" max="5" width="9.6640625" style="712" customWidth="1"/>
    <col min="6" max="6" width="8.88671875" style="712"/>
    <col min="7" max="7" width="9.6640625" style="712" customWidth="1"/>
    <col min="8" max="16384" width="8.88671875" style="712"/>
  </cols>
  <sheetData>
    <row r="1" spans="2:9" ht="15.75">
      <c r="B1" s="711"/>
      <c r="C1" s="711"/>
      <c r="D1" s="711"/>
      <c r="E1" s="711"/>
      <c r="F1" s="711"/>
      <c r="G1" s="711"/>
      <c r="H1" s="711"/>
      <c r="I1" s="711"/>
    </row>
    <row r="2" spans="2:9" ht="15.75">
      <c r="B2" s="878" t="s">
        <v>859</v>
      </c>
      <c r="C2" s="878"/>
      <c r="D2" s="878"/>
      <c r="E2" s="878"/>
      <c r="F2" s="878"/>
      <c r="G2" s="878"/>
      <c r="H2" s="878"/>
      <c r="I2" s="878"/>
    </row>
    <row r="3" spans="2:9" ht="15.75">
      <c r="B3" s="878" t="s">
        <v>860</v>
      </c>
      <c r="C3" s="878"/>
      <c r="D3" s="878"/>
      <c r="E3" s="878"/>
      <c r="F3" s="878"/>
      <c r="G3" s="878"/>
      <c r="H3" s="878"/>
      <c r="I3" s="878"/>
    </row>
    <row r="4" spans="2:9" ht="15.75">
      <c r="B4" s="713"/>
      <c r="C4" s="713"/>
      <c r="D4" s="713"/>
      <c r="E4" s="713"/>
      <c r="F4" s="713"/>
      <c r="G4" s="713"/>
      <c r="H4" s="713"/>
      <c r="I4" s="713"/>
    </row>
    <row r="5" spans="2:9" ht="15.75">
      <c r="B5" s="879" t="str">
        <f>CONCATENATE("Budgeted Year: ",inputPrYr!C5,"")</f>
        <v>Budgeted Year: 2014</v>
      </c>
      <c r="C5" s="879"/>
      <c r="D5" s="879"/>
      <c r="E5" s="879"/>
      <c r="F5" s="879"/>
      <c r="G5" s="879"/>
      <c r="H5" s="879"/>
      <c r="I5" s="879"/>
    </row>
    <row r="6" spans="2:9" ht="15.75">
      <c r="B6" s="714"/>
      <c r="C6" s="713"/>
      <c r="D6" s="713"/>
      <c r="E6" s="713"/>
      <c r="F6" s="713"/>
      <c r="G6" s="713"/>
      <c r="H6" s="713"/>
      <c r="I6" s="713"/>
    </row>
    <row r="7" spans="2:9" ht="15.75">
      <c r="B7" s="714" t="str">
        <f>CONCATENATE("Library found in: ",inputPrYr!D2,"")</f>
        <v>Library found in: City of Hiawatha</v>
      </c>
      <c r="C7" s="713"/>
      <c r="D7" s="713"/>
      <c r="E7" s="713"/>
      <c r="F7" s="713"/>
      <c r="G7" s="713"/>
      <c r="H7" s="713"/>
      <c r="I7" s="713"/>
    </row>
    <row r="8" spans="2:9" ht="15.75">
      <c r="B8" s="714" t="str">
        <f>inputPrYr!D3</f>
        <v>Brown</v>
      </c>
      <c r="C8" s="713"/>
      <c r="D8" s="713"/>
      <c r="E8" s="713"/>
      <c r="F8" s="713"/>
      <c r="G8" s="713"/>
      <c r="H8" s="713"/>
      <c r="I8" s="713"/>
    </row>
    <row r="9" spans="2:9" ht="15.75">
      <c r="B9" s="713"/>
      <c r="C9" s="713"/>
      <c r="D9" s="713"/>
      <c r="E9" s="713"/>
      <c r="F9" s="713"/>
      <c r="G9" s="713"/>
      <c r="H9" s="713"/>
      <c r="I9" s="713"/>
    </row>
    <row r="10" spans="2:9" ht="39" customHeight="1">
      <c r="B10" s="880" t="s">
        <v>861</v>
      </c>
      <c r="C10" s="880"/>
      <c r="D10" s="880"/>
      <c r="E10" s="880"/>
      <c r="F10" s="880"/>
      <c r="G10" s="880"/>
      <c r="H10" s="880"/>
      <c r="I10" s="880"/>
    </row>
    <row r="11" spans="2:9" ht="15.75">
      <c r="B11" s="713"/>
      <c r="C11" s="713"/>
      <c r="D11" s="713"/>
      <c r="E11" s="713"/>
      <c r="F11" s="713"/>
      <c r="G11" s="713"/>
      <c r="H11" s="713"/>
      <c r="I11" s="713"/>
    </row>
    <row r="12" spans="2:9" ht="15.75">
      <c r="B12" s="715" t="s">
        <v>862</v>
      </c>
      <c r="C12" s="713"/>
      <c r="D12" s="713"/>
      <c r="E12" s="713"/>
      <c r="F12" s="713"/>
      <c r="G12" s="713"/>
      <c r="H12" s="713"/>
      <c r="I12" s="713"/>
    </row>
    <row r="13" spans="2:9" ht="15.75">
      <c r="B13" s="713"/>
      <c r="C13" s="713"/>
      <c r="D13" s="713"/>
      <c r="E13" s="716" t="s">
        <v>849</v>
      </c>
      <c r="F13" s="713"/>
      <c r="G13" s="716" t="s">
        <v>863</v>
      </c>
      <c r="H13" s="713"/>
      <c r="I13" s="713"/>
    </row>
    <row r="14" spans="2:9" ht="15.75">
      <c r="B14" s="713"/>
      <c r="C14" s="713"/>
      <c r="D14" s="713"/>
      <c r="E14" s="717">
        <f>inputPrYr!C5-1</f>
        <v>2013</v>
      </c>
      <c r="F14" s="713"/>
      <c r="G14" s="717">
        <f>inputPrYr!C5</f>
        <v>2014</v>
      </c>
      <c r="H14" s="713"/>
      <c r="I14" s="713"/>
    </row>
    <row r="15" spans="2:9" ht="15.75">
      <c r="B15" s="714" t="str">
        <f>'DebtSvs-Library'!B47</f>
        <v>Ad Valorem Tax</v>
      </c>
      <c r="C15" s="713"/>
      <c r="D15" s="713"/>
      <c r="E15" s="718">
        <f>'DebtSvs-Library'!D47</f>
        <v>114353</v>
      </c>
      <c r="F15" s="713"/>
      <c r="G15" s="718">
        <f>'DebtSvs-Library'!E80</f>
        <v>147064</v>
      </c>
      <c r="H15" s="713"/>
      <c r="I15" s="713"/>
    </row>
    <row r="16" spans="2:9" ht="15.75">
      <c r="B16" s="714" t="str">
        <f>'DebtSvs-Library'!B48</f>
        <v>Delinquent Tax</v>
      </c>
      <c r="C16" s="713"/>
      <c r="D16" s="713"/>
      <c r="E16" s="718">
        <f>'DebtSvs-Library'!D48</f>
        <v>50</v>
      </c>
      <c r="F16" s="713"/>
      <c r="G16" s="718">
        <f>'DebtSvs-Library'!E48</f>
        <v>50</v>
      </c>
      <c r="H16" s="713"/>
      <c r="I16" s="713"/>
    </row>
    <row r="17" spans="2:9" ht="15.75">
      <c r="B17" s="714" t="str">
        <f>'DebtSvs-Library'!B49</f>
        <v>Motor Vehicle Tax</v>
      </c>
      <c r="C17" s="713"/>
      <c r="D17" s="713"/>
      <c r="E17" s="718">
        <f>'DebtSvs-Library'!D49</f>
        <v>14450</v>
      </c>
      <c r="F17" s="713"/>
      <c r="G17" s="718">
        <f>'DebtSvs-Library'!E49</f>
        <v>14559</v>
      </c>
      <c r="H17" s="713"/>
      <c r="I17" s="713"/>
    </row>
    <row r="18" spans="2:9" ht="15.75">
      <c r="B18" s="714" t="str">
        <f>'DebtSvs-Library'!B50</f>
        <v>Recreational Vehicle Tax</v>
      </c>
      <c r="C18" s="713"/>
      <c r="D18" s="713"/>
      <c r="E18" s="718">
        <f>'DebtSvs-Library'!D50</f>
        <v>200</v>
      </c>
      <c r="F18" s="713"/>
      <c r="G18" s="718">
        <f>'DebtSvs-Library'!E50</f>
        <v>200</v>
      </c>
      <c r="H18" s="713"/>
      <c r="I18" s="713"/>
    </row>
    <row r="19" spans="2:9" ht="15.75">
      <c r="B19" s="714" t="str">
        <f>'DebtSvs-Library'!B51</f>
        <v>16/20M Vehicle Tax</v>
      </c>
      <c r="C19" s="713"/>
      <c r="D19" s="713"/>
      <c r="E19" s="718">
        <f>'DebtSvs-Library'!D51</f>
        <v>0</v>
      </c>
      <c r="F19" s="713"/>
      <c r="G19" s="718">
        <f>'DebtSvs-Library'!E51</f>
        <v>237</v>
      </c>
      <c r="H19" s="713"/>
      <c r="I19" s="713"/>
    </row>
    <row r="20" spans="2:9" ht="15.75">
      <c r="B20" s="713" t="s">
        <v>265</v>
      </c>
      <c r="C20" s="713"/>
      <c r="D20" s="713"/>
      <c r="E20" s="718">
        <v>0</v>
      </c>
      <c r="F20" s="713"/>
      <c r="G20" s="718"/>
      <c r="H20" s="713"/>
      <c r="I20" s="713"/>
    </row>
    <row r="21" spans="2:9" ht="15.75">
      <c r="B21" s="713"/>
      <c r="C21" s="713"/>
      <c r="D21" s="713"/>
      <c r="E21" s="718">
        <v>0</v>
      </c>
      <c r="F21" s="713"/>
      <c r="G21" s="718">
        <v>0</v>
      </c>
      <c r="H21" s="713"/>
      <c r="I21" s="713"/>
    </row>
    <row r="22" spans="2:9" ht="15.75">
      <c r="B22" s="713" t="s">
        <v>864</v>
      </c>
      <c r="C22" s="713"/>
      <c r="D22" s="713"/>
      <c r="E22" s="719">
        <f>SUM(E15:E21)</f>
        <v>129053</v>
      </c>
      <c r="F22" s="713"/>
      <c r="G22" s="719">
        <f>SUM(G15:G21)</f>
        <v>162110</v>
      </c>
      <c r="H22" s="713"/>
      <c r="I22" s="713"/>
    </row>
    <row r="23" spans="2:9" ht="15.75">
      <c r="B23" s="713" t="s">
        <v>865</v>
      </c>
      <c r="C23" s="713"/>
      <c r="D23" s="713"/>
      <c r="E23" s="720">
        <f>G22-E22</f>
        <v>33057</v>
      </c>
      <c r="F23" s="713"/>
      <c r="G23" s="721"/>
      <c r="H23" s="713"/>
      <c r="I23" s="713"/>
    </row>
    <row r="24" spans="2:9" ht="15.75">
      <c r="B24" s="713" t="s">
        <v>866</v>
      </c>
      <c r="C24" s="713"/>
      <c r="D24" s="722" t="str">
        <f>IF((G22-E22)&gt;0,"Qualify","Not Qualify")</f>
        <v>Qualify</v>
      </c>
      <c r="E24" s="713"/>
      <c r="F24" s="713"/>
      <c r="G24" s="713"/>
      <c r="H24" s="713"/>
      <c r="I24" s="713"/>
    </row>
    <row r="25" spans="2:9" ht="15.75">
      <c r="B25" s="713"/>
      <c r="C25" s="713"/>
      <c r="D25" s="713"/>
      <c r="E25" s="713"/>
      <c r="F25" s="713"/>
      <c r="G25" s="713"/>
      <c r="H25" s="713"/>
      <c r="I25" s="713"/>
    </row>
    <row r="26" spans="2:9" ht="15.75">
      <c r="B26" s="715" t="s">
        <v>867</v>
      </c>
      <c r="C26" s="713"/>
      <c r="D26" s="713"/>
      <c r="E26" s="713"/>
      <c r="F26" s="713"/>
      <c r="G26" s="713"/>
      <c r="H26" s="713"/>
      <c r="I26" s="713"/>
    </row>
    <row r="27" spans="2:9" ht="15.75">
      <c r="B27" s="713" t="s">
        <v>868</v>
      </c>
      <c r="C27" s="713"/>
      <c r="D27" s="713"/>
      <c r="E27" s="718">
        <f>summ!D53</f>
        <v>20511061</v>
      </c>
      <c r="F27" s="713"/>
      <c r="G27" s="718">
        <f>summ!F53</f>
        <v>21836937</v>
      </c>
      <c r="H27" s="713"/>
      <c r="I27" s="713"/>
    </row>
    <row r="28" spans="2:9" ht="15.75">
      <c r="B28" s="713" t="s">
        <v>869</v>
      </c>
      <c r="C28" s="713"/>
      <c r="D28" s="713"/>
      <c r="E28" s="723" t="str">
        <f>IF(G27-E27&gt;=0,"No","Yes")</f>
        <v>No</v>
      </c>
      <c r="F28" s="713"/>
      <c r="G28" s="713"/>
      <c r="H28" s="713"/>
      <c r="I28" s="713"/>
    </row>
    <row r="29" spans="2:9" ht="15.75">
      <c r="B29" s="713" t="s">
        <v>870</v>
      </c>
      <c r="C29" s="713"/>
      <c r="D29" s="713"/>
      <c r="E29" s="716">
        <f>summ!E17</f>
        <v>5.601</v>
      </c>
      <c r="F29" s="713"/>
      <c r="G29" s="724">
        <f>summ!H17</f>
        <v>6.7350000000000003</v>
      </c>
      <c r="H29" s="713"/>
      <c r="I29" s="713"/>
    </row>
    <row r="30" spans="2:9" ht="15.75">
      <c r="B30" s="713" t="s">
        <v>871</v>
      </c>
      <c r="C30" s="713"/>
      <c r="D30" s="713"/>
      <c r="E30" s="725">
        <f>G29-E29</f>
        <v>1.1340000000000003</v>
      </c>
      <c r="F30" s="713"/>
      <c r="G30" s="713"/>
      <c r="H30" s="713"/>
      <c r="I30" s="713"/>
    </row>
    <row r="31" spans="2:9" ht="15.75">
      <c r="B31" s="713" t="s">
        <v>866</v>
      </c>
      <c r="C31" s="713"/>
      <c r="D31" s="726" t="str">
        <f>IF(E30&gt;=0,"Qualify","Not Qualify")</f>
        <v>Qualify</v>
      </c>
      <c r="E31" s="713"/>
      <c r="F31" s="713"/>
      <c r="G31" s="713"/>
      <c r="H31" s="713"/>
      <c r="I31" s="713"/>
    </row>
    <row r="32" spans="2:9" ht="15.75">
      <c r="B32" s="713"/>
      <c r="C32" s="713"/>
      <c r="D32" s="713"/>
      <c r="E32" s="713"/>
      <c r="F32" s="713"/>
      <c r="G32" s="713"/>
      <c r="H32" s="713"/>
      <c r="I32" s="713"/>
    </row>
    <row r="33" spans="2:9" ht="15.75">
      <c r="B33" s="713" t="s">
        <v>872</v>
      </c>
      <c r="C33" s="713"/>
      <c r="D33" s="713"/>
      <c r="E33" s="713"/>
      <c r="F33" s="727" t="str">
        <f>IF(D24="Not Qualify",IF(D31="Not Qualify",IF(D31="Not Qualify","Not Qualify","Qualify"),"Qualify"),"Qualify")</f>
        <v>Qualify</v>
      </c>
      <c r="G33" s="713"/>
      <c r="H33" s="713"/>
      <c r="I33" s="713"/>
    </row>
    <row r="34" spans="2:9" ht="15.75">
      <c r="B34" s="713"/>
      <c r="C34" s="713"/>
      <c r="D34" s="713"/>
      <c r="E34" s="713"/>
      <c r="F34" s="713"/>
      <c r="G34" s="713"/>
      <c r="H34" s="713"/>
      <c r="I34" s="713"/>
    </row>
    <row r="35" spans="2:9" ht="15.75">
      <c r="B35" s="713"/>
      <c r="C35" s="713"/>
      <c r="D35" s="713"/>
      <c r="E35" s="713"/>
      <c r="F35" s="713"/>
      <c r="G35" s="713"/>
      <c r="H35" s="713"/>
      <c r="I35" s="713"/>
    </row>
    <row r="36" spans="2:9" ht="37.5" customHeight="1">
      <c r="B36" s="880" t="s">
        <v>873</v>
      </c>
      <c r="C36" s="880"/>
      <c r="D36" s="880"/>
      <c r="E36" s="880"/>
      <c r="F36" s="880"/>
      <c r="G36" s="880"/>
      <c r="H36" s="880"/>
      <c r="I36" s="880"/>
    </row>
    <row r="37" spans="2:9" ht="15.75">
      <c r="B37" s="713"/>
      <c r="C37" s="713"/>
      <c r="D37" s="713"/>
      <c r="E37" s="713"/>
      <c r="F37" s="713"/>
      <c r="G37" s="713"/>
      <c r="H37" s="713"/>
      <c r="I37" s="713"/>
    </row>
    <row r="38" spans="2:9" ht="15.75">
      <c r="B38" s="713"/>
      <c r="C38" s="713"/>
      <c r="D38" s="713"/>
      <c r="E38" s="713"/>
      <c r="F38" s="713"/>
      <c r="G38" s="713"/>
      <c r="H38" s="713"/>
      <c r="I38" s="713"/>
    </row>
    <row r="39" spans="2:9" ht="15.75">
      <c r="B39" s="713"/>
      <c r="C39" s="713"/>
      <c r="D39" s="713"/>
      <c r="E39" s="713"/>
      <c r="F39" s="713"/>
      <c r="G39" s="713"/>
      <c r="H39" s="713"/>
      <c r="I39" s="713"/>
    </row>
    <row r="40" spans="2:9" ht="15.75">
      <c r="B40" s="713"/>
      <c r="C40" s="713"/>
      <c r="D40" s="713"/>
      <c r="E40" s="728" t="s">
        <v>116</v>
      </c>
      <c r="F40" s="729">
        <v>7</v>
      </c>
      <c r="G40" s="713"/>
      <c r="H40" s="713"/>
      <c r="I40" s="713"/>
    </row>
    <row r="41" spans="2:9" ht="15.75">
      <c r="B41" s="713"/>
      <c r="C41" s="713"/>
      <c r="D41" s="713"/>
      <c r="E41" s="713"/>
      <c r="F41" s="713"/>
      <c r="G41" s="713"/>
      <c r="H41" s="713"/>
      <c r="I41" s="713"/>
    </row>
    <row r="42" spans="2:9" ht="15.75">
      <c r="B42" s="713"/>
      <c r="C42" s="713"/>
      <c r="D42" s="713"/>
      <c r="E42" s="713"/>
      <c r="F42" s="713"/>
      <c r="G42" s="713"/>
      <c r="H42" s="713"/>
      <c r="I42" s="713"/>
    </row>
    <row r="43" spans="2:9" ht="15.75">
      <c r="B43" s="876" t="s">
        <v>874</v>
      </c>
      <c r="C43" s="877"/>
      <c r="D43" s="877"/>
      <c r="E43" s="877"/>
      <c r="F43" s="877"/>
      <c r="G43" s="877"/>
      <c r="H43" s="877"/>
      <c r="I43" s="877"/>
    </row>
    <row r="44" spans="2:9" ht="15.75">
      <c r="B44" s="713"/>
      <c r="C44" s="713"/>
      <c r="D44" s="713"/>
      <c r="E44" s="713"/>
      <c r="F44" s="713"/>
      <c r="G44" s="713"/>
      <c r="H44" s="713"/>
      <c r="I44" s="713"/>
    </row>
    <row r="45" spans="2:9" ht="15.75">
      <c r="B45" s="730" t="s">
        <v>875</v>
      </c>
      <c r="C45" s="713"/>
      <c r="D45" s="713"/>
      <c r="E45" s="713"/>
      <c r="F45" s="713"/>
      <c r="G45" s="713"/>
      <c r="H45" s="713"/>
      <c r="I45" s="713"/>
    </row>
    <row r="46" spans="2:9" ht="15.75">
      <c r="B46" s="730" t="str">
        <f>CONCATENATE("sources in your ",G14," library fund is not equal to or greater than the amount from the same")</f>
        <v>sources in your 2014 library fund is not equal to or greater than the amount from the same</v>
      </c>
      <c r="C46" s="713"/>
      <c r="D46" s="713"/>
      <c r="E46" s="713"/>
      <c r="F46" s="713"/>
      <c r="G46" s="713"/>
      <c r="H46" s="713"/>
      <c r="I46" s="713"/>
    </row>
    <row r="47" spans="2:9" ht="15.75">
      <c r="B47" s="730" t="str">
        <f>CONCATENATE("sources in ",E14,".")</f>
        <v>sources in 2013.</v>
      </c>
      <c r="C47" s="711"/>
      <c r="D47" s="711"/>
      <c r="E47" s="711"/>
      <c r="F47" s="711"/>
      <c r="G47" s="711"/>
      <c r="H47" s="711"/>
      <c r="I47" s="711"/>
    </row>
    <row r="48" spans="2:9" ht="15.75">
      <c r="B48" s="711"/>
      <c r="C48" s="711"/>
      <c r="D48" s="711"/>
      <c r="E48" s="711"/>
      <c r="F48" s="711"/>
      <c r="G48" s="711"/>
      <c r="H48" s="711"/>
      <c r="I48" s="711"/>
    </row>
    <row r="49" spans="2:9" ht="15.75">
      <c r="B49" s="730" t="s">
        <v>876</v>
      </c>
      <c r="C49" s="730"/>
      <c r="D49" s="731"/>
      <c r="E49" s="731"/>
      <c r="F49" s="731"/>
      <c r="G49" s="731"/>
      <c r="H49" s="731"/>
      <c r="I49" s="731"/>
    </row>
    <row r="50" spans="2:9" ht="15.75">
      <c r="B50" s="730" t="s">
        <v>877</v>
      </c>
      <c r="C50" s="730"/>
      <c r="D50" s="731"/>
      <c r="E50" s="731"/>
      <c r="F50" s="731"/>
      <c r="G50" s="731"/>
      <c r="H50" s="731"/>
      <c r="I50" s="731"/>
    </row>
    <row r="51" spans="2:9" ht="15.75">
      <c r="B51" s="730" t="s">
        <v>878</v>
      </c>
      <c r="C51" s="730"/>
      <c r="D51" s="731"/>
      <c r="E51" s="731"/>
      <c r="F51" s="731"/>
      <c r="G51" s="731"/>
      <c r="H51" s="731"/>
      <c r="I51" s="731"/>
    </row>
    <row r="52" spans="2:9">
      <c r="B52" s="731"/>
      <c r="C52" s="731"/>
      <c r="D52" s="731"/>
      <c r="E52" s="731"/>
      <c r="F52" s="731"/>
      <c r="G52" s="731"/>
      <c r="H52" s="731"/>
      <c r="I52" s="731"/>
    </row>
    <row r="53" spans="2:9" ht="15.75">
      <c r="B53" s="732" t="s">
        <v>879</v>
      </c>
      <c r="C53" s="731"/>
      <c r="D53" s="731"/>
      <c r="E53" s="731"/>
      <c r="F53" s="731"/>
      <c r="G53" s="731"/>
      <c r="H53" s="731"/>
      <c r="I53" s="731"/>
    </row>
    <row r="54" spans="2:9">
      <c r="B54" s="731"/>
      <c r="C54" s="731"/>
      <c r="D54" s="731"/>
      <c r="E54" s="731"/>
      <c r="F54" s="731"/>
      <c r="G54" s="731"/>
      <c r="H54" s="731"/>
      <c r="I54" s="731"/>
    </row>
    <row r="55" spans="2:9" ht="15.75">
      <c r="B55" s="730" t="s">
        <v>880</v>
      </c>
      <c r="C55" s="731"/>
      <c r="D55" s="731"/>
      <c r="E55" s="731"/>
      <c r="F55" s="731"/>
      <c r="G55" s="731"/>
      <c r="H55" s="731"/>
      <c r="I55" s="731"/>
    </row>
    <row r="56" spans="2:9" ht="15.75">
      <c r="B56" s="730" t="s">
        <v>881</v>
      </c>
      <c r="C56" s="731"/>
      <c r="D56" s="731"/>
      <c r="E56" s="731"/>
      <c r="F56" s="731"/>
      <c r="G56" s="731"/>
      <c r="H56" s="731"/>
      <c r="I56" s="731"/>
    </row>
    <row r="57" spans="2:9">
      <c r="B57" s="731"/>
      <c r="C57" s="731"/>
      <c r="D57" s="731"/>
      <c r="E57" s="731"/>
      <c r="F57" s="731"/>
      <c r="G57" s="731"/>
      <c r="H57" s="731"/>
      <c r="I57" s="731"/>
    </row>
    <row r="58" spans="2:9" ht="15.75">
      <c r="B58" s="732" t="s">
        <v>882</v>
      </c>
      <c r="C58" s="730"/>
      <c r="D58" s="730"/>
      <c r="E58" s="730"/>
      <c r="F58" s="730"/>
      <c r="G58" s="731"/>
      <c r="H58" s="731"/>
      <c r="I58" s="731"/>
    </row>
    <row r="59" spans="2:9" ht="15.75">
      <c r="B59" s="730"/>
      <c r="C59" s="730"/>
      <c r="D59" s="730"/>
      <c r="E59" s="730"/>
      <c r="F59" s="730"/>
      <c r="G59" s="731"/>
      <c r="H59" s="731"/>
      <c r="I59" s="731"/>
    </row>
    <row r="60" spans="2:9" ht="15.75">
      <c r="B60" s="730" t="s">
        <v>883</v>
      </c>
      <c r="C60" s="730"/>
      <c r="D60" s="730"/>
      <c r="E60" s="730"/>
      <c r="F60" s="730"/>
      <c r="G60" s="731"/>
      <c r="H60" s="731"/>
      <c r="I60" s="731"/>
    </row>
    <row r="61" spans="2:9" ht="15.75">
      <c r="B61" s="730" t="s">
        <v>884</v>
      </c>
      <c r="C61" s="730"/>
      <c r="D61" s="730"/>
      <c r="E61" s="730"/>
      <c r="F61" s="730"/>
      <c r="G61" s="731"/>
      <c r="H61" s="731"/>
      <c r="I61" s="731"/>
    </row>
    <row r="62" spans="2:9" ht="15.75">
      <c r="B62" s="730" t="s">
        <v>885</v>
      </c>
      <c r="C62" s="730"/>
      <c r="D62" s="730"/>
      <c r="E62" s="730"/>
      <c r="F62" s="730"/>
      <c r="G62" s="731"/>
      <c r="H62" s="731"/>
      <c r="I62" s="731"/>
    </row>
    <row r="63" spans="2:9" ht="15.75">
      <c r="B63" s="730" t="s">
        <v>886</v>
      </c>
      <c r="C63" s="730"/>
      <c r="D63" s="730"/>
      <c r="E63" s="730"/>
      <c r="F63" s="730"/>
      <c r="G63" s="731"/>
      <c r="H63" s="731"/>
      <c r="I63" s="731"/>
    </row>
    <row r="64" spans="2:9">
      <c r="B64" s="733"/>
      <c r="C64" s="733"/>
      <c r="D64" s="733"/>
      <c r="E64" s="733"/>
      <c r="F64" s="733"/>
      <c r="G64" s="731"/>
      <c r="H64" s="731"/>
      <c r="I64" s="731"/>
    </row>
    <row r="65" spans="2:9" ht="15.75">
      <c r="B65" s="730" t="s">
        <v>887</v>
      </c>
      <c r="C65" s="733"/>
      <c r="D65" s="733"/>
      <c r="E65" s="733"/>
      <c r="F65" s="733"/>
      <c r="G65" s="731"/>
      <c r="H65" s="731"/>
      <c r="I65" s="731"/>
    </row>
    <row r="66" spans="2:9" ht="15.75">
      <c r="B66" s="730" t="s">
        <v>888</v>
      </c>
      <c r="C66" s="733"/>
      <c r="D66" s="733"/>
      <c r="E66" s="733"/>
      <c r="F66" s="733"/>
      <c r="G66" s="731"/>
      <c r="H66" s="731"/>
      <c r="I66" s="731"/>
    </row>
    <row r="67" spans="2:9">
      <c r="B67" s="733"/>
      <c r="C67" s="733"/>
      <c r="D67" s="733"/>
      <c r="E67" s="733"/>
      <c r="F67" s="733"/>
      <c r="G67" s="731"/>
      <c r="H67" s="731"/>
      <c r="I67" s="731"/>
    </row>
    <row r="68" spans="2:9" ht="15.75">
      <c r="B68" s="730" t="s">
        <v>889</v>
      </c>
      <c r="C68" s="733"/>
      <c r="D68" s="733"/>
      <c r="E68" s="733"/>
      <c r="F68" s="733"/>
      <c r="G68" s="731"/>
      <c r="H68" s="731"/>
      <c r="I68" s="731"/>
    </row>
    <row r="69" spans="2:9" ht="15.75">
      <c r="B69" s="730" t="s">
        <v>890</v>
      </c>
      <c r="C69" s="733"/>
      <c r="D69" s="733"/>
      <c r="E69" s="733"/>
      <c r="F69" s="733"/>
      <c r="G69" s="731"/>
      <c r="H69" s="731"/>
      <c r="I69" s="731"/>
    </row>
    <row r="70" spans="2:9">
      <c r="B70" s="733"/>
      <c r="C70" s="733"/>
      <c r="D70" s="733"/>
      <c r="E70" s="733"/>
      <c r="F70" s="733"/>
      <c r="G70" s="731"/>
      <c r="H70" s="731"/>
      <c r="I70" s="731"/>
    </row>
    <row r="71" spans="2:9" ht="15.75">
      <c r="B71" s="732" t="s">
        <v>891</v>
      </c>
      <c r="C71" s="733"/>
      <c r="D71" s="733"/>
      <c r="E71" s="733"/>
      <c r="F71" s="733"/>
      <c r="G71" s="731"/>
      <c r="H71" s="731"/>
      <c r="I71" s="731"/>
    </row>
    <row r="72" spans="2:9">
      <c r="B72" s="733"/>
      <c r="C72" s="733"/>
      <c r="D72" s="733"/>
      <c r="E72" s="733"/>
      <c r="F72" s="733"/>
      <c r="G72" s="731"/>
      <c r="H72" s="731"/>
      <c r="I72" s="731"/>
    </row>
    <row r="73" spans="2:9" ht="15.75">
      <c r="B73" s="730" t="s">
        <v>892</v>
      </c>
      <c r="C73" s="733"/>
      <c r="D73" s="733"/>
      <c r="E73" s="733"/>
      <c r="F73" s="733"/>
      <c r="G73" s="731"/>
      <c r="H73" s="731"/>
      <c r="I73" s="731"/>
    </row>
    <row r="74" spans="2:9" ht="15.75">
      <c r="B74" s="730" t="s">
        <v>893</v>
      </c>
      <c r="C74" s="733"/>
      <c r="D74" s="733"/>
      <c r="E74" s="733"/>
      <c r="F74" s="733"/>
      <c r="G74" s="731"/>
      <c r="H74" s="731"/>
      <c r="I74" s="731"/>
    </row>
    <row r="75" spans="2:9">
      <c r="B75" s="733"/>
      <c r="C75" s="733"/>
      <c r="D75" s="733"/>
      <c r="E75" s="733"/>
      <c r="F75" s="733"/>
      <c r="G75" s="731"/>
      <c r="H75" s="731"/>
      <c r="I75" s="731"/>
    </row>
    <row r="76" spans="2:9" ht="15.75">
      <c r="B76" s="732" t="s">
        <v>894</v>
      </c>
      <c r="C76" s="733"/>
      <c r="D76" s="733"/>
      <c r="E76" s="733"/>
      <c r="F76" s="733"/>
      <c r="G76" s="731"/>
      <c r="H76" s="731"/>
      <c r="I76" s="731"/>
    </row>
    <row r="77" spans="2:9">
      <c r="B77" s="733"/>
      <c r="C77" s="733"/>
      <c r="D77" s="733"/>
      <c r="E77" s="733"/>
      <c r="F77" s="733"/>
      <c r="G77" s="731"/>
      <c r="H77" s="731"/>
      <c r="I77" s="731"/>
    </row>
    <row r="78" spans="2:9" ht="15.75">
      <c r="B78" s="730" t="str">
        <f>CONCATENATE("If the ",G14," municipal budget has not been published and has not been submitted to the County")</f>
        <v>If the 2014 municipal budget has not been published and has not been submitted to the County</v>
      </c>
      <c r="C78" s="733"/>
      <c r="D78" s="733"/>
      <c r="E78" s="733"/>
      <c r="F78" s="733"/>
      <c r="G78" s="731"/>
      <c r="H78" s="731"/>
      <c r="I78" s="731"/>
    </row>
    <row r="79" spans="2:9" ht="15.75">
      <c r="B79" s="730" t="s">
        <v>895</v>
      </c>
      <c r="C79" s="733"/>
      <c r="D79" s="733"/>
      <c r="E79" s="733"/>
      <c r="F79" s="733"/>
      <c r="G79" s="731"/>
      <c r="H79" s="731"/>
      <c r="I79" s="731"/>
    </row>
    <row r="80" spans="2:9">
      <c r="B80" s="733"/>
      <c r="C80" s="733"/>
      <c r="D80" s="733"/>
      <c r="E80" s="733"/>
      <c r="F80" s="733"/>
      <c r="G80" s="731"/>
      <c r="H80" s="731"/>
      <c r="I80" s="731"/>
    </row>
    <row r="81" spans="2:9" ht="15.75">
      <c r="B81" s="732" t="s">
        <v>461</v>
      </c>
      <c r="C81" s="733"/>
      <c r="D81" s="733"/>
      <c r="E81" s="733"/>
      <c r="F81" s="733"/>
      <c r="G81" s="731"/>
      <c r="H81" s="731"/>
      <c r="I81" s="731"/>
    </row>
    <row r="82" spans="2:9">
      <c r="B82" s="733"/>
      <c r="C82" s="733"/>
      <c r="D82" s="733"/>
      <c r="E82" s="733"/>
      <c r="F82" s="733"/>
      <c r="G82" s="731"/>
      <c r="H82" s="731"/>
      <c r="I82" s="731"/>
    </row>
    <row r="83" spans="2:9" ht="15.75">
      <c r="B83" s="730" t="s">
        <v>896</v>
      </c>
      <c r="C83" s="733"/>
      <c r="D83" s="733"/>
      <c r="E83" s="733"/>
      <c r="F83" s="733"/>
      <c r="G83" s="731"/>
      <c r="H83" s="731"/>
      <c r="I83" s="731"/>
    </row>
    <row r="84" spans="2:9" ht="15.75">
      <c r="B84" s="730" t="str">
        <f>CONCATENATE("Budget Year ",G14," is equal to or greater than that for Current Year Estimate ",E14,".")</f>
        <v>Budget Year 2014 is equal to or greater than that for Current Year Estimate 2013.</v>
      </c>
      <c r="C84" s="733"/>
      <c r="D84" s="733"/>
      <c r="E84" s="733"/>
      <c r="F84" s="733"/>
      <c r="G84" s="731"/>
      <c r="H84" s="731"/>
      <c r="I84" s="731"/>
    </row>
    <row r="85" spans="2:9">
      <c r="B85" s="733"/>
      <c r="C85" s="733"/>
      <c r="D85" s="733"/>
      <c r="E85" s="733"/>
      <c r="F85" s="733"/>
      <c r="G85" s="731"/>
      <c r="H85" s="731"/>
      <c r="I85" s="731"/>
    </row>
    <row r="86" spans="2:9" ht="15.75">
      <c r="B86" s="730" t="s">
        <v>897</v>
      </c>
      <c r="C86" s="733"/>
      <c r="D86" s="733"/>
      <c r="E86" s="733"/>
      <c r="F86" s="733"/>
      <c r="G86" s="731"/>
      <c r="H86" s="731"/>
      <c r="I86" s="731"/>
    </row>
    <row r="87" spans="2:9" ht="15.75">
      <c r="B87" s="730" t="s">
        <v>898</v>
      </c>
      <c r="C87" s="733"/>
      <c r="D87" s="733"/>
      <c r="E87" s="733"/>
      <c r="F87" s="733"/>
      <c r="G87" s="731"/>
      <c r="H87" s="731"/>
      <c r="I87" s="731"/>
    </row>
    <row r="88" spans="2:9" ht="15.75">
      <c r="B88" s="730" t="s">
        <v>899</v>
      </c>
      <c r="C88" s="733"/>
      <c r="D88" s="733"/>
      <c r="E88" s="733"/>
      <c r="F88" s="733"/>
      <c r="G88" s="731"/>
      <c r="H88" s="731"/>
      <c r="I88" s="731"/>
    </row>
    <row r="89" spans="2:9" ht="15.75">
      <c r="B89" s="730" t="str">
        <f>CONCATENATE("purpose for the previous (",E14,") year.")</f>
        <v>purpose for the previous (2013) year.</v>
      </c>
      <c r="C89" s="733"/>
      <c r="D89" s="733"/>
      <c r="E89" s="733"/>
      <c r="F89" s="733"/>
      <c r="G89" s="731"/>
      <c r="H89" s="731"/>
      <c r="I89" s="731"/>
    </row>
    <row r="90" spans="2:9">
      <c r="B90" s="733"/>
      <c r="C90" s="733"/>
      <c r="D90" s="733"/>
      <c r="E90" s="733"/>
      <c r="F90" s="733"/>
      <c r="G90" s="731"/>
      <c r="H90" s="731"/>
      <c r="I90" s="731"/>
    </row>
    <row r="91" spans="2:9" ht="15.75">
      <c r="B91" s="730" t="str">
        <f>CONCATENATE("Next, look to see if delinquent tax for ",G14," is budgeted. Often this line is budgeted at $0 or left")</f>
        <v>Next, look to see if delinquent tax for 2014 is budgeted. Often this line is budgeted at $0 or left</v>
      </c>
      <c r="C91" s="733"/>
      <c r="D91" s="733"/>
      <c r="E91" s="733"/>
      <c r="F91" s="733"/>
      <c r="G91" s="731"/>
      <c r="H91" s="731"/>
      <c r="I91" s="731"/>
    </row>
    <row r="92" spans="2:9" ht="15.75">
      <c r="B92" s="730" t="s">
        <v>900</v>
      </c>
      <c r="C92" s="733"/>
      <c r="D92" s="733"/>
      <c r="E92" s="733"/>
      <c r="F92" s="733"/>
      <c r="G92" s="731"/>
      <c r="H92" s="731"/>
      <c r="I92" s="731"/>
    </row>
    <row r="93" spans="2:9" ht="15.75">
      <c r="B93" s="730" t="s">
        <v>901</v>
      </c>
      <c r="C93" s="733"/>
      <c r="D93" s="733"/>
      <c r="E93" s="733"/>
      <c r="F93" s="733"/>
      <c r="G93" s="731"/>
      <c r="H93" s="731"/>
      <c r="I93" s="731"/>
    </row>
    <row r="94" spans="2:9" ht="15.75">
      <c r="B94" s="730" t="s">
        <v>902</v>
      </c>
      <c r="C94" s="733"/>
      <c r="D94" s="733"/>
      <c r="E94" s="733"/>
      <c r="F94" s="733"/>
      <c r="G94" s="731"/>
      <c r="H94" s="731"/>
      <c r="I94" s="731"/>
    </row>
    <row r="95" spans="2:9">
      <c r="B95" s="733"/>
      <c r="C95" s="733"/>
      <c r="D95" s="733"/>
      <c r="E95" s="733"/>
      <c r="F95" s="733"/>
      <c r="G95" s="731"/>
      <c r="H95" s="731"/>
      <c r="I95" s="731"/>
    </row>
    <row r="96" spans="2:9" ht="15.75">
      <c r="B96" s="732" t="s">
        <v>903</v>
      </c>
      <c r="C96" s="733"/>
      <c r="D96" s="733"/>
      <c r="E96" s="733"/>
      <c r="F96" s="733"/>
      <c r="G96" s="731"/>
      <c r="H96" s="731"/>
      <c r="I96" s="731"/>
    </row>
    <row r="97" spans="2:9">
      <c r="B97" s="733"/>
      <c r="C97" s="733"/>
      <c r="D97" s="733"/>
      <c r="E97" s="733"/>
      <c r="F97" s="733"/>
      <c r="G97" s="731"/>
      <c r="H97" s="731"/>
      <c r="I97" s="731"/>
    </row>
    <row r="98" spans="2:9" ht="15.75">
      <c r="B98" s="730" t="s">
        <v>904</v>
      </c>
      <c r="C98" s="733"/>
      <c r="D98" s="733"/>
      <c r="E98" s="733"/>
      <c r="F98" s="733"/>
      <c r="G98" s="731"/>
      <c r="H98" s="731"/>
      <c r="I98" s="731"/>
    </row>
    <row r="99" spans="2:9" ht="15.75">
      <c r="B99" s="730" t="s">
        <v>905</v>
      </c>
      <c r="C99" s="733"/>
      <c r="D99" s="733"/>
      <c r="E99" s="733"/>
      <c r="F99" s="733"/>
      <c r="G99" s="731"/>
      <c r="H99" s="731"/>
      <c r="I99" s="731"/>
    </row>
    <row r="100" spans="2:9">
      <c r="B100" s="733"/>
      <c r="C100" s="733"/>
      <c r="D100" s="733"/>
      <c r="E100" s="733"/>
      <c r="F100" s="733"/>
      <c r="G100" s="731"/>
      <c r="H100" s="731"/>
      <c r="I100" s="731"/>
    </row>
    <row r="101" spans="2:9" ht="15.75">
      <c r="B101" s="730" t="s">
        <v>906</v>
      </c>
      <c r="C101" s="733"/>
      <c r="D101" s="733"/>
      <c r="E101" s="733"/>
      <c r="F101" s="733"/>
      <c r="G101" s="731"/>
      <c r="H101" s="731"/>
      <c r="I101" s="731"/>
    </row>
    <row r="102" spans="2:9" ht="15.75">
      <c r="B102" s="730" t="s">
        <v>907</v>
      </c>
      <c r="C102" s="733"/>
      <c r="D102" s="733"/>
      <c r="E102" s="733"/>
      <c r="F102" s="733"/>
      <c r="G102" s="731"/>
      <c r="H102" s="731"/>
      <c r="I102" s="731"/>
    </row>
    <row r="103" spans="2:9" ht="15.75">
      <c r="B103" s="730" t="s">
        <v>908</v>
      </c>
      <c r="C103" s="733"/>
      <c r="D103" s="733"/>
      <c r="E103" s="733"/>
      <c r="F103" s="733"/>
      <c r="G103" s="731"/>
      <c r="H103" s="731"/>
      <c r="I103" s="731"/>
    </row>
    <row r="104" spans="2:9" ht="15.75">
      <c r="B104" s="730" t="s">
        <v>909</v>
      </c>
      <c r="C104" s="733"/>
      <c r="D104" s="733"/>
      <c r="E104" s="733"/>
      <c r="F104" s="733"/>
      <c r="G104" s="731"/>
      <c r="H104" s="731"/>
      <c r="I104" s="731"/>
    </row>
    <row r="105" spans="2:9" ht="15.75">
      <c r="B105" s="794" t="s">
        <v>1024</v>
      </c>
      <c r="C105" s="795"/>
      <c r="D105" s="795"/>
      <c r="E105" s="795"/>
      <c r="F105" s="795"/>
      <c r="G105" s="731"/>
      <c r="H105" s="731"/>
      <c r="I105" s="731"/>
    </row>
    <row r="108" spans="2:9">
      <c r="G108" s="734"/>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31"/>
  <sheetViews>
    <sheetView topLeftCell="A55" zoomScaleNormal="100" zoomScaleSheetLayoutView="100" workbookViewId="0">
      <selection activeCell="D111" sqref="D111"/>
    </sheetView>
  </sheetViews>
  <sheetFormatPr defaultColWidth="8.88671875" defaultRowHeight="15.75"/>
  <cols>
    <col min="1" max="1" width="2.44140625" style="121" customWidth="1"/>
    <col min="2" max="2" width="31.109375" style="121" customWidth="1"/>
    <col min="3" max="4" width="15.77734375" style="121" customWidth="1"/>
    <col min="5" max="5" width="16.33203125" style="121" customWidth="1"/>
    <col min="6" max="6" width="8.109375" style="121" customWidth="1"/>
    <col min="7" max="7" width="10.21875" style="121" customWidth="1"/>
    <col min="8" max="8" width="8.88671875" style="121"/>
    <col min="9" max="9" width="5" style="121" customWidth="1"/>
    <col min="10" max="10" width="10.21875" style="121" customWidth="1"/>
    <col min="11" max="16384" width="8.88671875" style="121"/>
  </cols>
  <sheetData>
    <row r="1" spans="2:5">
      <c r="B1" s="105" t="str">
        <f>inputPrYr!D2</f>
        <v>City of Hiawatha</v>
      </c>
      <c r="C1" s="85"/>
      <c r="D1" s="85"/>
      <c r="E1" s="343">
        <f>inputPrYr!C5</f>
        <v>2014</v>
      </c>
    </row>
    <row r="2" spans="2:5">
      <c r="B2" s="85"/>
      <c r="C2" s="85"/>
      <c r="D2" s="85"/>
      <c r="E2" s="118"/>
    </row>
    <row r="3" spans="2:5">
      <c r="B3" s="318" t="s">
        <v>173</v>
      </c>
      <c r="C3" s="85"/>
      <c r="D3" s="85"/>
      <c r="E3" s="119"/>
    </row>
    <row r="4" spans="2:5">
      <c r="B4" s="223" t="s">
        <v>105</v>
      </c>
      <c r="C4" s="321" t="s">
        <v>848</v>
      </c>
      <c r="D4" s="322" t="s">
        <v>854</v>
      </c>
      <c r="E4" s="96" t="s">
        <v>850</v>
      </c>
    </row>
    <row r="5" spans="2:5">
      <c r="B5" s="560" t="str">
        <f>inputPrYr!B17</f>
        <v>General</v>
      </c>
      <c r="C5" s="555" t="str">
        <f>CONCATENATE("Actual for ",E1-2,"")</f>
        <v>Actual for 2012</v>
      </c>
      <c r="D5" s="555" t="str">
        <f>CONCATENATE("Estimate for ",E1-1,"")</f>
        <v>Estimate for 2013</v>
      </c>
      <c r="E5" s="344" t="str">
        <f>CONCATENATE("Year for ",E1,"")</f>
        <v>Year for 2014</v>
      </c>
    </row>
    <row r="6" spans="2:5">
      <c r="B6" s="274" t="s">
        <v>228</v>
      </c>
      <c r="C6" s="372">
        <v>820195</v>
      </c>
      <c r="D6" s="326">
        <f>C112</f>
        <v>534553</v>
      </c>
      <c r="E6" s="327">
        <f>D112</f>
        <v>351135</v>
      </c>
    </row>
    <row r="7" spans="2:5">
      <c r="B7" s="346" t="s">
        <v>230</v>
      </c>
      <c r="C7" s="217"/>
      <c r="D7" s="217"/>
      <c r="E7" s="100"/>
    </row>
    <row r="8" spans="2:5">
      <c r="B8" s="274" t="s">
        <v>106</v>
      </c>
      <c r="C8" s="325">
        <v>341009</v>
      </c>
      <c r="D8" s="326">
        <f>IF(inputPrYr!H16&gt;0,inputPrYr!G17,inputPrYr!E17)</f>
        <v>217908</v>
      </c>
      <c r="E8" s="373" t="s">
        <v>94</v>
      </c>
    </row>
    <row r="9" spans="2:5">
      <c r="B9" s="274" t="s">
        <v>107</v>
      </c>
      <c r="C9" s="325">
        <v>108</v>
      </c>
      <c r="D9" s="325">
        <v>150</v>
      </c>
      <c r="E9" s="330">
        <v>100</v>
      </c>
    </row>
    <row r="10" spans="2:5">
      <c r="B10" s="274" t="s">
        <v>108</v>
      </c>
      <c r="C10" s="325">
        <v>47217</v>
      </c>
      <c r="D10" s="325">
        <v>45600</v>
      </c>
      <c r="E10" s="327">
        <f>mvalloc!D7</f>
        <v>27743</v>
      </c>
    </row>
    <row r="11" spans="2:5">
      <c r="B11" s="274" t="s">
        <v>109</v>
      </c>
      <c r="C11" s="325">
        <v>658</v>
      </c>
      <c r="D11" s="325">
        <v>600</v>
      </c>
      <c r="E11" s="327">
        <f>mvalloc!E7</f>
        <v>382</v>
      </c>
    </row>
    <row r="12" spans="2:5">
      <c r="B12" s="274" t="s">
        <v>205</v>
      </c>
      <c r="C12" s="325">
        <v>0</v>
      </c>
      <c r="D12" s="325">
        <v>0</v>
      </c>
      <c r="E12" s="327">
        <f>mvalloc!F7</f>
        <v>452</v>
      </c>
    </row>
    <row r="13" spans="2:5">
      <c r="B13" s="274" t="s">
        <v>206</v>
      </c>
      <c r="C13" s="325">
        <v>0</v>
      </c>
      <c r="D13" s="325">
        <v>0</v>
      </c>
      <c r="E13" s="327">
        <f>inputOth!E15</f>
        <v>0</v>
      </c>
    </row>
    <row r="14" spans="2:5">
      <c r="B14" s="274" t="s">
        <v>265</v>
      </c>
      <c r="C14" s="325">
        <v>0</v>
      </c>
      <c r="D14" s="325">
        <v>0</v>
      </c>
      <c r="E14" s="327">
        <f>inputOth!E43</f>
        <v>0</v>
      </c>
    </row>
    <row r="15" spans="2:5">
      <c r="B15" s="274" t="s">
        <v>266</v>
      </c>
      <c r="C15" s="325">
        <v>0</v>
      </c>
      <c r="D15" s="325">
        <v>0</v>
      </c>
      <c r="E15" s="327">
        <f>inputOth!E44</f>
        <v>0</v>
      </c>
    </row>
    <row r="16" spans="2:5">
      <c r="B16" s="372" t="s">
        <v>112</v>
      </c>
      <c r="C16" s="325">
        <v>0</v>
      </c>
      <c r="D16" s="325">
        <v>0</v>
      </c>
      <c r="E16" s="137"/>
    </row>
    <row r="17" spans="2:5">
      <c r="B17" s="372" t="s">
        <v>110</v>
      </c>
      <c r="C17" s="325">
        <v>8361</v>
      </c>
      <c r="D17" s="325">
        <v>9000</v>
      </c>
      <c r="E17" s="137">
        <v>9000</v>
      </c>
    </row>
    <row r="18" spans="2:5">
      <c r="B18" s="562" t="s">
        <v>776</v>
      </c>
      <c r="C18" s="325">
        <v>124480</v>
      </c>
      <c r="D18" s="325">
        <v>127000</v>
      </c>
      <c r="E18" s="137">
        <v>130000</v>
      </c>
    </row>
    <row r="19" spans="2:5">
      <c r="B19" s="561" t="s">
        <v>1091</v>
      </c>
      <c r="C19" s="325">
        <v>300908</v>
      </c>
      <c r="D19" s="325">
        <v>308700</v>
      </c>
      <c r="E19" s="137">
        <v>317600</v>
      </c>
    </row>
    <row r="20" spans="2:5">
      <c r="B20" s="561" t="s">
        <v>777</v>
      </c>
      <c r="C20" s="325">
        <v>186183</v>
      </c>
      <c r="D20" s="325">
        <v>187000</v>
      </c>
      <c r="E20" s="137">
        <v>188000</v>
      </c>
    </row>
    <row r="21" spans="2:5">
      <c r="B21" s="561" t="s">
        <v>1092</v>
      </c>
      <c r="C21" s="325">
        <v>25539</v>
      </c>
      <c r="D21" s="325">
        <v>26000</v>
      </c>
      <c r="E21" s="137">
        <v>26000</v>
      </c>
    </row>
    <row r="22" spans="2:5">
      <c r="B22" s="561" t="s">
        <v>1093</v>
      </c>
      <c r="C22" s="325">
        <v>14167</v>
      </c>
      <c r="D22" s="325">
        <v>18000</v>
      </c>
      <c r="E22" s="137">
        <v>20000</v>
      </c>
    </row>
    <row r="23" spans="2:5">
      <c r="B23" s="372" t="s">
        <v>1094</v>
      </c>
      <c r="C23" s="325">
        <v>20010</v>
      </c>
      <c r="D23" s="325">
        <v>21000</v>
      </c>
      <c r="E23" s="137">
        <v>24000</v>
      </c>
    </row>
    <row r="24" spans="2:5">
      <c r="B24" s="372" t="s">
        <v>1095</v>
      </c>
      <c r="C24" s="325">
        <v>105452</v>
      </c>
      <c r="D24" s="325">
        <v>106000</v>
      </c>
      <c r="E24" s="137">
        <v>106000</v>
      </c>
    </row>
    <row r="25" spans="2:5">
      <c r="B25" s="372" t="s">
        <v>1128</v>
      </c>
      <c r="C25" s="325">
        <f>70975-27948</f>
        <v>43027</v>
      </c>
      <c r="D25" s="325">
        <v>43000</v>
      </c>
      <c r="E25" s="137">
        <v>43000</v>
      </c>
    </row>
    <row r="26" spans="2:5">
      <c r="B26" s="372" t="s">
        <v>1136</v>
      </c>
      <c r="C26" s="325">
        <v>1500</v>
      </c>
      <c r="D26" s="325">
        <v>0</v>
      </c>
      <c r="E26" s="137">
        <v>0</v>
      </c>
    </row>
    <row r="27" spans="2:5">
      <c r="B27" s="372" t="s">
        <v>1106</v>
      </c>
      <c r="C27" s="325">
        <v>12204</v>
      </c>
      <c r="D27" s="325">
        <v>12000</v>
      </c>
      <c r="E27" s="137">
        <v>12000</v>
      </c>
    </row>
    <row r="28" spans="2:5">
      <c r="B28" s="372" t="s">
        <v>1096</v>
      </c>
      <c r="C28" s="325">
        <v>52391</v>
      </c>
      <c r="D28" s="325">
        <v>53000</v>
      </c>
      <c r="E28" s="137">
        <v>53000</v>
      </c>
    </row>
    <row r="29" spans="2:5">
      <c r="B29" s="372"/>
      <c r="C29" s="325"/>
      <c r="D29" s="325"/>
      <c r="E29" s="137"/>
    </row>
    <row r="30" spans="2:5">
      <c r="B30" s="372"/>
      <c r="C30" s="325"/>
      <c r="D30" s="325"/>
      <c r="E30" s="137"/>
    </row>
    <row r="31" spans="2:5">
      <c r="B31" s="372"/>
      <c r="C31" s="325"/>
      <c r="D31" s="325"/>
      <c r="E31" s="137"/>
    </row>
    <row r="32" spans="2:5">
      <c r="B32" s="372"/>
      <c r="C32" s="325"/>
      <c r="D32" s="325"/>
      <c r="E32" s="137"/>
    </row>
    <row r="33" spans="2:5">
      <c r="B33" s="372"/>
      <c r="C33" s="325"/>
      <c r="D33" s="325"/>
      <c r="E33" s="137"/>
    </row>
    <row r="34" spans="2:5">
      <c r="B34" s="372"/>
      <c r="C34" s="325"/>
      <c r="D34" s="325"/>
      <c r="E34" s="137"/>
    </row>
    <row r="35" spans="2:5">
      <c r="B35" s="372"/>
      <c r="C35" s="325"/>
      <c r="D35" s="325"/>
      <c r="E35" s="137"/>
    </row>
    <row r="36" spans="2:5">
      <c r="B36" s="372"/>
      <c r="C36" s="325"/>
      <c r="D36" s="325"/>
      <c r="E36" s="137"/>
    </row>
    <row r="37" spans="2:5">
      <c r="B37" s="372"/>
      <c r="C37" s="325"/>
      <c r="D37" s="325"/>
      <c r="E37" s="137"/>
    </row>
    <row r="38" spans="2:5">
      <c r="B38" s="372"/>
      <c r="C38" s="325"/>
      <c r="D38" s="325"/>
      <c r="E38" s="137"/>
    </row>
    <row r="39" spans="2:5">
      <c r="B39" s="372"/>
      <c r="C39" s="325"/>
      <c r="D39" s="325"/>
      <c r="E39" s="137"/>
    </row>
    <row r="40" spans="2:5">
      <c r="B40" s="372"/>
      <c r="C40" s="325"/>
      <c r="D40" s="325"/>
      <c r="E40" s="137"/>
    </row>
    <row r="41" spans="2:5">
      <c r="B41" s="372"/>
      <c r="C41" s="325"/>
      <c r="D41" s="325"/>
      <c r="E41" s="137"/>
    </row>
    <row r="42" spans="2:5">
      <c r="B42" s="372"/>
      <c r="C42" s="325"/>
      <c r="D42" s="325"/>
      <c r="E42" s="137"/>
    </row>
    <row r="43" spans="2:5">
      <c r="B43" s="372"/>
      <c r="C43" s="325"/>
      <c r="D43" s="325"/>
      <c r="E43" s="137"/>
    </row>
    <row r="44" spans="2:5">
      <c r="B44" s="372"/>
      <c r="C44" s="325"/>
      <c r="D44" s="325"/>
      <c r="E44" s="137"/>
    </row>
    <row r="45" spans="2:5">
      <c r="B45" s="372"/>
      <c r="C45" s="325"/>
      <c r="D45" s="325"/>
      <c r="E45" s="137"/>
    </row>
    <row r="46" spans="2:5">
      <c r="B46" s="372"/>
      <c r="C46" s="325"/>
      <c r="D46" s="325"/>
      <c r="E46" s="137"/>
    </row>
    <row r="47" spans="2:5">
      <c r="B47" s="372"/>
      <c r="C47" s="325"/>
      <c r="D47" s="325"/>
      <c r="E47" s="137"/>
    </row>
    <row r="48" spans="2:5">
      <c r="B48" s="372"/>
      <c r="C48" s="325"/>
      <c r="D48" s="325"/>
      <c r="E48" s="137"/>
    </row>
    <row r="49" spans="2:5">
      <c r="B49" s="372"/>
      <c r="C49" s="325"/>
      <c r="D49" s="325"/>
      <c r="E49" s="137"/>
    </row>
    <row r="50" spans="2:5">
      <c r="B50" s="372"/>
      <c r="C50" s="325"/>
      <c r="D50" s="325"/>
      <c r="E50" s="137"/>
    </row>
    <row r="51" spans="2:5">
      <c r="B51" s="372"/>
      <c r="C51" s="325"/>
      <c r="D51" s="325"/>
      <c r="E51" s="137"/>
    </row>
    <row r="52" spans="2:5">
      <c r="B52" s="372" t="s">
        <v>111</v>
      </c>
      <c r="C52" s="325"/>
      <c r="D52" s="325"/>
      <c r="E52" s="137"/>
    </row>
    <row r="53" spans="2:5">
      <c r="B53" s="347" t="s">
        <v>113</v>
      </c>
      <c r="C53" s="325">
        <v>27948</v>
      </c>
      <c r="D53" s="325">
        <v>27000</v>
      </c>
      <c r="E53" s="137">
        <v>27000</v>
      </c>
    </row>
    <row r="54" spans="2:5">
      <c r="B54" s="217" t="s">
        <v>14</v>
      </c>
      <c r="C54" s="325">
        <v>14084</v>
      </c>
      <c r="D54" s="325">
        <v>14000</v>
      </c>
      <c r="E54" s="137">
        <v>14000</v>
      </c>
    </row>
    <row r="55" spans="2:5">
      <c r="B55" s="274" t="s">
        <v>774</v>
      </c>
      <c r="C55" s="333" t="str">
        <f>IF(C56*0.1&lt;C54,"Exceed 10% Rule","")</f>
        <v/>
      </c>
      <c r="D55" s="333" t="str">
        <f>IF(D56*0.1&lt;D54,"Exceed 10% Rule","")</f>
        <v/>
      </c>
      <c r="E55" s="340" t="str">
        <f>IF(E56*0.1+E118&lt;E54,"Exceed 10% Rule","")</f>
        <v/>
      </c>
    </row>
    <row r="56" spans="2:5">
      <c r="B56" s="335" t="s">
        <v>114</v>
      </c>
      <c r="C56" s="337">
        <f>SUM(C8:C54)</f>
        <v>1325246</v>
      </c>
      <c r="D56" s="337">
        <f>SUM(D8:D54)</f>
        <v>1215958</v>
      </c>
      <c r="E56" s="338">
        <f>SUM(E9:E54)</f>
        <v>998277</v>
      </c>
    </row>
    <row r="57" spans="2:5">
      <c r="B57" s="335" t="s">
        <v>115</v>
      </c>
      <c r="C57" s="337">
        <f>C6+C56</f>
        <v>2145441</v>
      </c>
      <c r="D57" s="337">
        <f>D6+D56</f>
        <v>1750511</v>
      </c>
      <c r="E57" s="338">
        <f>E6+E56</f>
        <v>1349412</v>
      </c>
    </row>
    <row r="58" spans="2:5">
      <c r="B58" s="85"/>
      <c r="C58" s="85"/>
      <c r="D58" s="85"/>
      <c r="E58" s="85"/>
    </row>
    <row r="59" spans="2:5">
      <c r="B59" s="119" t="s">
        <v>116</v>
      </c>
      <c r="C59" s="223">
        <f>IF(inputPrYr!D19&gt;0,8,7)</f>
        <v>8</v>
      </c>
      <c r="D59" s="113"/>
      <c r="E59" s="113"/>
    </row>
    <row r="60" spans="2:5">
      <c r="B60" s="113"/>
      <c r="C60" s="113"/>
      <c r="D60" s="113"/>
      <c r="E60" s="113"/>
    </row>
    <row r="61" spans="2:5">
      <c r="B61" s="105" t="str">
        <f>inputPrYr!D2</f>
        <v>City of Hiawatha</v>
      </c>
      <c r="C61" s="85"/>
      <c r="D61" s="85"/>
      <c r="E61" s="118"/>
    </row>
    <row r="62" spans="2:5">
      <c r="B62" s="85"/>
      <c r="C62" s="85"/>
      <c r="D62" s="85"/>
      <c r="E62" s="119"/>
    </row>
    <row r="63" spans="2:5">
      <c r="B63" s="374" t="s">
        <v>172</v>
      </c>
      <c r="C63" s="375"/>
      <c r="D63" s="375"/>
      <c r="E63" s="375"/>
    </row>
    <row r="64" spans="2:5">
      <c r="B64" s="85" t="s">
        <v>105</v>
      </c>
      <c r="C64" s="321" t="str">
        <f t="shared" ref="C64:E65" si="0">C4</f>
        <v xml:space="preserve">Prior Year </v>
      </c>
      <c r="D64" s="322" t="str">
        <f t="shared" si="0"/>
        <v xml:space="preserve">Current Year </v>
      </c>
      <c r="E64" s="96" t="str">
        <f t="shared" si="0"/>
        <v xml:space="preserve">Proposed Budget </v>
      </c>
    </row>
    <row r="65" spans="2:6">
      <c r="B65" s="145" t="str">
        <f>inputPrYr!B17</f>
        <v>General</v>
      </c>
      <c r="C65" s="555" t="str">
        <f t="shared" si="0"/>
        <v>Actual for 2012</v>
      </c>
      <c r="D65" s="555" t="str">
        <f t="shared" si="0"/>
        <v>Estimate for 2013</v>
      </c>
      <c r="E65" s="344" t="str">
        <f t="shared" si="0"/>
        <v>Year for 2014</v>
      </c>
    </row>
    <row r="66" spans="2:6">
      <c r="B66" s="376" t="s">
        <v>115</v>
      </c>
      <c r="C66" s="326">
        <f>C57</f>
        <v>2145441</v>
      </c>
      <c r="D66" s="326">
        <f>D57</f>
        <v>1750511</v>
      </c>
      <c r="E66" s="327">
        <f>E57</f>
        <v>1349412</v>
      </c>
    </row>
    <row r="67" spans="2:6">
      <c r="B67" s="346" t="s">
        <v>117</v>
      </c>
      <c r="C67" s="217"/>
      <c r="D67" s="217"/>
      <c r="E67" s="100"/>
    </row>
    <row r="68" spans="2:6">
      <c r="B68" s="274" t="str">
        <f>GenDetail!A7</f>
        <v>Administration</v>
      </c>
      <c r="C68" s="341">
        <f>GenDetail!B15</f>
        <v>729123</v>
      </c>
      <c r="D68" s="341">
        <f>GenDetail!C15</f>
        <v>471301</v>
      </c>
      <c r="E68" s="151">
        <f>GenDetail!D15</f>
        <v>612851</v>
      </c>
      <c r="F68" s="377"/>
    </row>
    <row r="69" spans="2:6">
      <c r="B69" s="274" t="str">
        <f>GenDetail!A16</f>
        <v>Public Safety</v>
      </c>
      <c r="C69" s="341">
        <f>GenDetail!B22</f>
        <v>566517</v>
      </c>
      <c r="D69" s="341">
        <f>GenDetail!C22</f>
        <v>574600</v>
      </c>
      <c r="E69" s="151">
        <f>GenDetail!D22</f>
        <v>666384</v>
      </c>
      <c r="F69" s="377"/>
    </row>
    <row r="70" spans="2:6">
      <c r="B70" s="274" t="str">
        <f>GenDetail!A23</f>
        <v>Culture and Recreatin</v>
      </c>
      <c r="C70" s="341">
        <f>GenDetail!B29</f>
        <v>102222</v>
      </c>
      <c r="D70" s="341">
        <f>GenDetail!C29</f>
        <v>95025</v>
      </c>
      <c r="E70" s="151">
        <f>GenDetail!D29</f>
        <v>112375</v>
      </c>
    </row>
    <row r="71" spans="2:6">
      <c r="B71" s="274" t="str">
        <f>GenDetail!A30</f>
        <v>Fisher Center</v>
      </c>
      <c r="C71" s="341">
        <f>GenDetail!B35</f>
        <v>88414</v>
      </c>
      <c r="D71" s="341">
        <f>GenDetail!C35</f>
        <v>135500</v>
      </c>
      <c r="E71" s="151">
        <f>GenDetail!D35</f>
        <v>116075</v>
      </c>
    </row>
    <row r="72" spans="2:6">
      <c r="B72" s="274" t="str">
        <f>GenDetail!A36</f>
        <v>Ambulance</v>
      </c>
      <c r="C72" s="341">
        <f>GenDetail!B42</f>
        <v>28900</v>
      </c>
      <c r="D72" s="341">
        <f>GenDetail!C42</f>
        <v>33900</v>
      </c>
      <c r="E72" s="151">
        <f>GenDetail!D42</f>
        <v>33900</v>
      </c>
    </row>
    <row r="73" spans="2:6">
      <c r="B73" s="274" t="str">
        <f>GenDetail!A43</f>
        <v>Lights</v>
      </c>
      <c r="C73" s="341">
        <f>GenDetail!B49</f>
        <v>95712</v>
      </c>
      <c r="D73" s="341">
        <f>GenDetail!C49</f>
        <v>89050</v>
      </c>
      <c r="E73" s="151">
        <f>GenDetail!D49</f>
        <v>91450</v>
      </c>
    </row>
    <row r="74" spans="2:6">
      <c r="B74" s="274">
        <f>GenDetail!A50</f>
        <v>0</v>
      </c>
      <c r="C74" s="341">
        <f>GenDetail!B56</f>
        <v>0</v>
      </c>
      <c r="D74" s="341">
        <f>GenDetail!C56</f>
        <v>0</v>
      </c>
      <c r="E74" s="151">
        <f>GenDetail!D56</f>
        <v>0</v>
      </c>
    </row>
    <row r="75" spans="2:6">
      <c r="B75" s="274">
        <f>GenDetail!A57</f>
        <v>0</v>
      </c>
      <c r="C75" s="341">
        <f>GenDetail!B63</f>
        <v>0</v>
      </c>
      <c r="D75" s="341">
        <f>GenDetail!C63</f>
        <v>0</v>
      </c>
      <c r="E75" s="151">
        <f>GenDetail!D63</f>
        <v>0</v>
      </c>
    </row>
    <row r="76" spans="2:6">
      <c r="B76" s="274">
        <f>GenDetail!A75</f>
        <v>0</v>
      </c>
      <c r="C76" s="341">
        <f>GenDetail!B81</f>
        <v>0</v>
      </c>
      <c r="D76" s="341">
        <f>GenDetail!C81</f>
        <v>0</v>
      </c>
      <c r="E76" s="151">
        <f>GenDetail!D81</f>
        <v>0</v>
      </c>
    </row>
    <row r="77" spans="2:6">
      <c r="B77" s="274">
        <f>GenDetail!A82</f>
        <v>0</v>
      </c>
      <c r="C77" s="341">
        <f>GenDetail!B88</f>
        <v>0</v>
      </c>
      <c r="D77" s="341">
        <f>GenDetail!C88</f>
        <v>0</v>
      </c>
      <c r="E77" s="151">
        <f>GenDetail!D88</f>
        <v>0</v>
      </c>
    </row>
    <row r="78" spans="2:6">
      <c r="B78" s="274">
        <f>GenDetail!A89</f>
        <v>0</v>
      </c>
      <c r="C78" s="341">
        <f>GenDetail!B95</f>
        <v>0</v>
      </c>
      <c r="D78" s="341">
        <f>GenDetail!C95</f>
        <v>0</v>
      </c>
      <c r="E78" s="151">
        <f>GenDetail!D95</f>
        <v>0</v>
      </c>
    </row>
    <row r="79" spans="2:6">
      <c r="B79" s="274">
        <f>GenDetail!A96</f>
        <v>0</v>
      </c>
      <c r="C79" s="341">
        <f>GenDetail!B101</f>
        <v>0</v>
      </c>
      <c r="D79" s="341">
        <f>GenDetail!C101</f>
        <v>0</v>
      </c>
      <c r="E79" s="151">
        <f>GenDetail!D101</f>
        <v>0</v>
      </c>
    </row>
    <row r="80" spans="2:6">
      <c r="B80" s="274">
        <f>GenDetail!A102</f>
        <v>0</v>
      </c>
      <c r="C80" s="341">
        <f>GenDetail!B108</f>
        <v>0</v>
      </c>
      <c r="D80" s="341">
        <f>GenDetail!C108</f>
        <v>0</v>
      </c>
      <c r="E80" s="151">
        <f>GenDetail!D108</f>
        <v>0</v>
      </c>
    </row>
    <row r="81" spans="2:5">
      <c r="B81" s="274">
        <f>GenDetail!A109</f>
        <v>0</v>
      </c>
      <c r="C81" s="341">
        <f>GenDetail!B115</f>
        <v>0</v>
      </c>
      <c r="D81" s="341">
        <f>GenDetail!C115</f>
        <v>0</v>
      </c>
      <c r="E81" s="151">
        <f>GenDetail!D115</f>
        <v>0</v>
      </c>
    </row>
    <row r="82" spans="2:5">
      <c r="B82" s="274">
        <f>GenDetail!A116</f>
        <v>0</v>
      </c>
      <c r="C82" s="341">
        <f>GenDetail!B122</f>
        <v>0</v>
      </c>
      <c r="D82" s="341">
        <f>GenDetail!C122</f>
        <v>0</v>
      </c>
      <c r="E82" s="151">
        <f>GenDetail!D122</f>
        <v>0</v>
      </c>
    </row>
    <row r="83" spans="2:5">
      <c r="B83" s="274">
        <f>GenDetail!A123</f>
        <v>0</v>
      </c>
      <c r="C83" s="482">
        <f>GenDetail!B129</f>
        <v>0</v>
      </c>
      <c r="D83" s="482">
        <f>GenDetail!C129</f>
        <v>0</v>
      </c>
      <c r="E83" s="456">
        <f>GenDetail!D129</f>
        <v>0</v>
      </c>
    </row>
    <row r="84" spans="2:5">
      <c r="B84" s="552" t="s">
        <v>775</v>
      </c>
      <c r="C84" s="556">
        <f>SUM(C68:C83)</f>
        <v>1610888</v>
      </c>
      <c r="D84" s="556">
        <f>SUM(D68:D83)</f>
        <v>1399376</v>
      </c>
      <c r="E84" s="366">
        <f>SUM(E68:E83)</f>
        <v>1633035</v>
      </c>
    </row>
    <row r="85" spans="2:5">
      <c r="B85" s="347"/>
      <c r="C85" s="325"/>
      <c r="D85" s="325"/>
      <c r="E85" s="330"/>
    </row>
    <row r="86" spans="2:5">
      <c r="B86" s="347"/>
      <c r="C86" s="325"/>
      <c r="D86" s="325"/>
      <c r="E86" s="330"/>
    </row>
    <row r="87" spans="2:5">
      <c r="B87" s="347"/>
      <c r="C87" s="325"/>
      <c r="D87" s="325"/>
      <c r="E87" s="330"/>
    </row>
    <row r="88" spans="2:5">
      <c r="B88" s="347"/>
      <c r="C88" s="325"/>
      <c r="D88" s="325"/>
      <c r="E88" s="330"/>
    </row>
    <row r="89" spans="2:5">
      <c r="B89" s="347"/>
      <c r="C89" s="325"/>
      <c r="D89" s="325"/>
      <c r="E89" s="330"/>
    </row>
    <row r="90" spans="2:5">
      <c r="B90" s="347"/>
      <c r="C90" s="325"/>
      <c r="D90" s="325"/>
      <c r="E90" s="330"/>
    </row>
    <row r="91" spans="2:5">
      <c r="B91" s="329"/>
      <c r="C91" s="325"/>
      <c r="D91" s="325"/>
      <c r="E91" s="330"/>
    </row>
    <row r="92" spans="2:5">
      <c r="B92" s="329"/>
      <c r="C92" s="325"/>
      <c r="D92" s="325"/>
      <c r="E92" s="330"/>
    </row>
    <row r="93" spans="2:5">
      <c r="B93" s="329"/>
      <c r="C93" s="325"/>
      <c r="D93" s="325"/>
      <c r="E93" s="330"/>
    </row>
    <row r="94" spans="2:5">
      <c r="B94" s="329"/>
      <c r="C94" s="325"/>
      <c r="D94" s="325"/>
      <c r="E94" s="330"/>
    </row>
    <row r="95" spans="2:5">
      <c r="B95" s="329"/>
      <c r="C95" s="325"/>
      <c r="D95" s="325"/>
      <c r="E95" s="330"/>
    </row>
    <row r="96" spans="2:5">
      <c r="B96" s="329"/>
      <c r="C96" s="325"/>
      <c r="D96" s="325"/>
      <c r="E96" s="330"/>
    </row>
    <row r="97" spans="2:10">
      <c r="B97" s="329"/>
      <c r="C97" s="325"/>
      <c r="D97" s="325"/>
      <c r="E97" s="330"/>
    </row>
    <row r="98" spans="2:10">
      <c r="B98" s="329"/>
      <c r="C98" s="325"/>
      <c r="D98" s="325"/>
      <c r="E98" s="330"/>
    </row>
    <row r="99" spans="2:10">
      <c r="B99" s="329"/>
      <c r="C99" s="325"/>
      <c r="D99" s="325"/>
      <c r="E99" s="330"/>
    </row>
    <row r="100" spans="2:10">
      <c r="B100" s="329"/>
      <c r="C100" s="325"/>
      <c r="D100" s="325"/>
      <c r="E100" s="330"/>
    </row>
    <row r="101" spans="2:10">
      <c r="B101" s="329"/>
      <c r="C101" s="325"/>
      <c r="D101" s="325"/>
      <c r="E101" s="330"/>
    </row>
    <row r="102" spans="2:10">
      <c r="B102" s="329"/>
      <c r="C102" s="325"/>
      <c r="D102" s="325"/>
      <c r="E102" s="330"/>
      <c r="G102" s="890" t="str">
        <f>CONCATENATE("Desired Carryover Into ",E1+1,"")</f>
        <v>Desired Carryover Into 2015</v>
      </c>
      <c r="H102" s="891"/>
      <c r="I102" s="891"/>
      <c r="J102" s="892"/>
    </row>
    <row r="103" spans="2:10">
      <c r="B103" s="329"/>
      <c r="C103" s="325"/>
      <c r="D103" s="325"/>
      <c r="E103" s="330"/>
      <c r="G103" s="605"/>
      <c r="H103" s="598"/>
      <c r="I103" s="598"/>
      <c r="J103" s="597"/>
    </row>
    <row r="104" spans="2:10">
      <c r="B104" s="329"/>
      <c r="C104" s="325"/>
      <c r="D104" s="325"/>
      <c r="E104" s="330"/>
      <c r="G104" s="586" t="s">
        <v>782</v>
      </c>
      <c r="H104" s="593"/>
      <c r="I104" s="593"/>
      <c r="J104" s="585">
        <v>0</v>
      </c>
    </row>
    <row r="105" spans="2:10">
      <c r="B105" s="329"/>
      <c r="C105" s="325"/>
      <c r="D105" s="325"/>
      <c r="E105" s="330"/>
      <c r="G105" s="584" t="s">
        <v>783</v>
      </c>
      <c r="H105" s="583"/>
      <c r="I105" s="582"/>
      <c r="J105" s="581" t="str">
        <f>IF(J104=0,"",ROUND((J104+E118-G117)/summ!F53*1000,3)-general!G122)</f>
        <v/>
      </c>
    </row>
    <row r="106" spans="2:10">
      <c r="B106" s="329"/>
      <c r="C106" s="325"/>
      <c r="D106" s="325"/>
      <c r="E106" s="330"/>
      <c r="G106" s="762" t="str">
        <f>CONCATENATE("",E1," Total Expenditures Must Be:")</f>
        <v>2014 Total Expenditures Must Be:</v>
      </c>
      <c r="H106" s="763"/>
      <c r="I106" s="764"/>
      <c r="J106" s="580">
        <f>IF(J104&gt;0,IF(E115&lt;E57,IF(J104=G117,E115,((J104-G117)*(1-D117))+E57),E115+(J104-G117)),0)</f>
        <v>0</v>
      </c>
    </row>
    <row r="107" spans="2:10">
      <c r="B107" s="329"/>
      <c r="C107" s="325"/>
      <c r="D107" s="325"/>
      <c r="E107" s="330"/>
      <c r="G107" s="765" t="s">
        <v>934</v>
      </c>
      <c r="H107" s="766"/>
      <c r="I107" s="767"/>
      <c r="J107" s="670">
        <f>IF(J104&gt;0,J106-E115,0)</f>
        <v>0</v>
      </c>
    </row>
    <row r="108" spans="2:10">
      <c r="B108" s="339" t="s">
        <v>13</v>
      </c>
      <c r="C108" s="325"/>
      <c r="D108" s="325"/>
      <c r="E108" s="378">
        <f>nhood!E6</f>
        <v>21600</v>
      </c>
    </row>
    <row r="109" spans="2:10">
      <c r="B109" s="339" t="s">
        <v>14</v>
      </c>
      <c r="C109" s="325"/>
      <c r="D109" s="325"/>
      <c r="E109" s="330">
        <v>50000</v>
      </c>
      <c r="G109" s="890" t="str">
        <f>CONCATENATE("Projected Carryover Into ",E1+1,"")</f>
        <v>Projected Carryover Into 2015</v>
      </c>
      <c r="H109" s="893"/>
      <c r="I109" s="893"/>
      <c r="J109" s="894"/>
    </row>
    <row r="110" spans="2:10">
      <c r="B110" s="339" t="s">
        <v>773</v>
      </c>
      <c r="C110" s="333" t="str">
        <f>IF(C111*0.1&lt;C109,"Exceed 10% Rule","")</f>
        <v/>
      </c>
      <c r="D110" s="333" t="str">
        <f>IF(D111*0.1&lt;D109,"Exceed 10% Rule","")</f>
        <v/>
      </c>
      <c r="E110" s="340" t="str">
        <f>IF(E111*0.1&lt;E109,"Exceed 10% Rule","")</f>
        <v/>
      </c>
      <c r="G110" s="605"/>
      <c r="H110" s="598"/>
      <c r="I110" s="598"/>
      <c r="J110" s="597"/>
    </row>
    <row r="111" spans="2:10">
      <c r="B111" s="335" t="s">
        <v>121</v>
      </c>
      <c r="C111" s="337">
        <f>SUM(C84:C109)</f>
        <v>1610888</v>
      </c>
      <c r="D111" s="337">
        <f>SUM(D84:D109)</f>
        <v>1399376</v>
      </c>
      <c r="E111" s="338">
        <f>SUM(E84:E109)</f>
        <v>1704635</v>
      </c>
      <c r="G111" s="596">
        <f>D112</f>
        <v>351135</v>
      </c>
      <c r="H111" s="595" t="str">
        <f>CONCATENATE("",E1-1," Ending Cash Balance (est.)")</f>
        <v>2013 Ending Cash Balance (est.)</v>
      </c>
      <c r="I111" s="594"/>
      <c r="J111" s="597"/>
    </row>
    <row r="112" spans="2:10">
      <c r="B112" s="177" t="s">
        <v>229</v>
      </c>
      <c r="C112" s="341">
        <f>C57-C111</f>
        <v>534553</v>
      </c>
      <c r="D112" s="341">
        <f>D57-D111</f>
        <v>351135</v>
      </c>
      <c r="E112" s="373" t="s">
        <v>94</v>
      </c>
      <c r="G112" s="596">
        <f>E56</f>
        <v>998277</v>
      </c>
      <c r="H112" s="593" t="str">
        <f>CONCATENATE("",E1," Non-AV Receipts (est.)")</f>
        <v>2014 Non-AV Receipts (est.)</v>
      </c>
      <c r="I112" s="594"/>
      <c r="J112" s="597"/>
    </row>
    <row r="113" spans="2:11">
      <c r="B113" s="119" t="str">
        <f>CONCATENATE("",E1-2,"/",E1-1," Budget Authority Amount:")</f>
        <v>2012/2013 Budget Authority Amount:</v>
      </c>
      <c r="C113" s="280">
        <f>inputOth!B61</f>
        <v>1709963</v>
      </c>
      <c r="D113" s="280">
        <f>inputPrYr!D17</f>
        <v>1296061</v>
      </c>
      <c r="E113" s="373" t="s">
        <v>94</v>
      </c>
      <c r="F113" s="356"/>
      <c r="G113" s="592">
        <f>IF(E117&gt;0,E116,E118)</f>
        <v>355223</v>
      </c>
      <c r="H113" s="593" t="str">
        <f>CONCATENATE("",E1," Ad Valorem Tax (est.)")</f>
        <v>2014 Ad Valorem Tax (est.)</v>
      </c>
      <c r="I113" s="594"/>
      <c r="J113" s="597"/>
      <c r="K113" s="768" t="str">
        <f>IF(G113=E118,"","Note: Does not include Delinquent Taxes")</f>
        <v>Note: Does not include Delinquent Taxes</v>
      </c>
    </row>
    <row r="114" spans="2:11">
      <c r="B114" s="119"/>
      <c r="C114" s="886" t="s">
        <v>778</v>
      </c>
      <c r="D114" s="887"/>
      <c r="E114" s="137"/>
      <c r="F114" s="769" t="str">
        <f>IF(E111/0.95-E111&lt;E114,"Exceeds 5%","")</f>
        <v/>
      </c>
      <c r="G114" s="596">
        <f>SUM(G111:G113)</f>
        <v>1704635</v>
      </c>
      <c r="H114" s="593" t="str">
        <f>CONCATENATE("Total ",E1," Resources Available")</f>
        <v>Total 2014 Resources Available</v>
      </c>
      <c r="I114" s="594"/>
      <c r="J114" s="597"/>
    </row>
    <row r="115" spans="2:11">
      <c r="B115" s="603" t="str">
        <f>CONCATENATE(C130,"     ",D130)</f>
        <v xml:space="preserve">     See Tab C</v>
      </c>
      <c r="C115" s="888" t="s">
        <v>779</v>
      </c>
      <c r="D115" s="889"/>
      <c r="E115" s="327">
        <f>E111+E114</f>
        <v>1704635</v>
      </c>
      <c r="G115" s="591"/>
      <c r="H115" s="593"/>
      <c r="I115" s="593"/>
      <c r="J115" s="597"/>
    </row>
    <row r="116" spans="2:11">
      <c r="B116" s="603" t="str">
        <f>CONCATENATE(C131,"     ",D131)</f>
        <v xml:space="preserve">     </v>
      </c>
      <c r="C116" s="342"/>
      <c r="D116" s="118" t="s">
        <v>122</v>
      </c>
      <c r="E116" s="151">
        <f>IF(E115-E57&gt;0,E115-E57,0)</f>
        <v>355223</v>
      </c>
      <c r="G116" s="592">
        <f>ROUND(C111*0.05+C111,0)</f>
        <v>1691432</v>
      </c>
      <c r="H116" s="593" t="str">
        <f>CONCATENATE("Less ",E1-2," Expenditures + 5%")</f>
        <v>Less 2012 Expenditures + 5%</v>
      </c>
      <c r="I116" s="594"/>
      <c r="J116" s="597"/>
    </row>
    <row r="117" spans="2:11">
      <c r="B117" s="118"/>
      <c r="C117" s="599" t="s">
        <v>780</v>
      </c>
      <c r="D117" s="678">
        <f>inputOth!$E$48</f>
        <v>2.5000000000000001E-2</v>
      </c>
      <c r="E117" s="327">
        <f>ROUND(IF(D117&gt;0,(E116*D117),0),0)</f>
        <v>8881</v>
      </c>
      <c r="G117" s="590">
        <f>G114-G116</f>
        <v>13203</v>
      </c>
      <c r="H117" s="589" t="str">
        <f>CONCATENATE("Projected ",E1+1," Carryover (est.)")</f>
        <v>Projected 2015 Carryover (est.)</v>
      </c>
      <c r="I117" s="588"/>
      <c r="J117" s="587"/>
    </row>
    <row r="118" spans="2:11" ht="16.5" thickBot="1">
      <c r="B118" s="85"/>
      <c r="C118" s="884" t="str">
        <f>CONCATENATE("Amount of  ",$E$1-1," Ad Valorem Tax")</f>
        <v>Amount of  2013 Ad Valorem Tax</v>
      </c>
      <c r="D118" s="885"/>
      <c r="E118" s="708">
        <f>E116+E117</f>
        <v>364104</v>
      </c>
    </row>
    <row r="119" spans="2:11" ht="16.5" thickTop="1">
      <c r="B119" s="85"/>
      <c r="C119" s="85"/>
      <c r="D119" s="85"/>
      <c r="E119" s="85"/>
      <c r="G119" s="881" t="s">
        <v>853</v>
      </c>
      <c r="H119" s="882"/>
      <c r="I119" s="882"/>
      <c r="J119" s="883"/>
    </row>
    <row r="120" spans="2:11">
      <c r="B120" s="119" t="s">
        <v>116</v>
      </c>
      <c r="C120" s="223" t="str">
        <f>CONCATENATE("",C59,"a")</f>
        <v>8a</v>
      </c>
      <c r="D120" s="113"/>
      <c r="E120" s="113"/>
      <c r="G120" s="682"/>
      <c r="H120" s="683"/>
      <c r="I120" s="684"/>
      <c r="J120" s="685"/>
    </row>
    <row r="121" spans="2:11">
      <c r="G121" s="686">
        <f>summ!H15</f>
        <v>16.673999999999999</v>
      </c>
      <c r="H121" s="683" t="str">
        <f>CONCATENATE("",E1," Fund Mill Rate")</f>
        <v>2014 Fund Mill Rate</v>
      </c>
      <c r="I121" s="684"/>
      <c r="J121" s="685"/>
    </row>
    <row r="122" spans="2:11">
      <c r="B122" s="47"/>
      <c r="G122" s="688">
        <f>summ!E15</f>
        <v>9.9149999999999991</v>
      </c>
      <c r="H122" s="683" t="str">
        <f>CONCATENATE("",E1-1," Fund Mill Rate")</f>
        <v>2013 Fund Mill Rate</v>
      </c>
      <c r="I122" s="684"/>
      <c r="J122" s="685"/>
    </row>
    <row r="123" spans="2:11">
      <c r="G123" s="689">
        <f>summ!H48</f>
        <v>45.787999999999997</v>
      </c>
      <c r="H123" s="683" t="str">
        <f>CONCATENATE("Total ",E1," Mill Rate")</f>
        <v>Total 2014 Mill Rate</v>
      </c>
      <c r="I123" s="684"/>
      <c r="J123" s="685"/>
    </row>
    <row r="124" spans="2:11">
      <c r="G124" s="688">
        <f>summ!E48</f>
        <v>47.76</v>
      </c>
      <c r="H124" s="690" t="str">
        <f>CONCATENATE("Total ",E1-1," Mill Rate")</f>
        <v>Total 2013 Mill Rate</v>
      </c>
      <c r="I124" s="691"/>
      <c r="J124" s="692"/>
    </row>
    <row r="125" spans="2:11">
      <c r="B125" s="62"/>
      <c r="C125" s="62"/>
      <c r="G125" s="757"/>
      <c r="H125" s="758"/>
      <c r="I125" s="759"/>
      <c r="J125" s="760"/>
    </row>
    <row r="126" spans="2:11">
      <c r="G126" s="799" t="s">
        <v>1031</v>
      </c>
      <c r="H126" s="798"/>
      <c r="I126" s="797" t="str">
        <f>cert!F54</f>
        <v>Yes</v>
      </c>
      <c r="J126" s="761"/>
    </row>
    <row r="130" spans="3:4" hidden="1">
      <c r="C130" s="121" t="str">
        <f>IF(C111&gt;C113,"See Tab A","")</f>
        <v/>
      </c>
      <c r="D130" s="121" t="str">
        <f>IF(D111&gt;D113,"See Tab C","")</f>
        <v>See Tab C</v>
      </c>
    </row>
    <row r="131" spans="3:4" hidden="1">
      <c r="C131" s="121" t="str">
        <f>IF(C112&lt;0,"See Tab B","")</f>
        <v/>
      </c>
      <c r="D131" s="121" t="str">
        <f>IF(D112&lt;0,"See Tab D","")</f>
        <v/>
      </c>
    </row>
  </sheetData>
  <sheetProtection sheet="1"/>
  <mergeCells count="6">
    <mergeCell ref="G119:J119"/>
    <mergeCell ref="C118:D118"/>
    <mergeCell ref="C114:D114"/>
    <mergeCell ref="C115:D115"/>
    <mergeCell ref="G102:J102"/>
    <mergeCell ref="G109:J109"/>
  </mergeCells>
  <phoneticPr fontId="0" type="noConversion"/>
  <conditionalFormatting sqref="E109">
    <cfRule type="cellIs" dxfId="283" priority="2" stopIfTrue="1" operator="greaterThan">
      <formula>$E$111*0.1</formula>
    </cfRule>
  </conditionalFormatting>
  <conditionalFormatting sqref="E114">
    <cfRule type="cellIs" dxfId="282" priority="3" stopIfTrue="1" operator="greaterThan">
      <formula>$E$111/0.95-$E$111</formula>
    </cfRule>
  </conditionalFormatting>
  <conditionalFormatting sqref="D111">
    <cfRule type="cellIs" dxfId="281" priority="4" stopIfTrue="1" operator="greaterThan">
      <formula>$D$113</formula>
    </cfRule>
  </conditionalFormatting>
  <conditionalFormatting sqref="C111">
    <cfRule type="cellIs" dxfId="280" priority="5" stopIfTrue="1" operator="greaterThan">
      <formula>$C$113</formula>
    </cfRule>
  </conditionalFormatting>
  <conditionalFormatting sqref="C112">
    <cfRule type="cellIs" dxfId="279" priority="6" stopIfTrue="1" operator="lessThan">
      <formula>0</formula>
    </cfRule>
  </conditionalFormatting>
  <conditionalFormatting sqref="C109">
    <cfRule type="cellIs" dxfId="278" priority="7" stopIfTrue="1" operator="greaterThan">
      <formula>$C$111*0.1</formula>
    </cfRule>
  </conditionalFormatting>
  <conditionalFormatting sqref="D109">
    <cfRule type="cellIs" dxfId="277" priority="8" stopIfTrue="1" operator="greaterThan">
      <formula>$D$111*0.1</formula>
    </cfRule>
  </conditionalFormatting>
  <conditionalFormatting sqref="D54">
    <cfRule type="cellIs" dxfId="276" priority="9" stopIfTrue="1" operator="greaterThan">
      <formula>$D$56*0.1</formula>
    </cfRule>
  </conditionalFormatting>
  <conditionalFormatting sqref="C54">
    <cfRule type="cellIs" dxfId="275" priority="10" stopIfTrue="1" operator="greaterThan">
      <formula>$C$56*0.1</formula>
    </cfRule>
  </conditionalFormatting>
  <conditionalFormatting sqref="E54">
    <cfRule type="cellIs" dxfId="274" priority="11" stopIfTrue="1" operator="greaterThan">
      <formula>$E$56*0.1+E118</formula>
    </cfRule>
  </conditionalFormatting>
  <conditionalFormatting sqref="D112">
    <cfRule type="cellIs" dxfId="273" priority="1" stopIfTrue="1" operator="lessThan">
      <formula>0</formula>
    </cfRule>
  </conditionalFormatting>
  <pageMargins left="0.5" right="0.5" top="1" bottom="0.5" header="0.5" footer="0.5"/>
  <pageSetup scale="68" fitToHeight="2" orientation="portrait" blackAndWhite="1" r:id="rId1"/>
  <headerFooter alignWithMargins="0">
    <oddHeader>&amp;RState of Kansas
City</oddHeader>
  </headerFooter>
  <rowBreaks count="1" manualBreakCount="1">
    <brk id="59" min="1" max="4" man="1"/>
  </rowBreaks>
</worksheet>
</file>

<file path=xl/worksheets/sheet14.xml><?xml version="1.0" encoding="utf-8"?>
<worksheet xmlns="http://schemas.openxmlformats.org/spreadsheetml/2006/main" xmlns:r="http://schemas.openxmlformats.org/officeDocument/2006/relationships">
  <dimension ref="A1:D135"/>
  <sheetViews>
    <sheetView zoomScaleNormal="100" workbookViewId="0">
      <selection activeCell="D9" sqref="D9"/>
    </sheetView>
  </sheetViews>
  <sheetFormatPr defaultColWidth="8.88671875" defaultRowHeight="15.75"/>
  <cols>
    <col min="1" max="1" width="28.33203125" style="62" customWidth="1"/>
    <col min="2" max="3" width="15.77734375" style="62" customWidth="1"/>
    <col min="4" max="4" width="16.109375" style="62" customWidth="1"/>
    <col min="5" max="16384" width="8.88671875" style="62"/>
  </cols>
  <sheetData>
    <row r="1" spans="1:4">
      <c r="A1" s="105" t="str">
        <f>inputPrYr!D2</f>
        <v>City of Hiawatha</v>
      </c>
      <c r="B1" s="85"/>
      <c r="C1" s="223"/>
      <c r="D1" s="85">
        <f>inputPrYr!C5</f>
        <v>2014</v>
      </c>
    </row>
    <row r="2" spans="1:4">
      <c r="A2" s="85"/>
      <c r="B2" s="85"/>
      <c r="C2" s="85"/>
      <c r="D2" s="223"/>
    </row>
    <row r="3" spans="1:4">
      <c r="A3" s="318"/>
      <c r="B3" s="367"/>
      <c r="C3" s="367"/>
      <c r="D3" s="367"/>
    </row>
    <row r="4" spans="1:4">
      <c r="A4" s="223" t="s">
        <v>105</v>
      </c>
      <c r="B4" s="95" t="s">
        <v>848</v>
      </c>
      <c r="C4" s="96" t="s">
        <v>854</v>
      </c>
      <c r="D4" s="96" t="s">
        <v>850</v>
      </c>
    </row>
    <row r="5" spans="1:4">
      <c r="A5" s="117" t="s">
        <v>18</v>
      </c>
      <c r="B5" s="344" t="str">
        <f>CONCATENATE("Actual for ",D1-2,"")</f>
        <v>Actual for 2012</v>
      </c>
      <c r="C5" s="344" t="str">
        <f>CONCATENATE("Estimate for ",D1-1,"")</f>
        <v>Estimate for 2013</v>
      </c>
      <c r="D5" s="344" t="str">
        <f>CONCATENATE("Year for ",D1,"")</f>
        <v>Year for 2014</v>
      </c>
    </row>
    <row r="6" spans="1:4">
      <c r="A6" s="368" t="s">
        <v>117</v>
      </c>
      <c r="B6" s="100"/>
      <c r="C6" s="100"/>
      <c r="D6" s="100"/>
    </row>
    <row r="7" spans="1:4">
      <c r="A7" s="441" t="s">
        <v>1097</v>
      </c>
      <c r="B7" s="100"/>
      <c r="C7" s="100"/>
      <c r="D7" s="100"/>
    </row>
    <row r="8" spans="1:4">
      <c r="A8" s="369" t="s">
        <v>125</v>
      </c>
      <c r="B8" s="330">
        <v>173829</v>
      </c>
      <c r="C8" s="330">
        <v>221000</v>
      </c>
      <c r="D8" s="330">
        <v>205000</v>
      </c>
    </row>
    <row r="9" spans="1:4">
      <c r="A9" s="369" t="s">
        <v>118</v>
      </c>
      <c r="B9" s="330">
        <v>117744</v>
      </c>
      <c r="C9" s="330">
        <v>155251</v>
      </c>
      <c r="D9" s="330">
        <v>167751</v>
      </c>
    </row>
    <row r="10" spans="1:4">
      <c r="A10" s="369" t="s">
        <v>119</v>
      </c>
      <c r="B10" s="330">
        <v>24107</v>
      </c>
      <c r="C10" s="330">
        <v>59050</v>
      </c>
      <c r="D10" s="330">
        <v>54600</v>
      </c>
    </row>
    <row r="11" spans="1:4">
      <c r="A11" s="369" t="s">
        <v>120</v>
      </c>
      <c r="B11" s="330">
        <v>7426</v>
      </c>
      <c r="C11" s="330">
        <v>7000</v>
      </c>
      <c r="D11" s="330">
        <v>10500</v>
      </c>
    </row>
    <row r="12" spans="1:4">
      <c r="A12" s="369" t="s">
        <v>1102</v>
      </c>
      <c r="B12" s="330">
        <v>406017</v>
      </c>
      <c r="C12" s="330">
        <v>29000</v>
      </c>
      <c r="D12" s="330">
        <v>175000</v>
      </c>
    </row>
    <row r="13" spans="1:4">
      <c r="A13" s="139"/>
      <c r="B13" s="330"/>
      <c r="C13" s="330"/>
      <c r="D13" s="330"/>
    </row>
    <row r="14" spans="1:4">
      <c r="A14" s="139"/>
      <c r="B14" s="330"/>
      <c r="C14" s="330"/>
      <c r="D14" s="330"/>
    </row>
    <row r="15" spans="1:4">
      <c r="A15" s="368" t="s">
        <v>77</v>
      </c>
      <c r="B15" s="336">
        <f>SUM(B8:B14)</f>
        <v>729123</v>
      </c>
      <c r="C15" s="336">
        <f>SUM(C8:C14)</f>
        <v>471301</v>
      </c>
      <c r="D15" s="336">
        <f>SUM(D8:D14)</f>
        <v>612851</v>
      </c>
    </row>
    <row r="16" spans="1:4">
      <c r="A16" s="120" t="s">
        <v>1098</v>
      </c>
      <c r="B16" s="105"/>
      <c r="C16" s="105"/>
      <c r="D16" s="105"/>
    </row>
    <row r="17" spans="1:4">
      <c r="A17" s="369" t="s">
        <v>125</v>
      </c>
      <c r="B17" s="330">
        <v>310632</v>
      </c>
      <c r="C17" s="330">
        <v>332050</v>
      </c>
      <c r="D17" s="330">
        <v>368667</v>
      </c>
    </row>
    <row r="18" spans="1:4">
      <c r="A18" s="369" t="s">
        <v>118</v>
      </c>
      <c r="B18" s="330">
        <v>166717</v>
      </c>
      <c r="C18" s="330">
        <v>180050</v>
      </c>
      <c r="D18" s="330">
        <v>186300</v>
      </c>
    </row>
    <row r="19" spans="1:4">
      <c r="A19" s="369" t="s">
        <v>119</v>
      </c>
      <c r="B19" s="330">
        <v>42197</v>
      </c>
      <c r="C19" s="330">
        <v>43450</v>
      </c>
      <c r="D19" s="330">
        <v>46250</v>
      </c>
    </row>
    <row r="20" spans="1:4">
      <c r="A20" s="369" t="s">
        <v>120</v>
      </c>
      <c r="B20" s="330">
        <v>46971</v>
      </c>
      <c r="C20" s="330">
        <v>19050</v>
      </c>
      <c r="D20" s="330">
        <v>34500</v>
      </c>
    </row>
    <row r="21" spans="1:4">
      <c r="A21" s="369" t="s">
        <v>284</v>
      </c>
      <c r="B21" s="330"/>
      <c r="C21" s="330"/>
      <c r="D21" s="330">
        <v>30667</v>
      </c>
    </row>
    <row r="22" spans="1:4">
      <c r="A22" s="368" t="s">
        <v>77</v>
      </c>
      <c r="B22" s="336">
        <f>SUM(B17:B21)</f>
        <v>566517</v>
      </c>
      <c r="C22" s="336">
        <f>SUM(C17:C21)</f>
        <v>574600</v>
      </c>
      <c r="D22" s="336">
        <f>SUM(D17:D21)</f>
        <v>666384</v>
      </c>
    </row>
    <row r="23" spans="1:4">
      <c r="A23" s="120" t="s">
        <v>1099</v>
      </c>
      <c r="B23" s="105"/>
      <c r="C23" s="105"/>
      <c r="D23" s="105"/>
    </row>
    <row r="24" spans="1:4">
      <c r="A24" s="369" t="s">
        <v>125</v>
      </c>
      <c r="B24" s="330">
        <v>32130</v>
      </c>
      <c r="C24" s="330">
        <v>36000</v>
      </c>
      <c r="D24" s="330">
        <v>36000</v>
      </c>
    </row>
    <row r="25" spans="1:4">
      <c r="A25" s="369" t="s">
        <v>118</v>
      </c>
      <c r="B25" s="330">
        <v>54257</v>
      </c>
      <c r="C25" s="330">
        <v>39775</v>
      </c>
      <c r="D25" s="330">
        <v>29125</v>
      </c>
    </row>
    <row r="26" spans="1:4">
      <c r="A26" s="369" t="s">
        <v>119</v>
      </c>
      <c r="B26" s="330">
        <v>15325</v>
      </c>
      <c r="C26" s="330">
        <v>19250</v>
      </c>
      <c r="D26" s="330">
        <v>21750</v>
      </c>
    </row>
    <row r="27" spans="1:4">
      <c r="A27" s="369" t="s">
        <v>120</v>
      </c>
      <c r="B27" s="330">
        <v>510</v>
      </c>
      <c r="C27" s="330">
        <v>0</v>
      </c>
      <c r="D27" s="330">
        <v>25500</v>
      </c>
    </row>
    <row r="28" spans="1:4">
      <c r="A28" s="369"/>
      <c r="B28" s="330"/>
      <c r="C28" s="330"/>
      <c r="D28" s="330"/>
    </row>
    <row r="29" spans="1:4">
      <c r="A29" s="368" t="s">
        <v>77</v>
      </c>
      <c r="B29" s="336">
        <f>SUM(B24:B28)</f>
        <v>102222</v>
      </c>
      <c r="C29" s="336">
        <f>SUM(C24:C28)</f>
        <v>95025</v>
      </c>
      <c r="D29" s="336">
        <f>SUM(D24:D28)</f>
        <v>112375</v>
      </c>
    </row>
    <row r="30" spans="1:4">
      <c r="A30" s="120" t="s">
        <v>1100</v>
      </c>
      <c r="B30" s="105"/>
      <c r="C30" s="105"/>
      <c r="D30" s="105"/>
    </row>
    <row r="31" spans="1:4">
      <c r="A31" s="369" t="s">
        <v>125</v>
      </c>
      <c r="B31" s="330">
        <v>47336</v>
      </c>
      <c r="C31" s="330">
        <v>51900</v>
      </c>
      <c r="D31" s="330">
        <v>53900</v>
      </c>
    </row>
    <row r="32" spans="1:4">
      <c r="A32" s="369" t="s">
        <v>118</v>
      </c>
      <c r="B32" s="330">
        <v>29123</v>
      </c>
      <c r="C32" s="330">
        <v>41100</v>
      </c>
      <c r="D32" s="330">
        <v>41300</v>
      </c>
    </row>
    <row r="33" spans="1:4">
      <c r="A33" s="369" t="s">
        <v>119</v>
      </c>
      <c r="B33" s="330">
        <v>6094</v>
      </c>
      <c r="C33" s="330">
        <v>5000</v>
      </c>
      <c r="D33" s="330">
        <v>6500</v>
      </c>
    </row>
    <row r="34" spans="1:4">
      <c r="A34" s="369" t="s">
        <v>120</v>
      </c>
      <c r="B34" s="330">
        <v>5861</v>
      </c>
      <c r="C34" s="330">
        <v>37500</v>
      </c>
      <c r="D34" s="330">
        <v>14375</v>
      </c>
    </row>
    <row r="35" spans="1:4">
      <c r="A35" s="368" t="s">
        <v>77</v>
      </c>
      <c r="B35" s="336">
        <f>SUM(B31:B34)</f>
        <v>88414</v>
      </c>
      <c r="C35" s="336">
        <f>SUM(C31:C34)</f>
        <v>135500</v>
      </c>
      <c r="D35" s="336">
        <f>SUM(D31:D34)</f>
        <v>116075</v>
      </c>
    </row>
    <row r="36" spans="1:4">
      <c r="A36" s="120" t="s">
        <v>1101</v>
      </c>
      <c r="B36" s="105"/>
      <c r="C36" s="105"/>
      <c r="D36" s="105"/>
    </row>
    <row r="37" spans="1:4">
      <c r="A37" s="369" t="s">
        <v>125</v>
      </c>
      <c r="B37" s="330"/>
      <c r="C37" s="330"/>
      <c r="D37" s="330"/>
    </row>
    <row r="38" spans="1:4">
      <c r="A38" s="369" t="s">
        <v>118</v>
      </c>
      <c r="B38" s="330">
        <v>28900</v>
      </c>
      <c r="C38" s="330">
        <v>33900</v>
      </c>
      <c r="D38" s="330">
        <v>33900</v>
      </c>
    </row>
    <row r="39" spans="1:4">
      <c r="A39" s="369" t="s">
        <v>119</v>
      </c>
      <c r="B39" s="330"/>
      <c r="C39" s="330"/>
      <c r="D39" s="330"/>
    </row>
    <row r="40" spans="1:4">
      <c r="A40" s="369" t="s">
        <v>120</v>
      </c>
      <c r="B40" s="330"/>
      <c r="C40" s="330"/>
      <c r="D40" s="330"/>
    </row>
    <row r="41" spans="1:4">
      <c r="A41" s="369"/>
      <c r="B41" s="330"/>
      <c r="C41" s="330"/>
      <c r="D41" s="330"/>
    </row>
    <row r="42" spans="1:4">
      <c r="A42" s="368" t="s">
        <v>77</v>
      </c>
      <c r="B42" s="336">
        <f>SUM(B37:B41)</f>
        <v>28900</v>
      </c>
      <c r="C42" s="336">
        <f>SUM(C37:C41)</f>
        <v>33900</v>
      </c>
      <c r="D42" s="336">
        <f>SUM(D37:D41)</f>
        <v>33900</v>
      </c>
    </row>
    <row r="43" spans="1:4">
      <c r="A43" s="120" t="s">
        <v>1137</v>
      </c>
      <c r="B43" s="105"/>
      <c r="C43" s="105"/>
      <c r="D43" s="105"/>
    </row>
    <row r="44" spans="1:4">
      <c r="A44" s="369" t="s">
        <v>125</v>
      </c>
      <c r="B44" s="330">
        <v>6805</v>
      </c>
      <c r="C44" s="330">
        <v>6000</v>
      </c>
      <c r="D44" s="330">
        <v>6000</v>
      </c>
    </row>
    <row r="45" spans="1:4">
      <c r="A45" s="369" t="s">
        <v>118</v>
      </c>
      <c r="B45" s="330">
        <v>84342</v>
      </c>
      <c r="C45" s="330">
        <v>76250</v>
      </c>
      <c r="D45" s="330">
        <v>78750</v>
      </c>
    </row>
    <row r="46" spans="1:4">
      <c r="A46" s="369" t="s">
        <v>119</v>
      </c>
      <c r="B46" s="330">
        <v>4335</v>
      </c>
      <c r="C46" s="330">
        <v>6800</v>
      </c>
      <c r="D46" s="330">
        <v>6700</v>
      </c>
    </row>
    <row r="47" spans="1:4">
      <c r="A47" s="369" t="s">
        <v>120</v>
      </c>
      <c r="B47" s="330">
        <v>230</v>
      </c>
      <c r="C47" s="330">
        <v>0</v>
      </c>
      <c r="D47" s="330">
        <v>0</v>
      </c>
    </row>
    <row r="48" spans="1:4">
      <c r="A48" s="369"/>
      <c r="B48" s="330"/>
      <c r="C48" s="330"/>
      <c r="D48" s="330"/>
    </row>
    <row r="49" spans="1:4">
      <c r="A49" s="368" t="s">
        <v>77</v>
      </c>
      <c r="B49" s="336">
        <f>SUM(B44:B48)</f>
        <v>95712</v>
      </c>
      <c r="C49" s="336">
        <f>SUM(C44:C48)</f>
        <v>89050</v>
      </c>
      <c r="D49" s="336">
        <f>SUM(D44:D48)</f>
        <v>91450</v>
      </c>
    </row>
    <row r="50" spans="1:4">
      <c r="A50" s="120"/>
      <c r="B50" s="105"/>
      <c r="C50" s="105"/>
      <c r="D50" s="105"/>
    </row>
    <row r="51" spans="1:4">
      <c r="A51" s="369" t="s">
        <v>125</v>
      </c>
      <c r="B51" s="330"/>
      <c r="C51" s="330"/>
      <c r="D51" s="330"/>
    </row>
    <row r="52" spans="1:4">
      <c r="A52" s="369" t="s">
        <v>118</v>
      </c>
      <c r="B52" s="330"/>
      <c r="C52" s="330"/>
      <c r="D52" s="330"/>
    </row>
    <row r="53" spans="1:4">
      <c r="A53" s="369" t="s">
        <v>119</v>
      </c>
      <c r="B53" s="330"/>
      <c r="C53" s="330"/>
      <c r="D53" s="330"/>
    </row>
    <row r="54" spans="1:4">
      <c r="A54" s="369" t="s">
        <v>120</v>
      </c>
      <c r="B54" s="330"/>
      <c r="C54" s="330"/>
      <c r="D54" s="330"/>
    </row>
    <row r="55" spans="1:4">
      <c r="A55" s="369"/>
      <c r="B55" s="330"/>
      <c r="C55" s="330"/>
      <c r="D55" s="330"/>
    </row>
    <row r="56" spans="1:4">
      <c r="A56" s="368" t="s">
        <v>77</v>
      </c>
      <c r="B56" s="336">
        <f>SUM(B51:B55)</f>
        <v>0</v>
      </c>
      <c r="C56" s="336">
        <f>SUM(C51:C55)</f>
        <v>0</v>
      </c>
      <c r="D56" s="336">
        <f>SUM(D51:D55)</f>
        <v>0</v>
      </c>
    </row>
    <row r="57" spans="1:4">
      <c r="A57" s="120"/>
      <c r="B57" s="105"/>
      <c r="C57" s="105"/>
      <c r="D57" s="105"/>
    </row>
    <row r="58" spans="1:4">
      <c r="A58" s="369" t="s">
        <v>125</v>
      </c>
      <c r="B58" s="330"/>
      <c r="C58" s="330"/>
      <c r="D58" s="330"/>
    </row>
    <row r="59" spans="1:4">
      <c r="A59" s="369" t="s">
        <v>118</v>
      </c>
      <c r="B59" s="330"/>
      <c r="C59" s="330"/>
      <c r="D59" s="330"/>
    </row>
    <row r="60" spans="1:4">
      <c r="A60" s="369" t="s">
        <v>119</v>
      </c>
      <c r="B60" s="330"/>
      <c r="C60" s="330"/>
      <c r="D60" s="330"/>
    </row>
    <row r="61" spans="1:4">
      <c r="A61" s="369" t="s">
        <v>120</v>
      </c>
      <c r="B61" s="330"/>
      <c r="C61" s="330"/>
      <c r="D61" s="330"/>
    </row>
    <row r="62" spans="1:4">
      <c r="A62" s="369"/>
      <c r="B62" s="330"/>
      <c r="C62" s="330"/>
      <c r="D62" s="330"/>
    </row>
    <row r="63" spans="1:4">
      <c r="A63" s="368" t="s">
        <v>77</v>
      </c>
      <c r="B63" s="336">
        <f>SUM(B58:B62)</f>
        <v>0</v>
      </c>
      <c r="C63" s="336">
        <f>SUM(C58:C62)</f>
        <v>0</v>
      </c>
      <c r="D63" s="336">
        <f>SUM(D58:D62)</f>
        <v>0</v>
      </c>
    </row>
    <row r="64" spans="1:4">
      <c r="A64" s="85"/>
      <c r="B64" s="105"/>
      <c r="C64" s="105"/>
      <c r="D64" s="105"/>
    </row>
    <row r="65" spans="1:4" ht="16.5" thickBot="1">
      <c r="A65" s="368" t="s">
        <v>126</v>
      </c>
      <c r="B65" s="370">
        <f>B15+B22+B29+B35+B42+B49+B56+B63</f>
        <v>1610888</v>
      </c>
      <c r="C65" s="370">
        <f>C15+C22+C29+C35+C42+C49+C56+C63</f>
        <v>1399376</v>
      </c>
      <c r="D65" s="370">
        <f>D15+D22+D29+D35+D42+D49+D56+D63</f>
        <v>1633035</v>
      </c>
    </row>
    <row r="66" spans="1:4" ht="16.5" thickTop="1">
      <c r="A66" s="371"/>
      <c r="B66" s="105"/>
      <c r="C66" s="105"/>
      <c r="D66" s="105"/>
    </row>
    <row r="67" spans="1:4">
      <c r="A67" s="119" t="s">
        <v>124</v>
      </c>
      <c r="B67" s="105" t="str">
        <f>CONCATENATE("",general!C59,"b")</f>
        <v>8b</v>
      </c>
      <c r="C67" s="105"/>
      <c r="D67" s="105"/>
    </row>
    <row r="68" spans="1:4">
      <c r="A68" s="440"/>
      <c r="B68" s="145"/>
      <c r="C68" s="145"/>
      <c r="D68" s="145"/>
    </row>
    <row r="69" spans="1:4">
      <c r="A69" s="145" t="str">
        <f>A1</f>
        <v>City of Hiawatha</v>
      </c>
      <c r="B69" s="440"/>
      <c r="C69" s="439"/>
      <c r="D69" s="440">
        <f>D1</f>
        <v>2014</v>
      </c>
    </row>
    <row r="70" spans="1:4">
      <c r="A70" s="440"/>
      <c r="B70" s="440"/>
      <c r="C70" s="440"/>
      <c r="D70" s="439"/>
    </row>
    <row r="71" spans="1:4">
      <c r="A71" s="438"/>
      <c r="B71" s="442"/>
      <c r="C71" s="442"/>
      <c r="D71" s="442"/>
    </row>
    <row r="72" spans="1:4">
      <c r="A72" s="752" t="s">
        <v>105</v>
      </c>
      <c r="B72" s="444" t="str">
        <f t="shared" ref="B72:D73" si="0">B4</f>
        <v xml:space="preserve">Prior Year </v>
      </c>
      <c r="C72" s="444" t="str">
        <f t="shared" si="0"/>
        <v xml:space="preserve">Current Year </v>
      </c>
      <c r="D72" s="444" t="str">
        <f t="shared" si="0"/>
        <v xml:space="preserve">Proposed Budget </v>
      </c>
    </row>
    <row r="73" spans="1:4">
      <c r="A73" s="445" t="s">
        <v>446</v>
      </c>
      <c r="B73" s="445" t="str">
        <f t="shared" si="0"/>
        <v>Actual for 2012</v>
      </c>
      <c r="C73" s="445" t="str">
        <f t="shared" si="0"/>
        <v>Estimate for 2013</v>
      </c>
      <c r="D73" s="445" t="str">
        <f t="shared" si="0"/>
        <v>Year for 2014</v>
      </c>
    </row>
    <row r="74" spans="1:4">
      <c r="A74" s="443" t="s">
        <v>117</v>
      </c>
      <c r="B74" s="446"/>
      <c r="C74" s="446"/>
      <c r="D74" s="446"/>
    </row>
    <row r="75" spans="1:4">
      <c r="A75" s="447"/>
      <c r="B75" s="446"/>
      <c r="C75" s="446"/>
      <c r="D75" s="446"/>
    </row>
    <row r="76" spans="1:4">
      <c r="A76" s="447" t="s">
        <v>125</v>
      </c>
      <c r="B76" s="448"/>
      <c r="C76" s="448"/>
      <c r="D76" s="448"/>
    </row>
    <row r="77" spans="1:4">
      <c r="A77" s="447" t="s">
        <v>118</v>
      </c>
      <c r="B77" s="448"/>
      <c r="C77" s="448"/>
      <c r="D77" s="448"/>
    </row>
    <row r="78" spans="1:4">
      <c r="A78" s="447" t="s">
        <v>119</v>
      </c>
      <c r="B78" s="448"/>
      <c r="C78" s="448"/>
      <c r="D78" s="448"/>
    </row>
    <row r="79" spans="1:4">
      <c r="A79" s="447" t="s">
        <v>120</v>
      </c>
      <c r="B79" s="448"/>
      <c r="C79" s="448"/>
      <c r="D79" s="448"/>
    </row>
    <row r="80" spans="1:4">
      <c r="A80" s="449"/>
      <c r="B80" s="448"/>
      <c r="C80" s="448"/>
      <c r="D80" s="448"/>
    </row>
    <row r="81" spans="1:4">
      <c r="A81" s="443" t="s">
        <v>77</v>
      </c>
      <c r="B81" s="450">
        <f>SUM(B76:B80)</f>
        <v>0</v>
      </c>
      <c r="C81" s="450">
        <f>SUM(C76:C80)</f>
        <v>0</v>
      </c>
      <c r="D81" s="450">
        <f>SUM(D76:D80)</f>
        <v>0</v>
      </c>
    </row>
    <row r="82" spans="1:4">
      <c r="A82" s="451"/>
      <c r="B82" s="145"/>
      <c r="C82" s="145"/>
      <c r="D82" s="145"/>
    </row>
    <row r="83" spans="1:4">
      <c r="A83" s="447" t="s">
        <v>125</v>
      </c>
      <c r="B83" s="448"/>
      <c r="C83" s="448"/>
      <c r="D83" s="448"/>
    </row>
    <row r="84" spans="1:4">
      <c r="A84" s="447" t="s">
        <v>118</v>
      </c>
      <c r="B84" s="448"/>
      <c r="C84" s="448"/>
      <c r="D84" s="448"/>
    </row>
    <row r="85" spans="1:4">
      <c r="A85" s="447" t="s">
        <v>119</v>
      </c>
      <c r="B85" s="448"/>
      <c r="C85" s="448"/>
      <c r="D85" s="448"/>
    </row>
    <row r="86" spans="1:4">
      <c r="A86" s="447" t="s">
        <v>120</v>
      </c>
      <c r="B86" s="448"/>
      <c r="C86" s="448"/>
      <c r="D86" s="448"/>
    </row>
    <row r="87" spans="1:4">
      <c r="A87" s="447"/>
      <c r="B87" s="448"/>
      <c r="C87" s="448"/>
      <c r="D87" s="448"/>
    </row>
    <row r="88" spans="1:4">
      <c r="A88" s="443" t="s">
        <v>77</v>
      </c>
      <c r="B88" s="450">
        <f>SUM(B83:B87)</f>
        <v>0</v>
      </c>
      <c r="C88" s="450">
        <f>SUM(C83:C87)</f>
        <v>0</v>
      </c>
      <c r="D88" s="450">
        <f>SUM(D83:D87)</f>
        <v>0</v>
      </c>
    </row>
    <row r="89" spans="1:4">
      <c r="A89" s="451"/>
      <c r="B89" s="145"/>
      <c r="C89" s="145"/>
      <c r="D89" s="145"/>
    </row>
    <row r="90" spans="1:4">
      <c r="A90" s="447" t="s">
        <v>125</v>
      </c>
      <c r="B90" s="448"/>
      <c r="C90" s="448"/>
      <c r="D90" s="448"/>
    </row>
    <row r="91" spans="1:4">
      <c r="A91" s="447" t="s">
        <v>118</v>
      </c>
      <c r="B91" s="448"/>
      <c r="C91" s="448"/>
      <c r="D91" s="448"/>
    </row>
    <row r="92" spans="1:4">
      <c r="A92" s="447" t="s">
        <v>119</v>
      </c>
      <c r="B92" s="448"/>
      <c r="C92" s="448"/>
      <c r="D92" s="448"/>
    </row>
    <row r="93" spans="1:4">
      <c r="A93" s="447" t="s">
        <v>120</v>
      </c>
      <c r="B93" s="448"/>
      <c r="C93" s="448"/>
      <c r="D93" s="448"/>
    </row>
    <row r="94" spans="1:4">
      <c r="A94" s="447"/>
      <c r="B94" s="448"/>
      <c r="C94" s="448"/>
      <c r="D94" s="448"/>
    </row>
    <row r="95" spans="1:4">
      <c r="A95" s="443" t="s">
        <v>77</v>
      </c>
      <c r="B95" s="450">
        <f>SUM(B90:B94)</f>
        <v>0</v>
      </c>
      <c r="C95" s="450">
        <f>SUM(C90:C94)</f>
        <v>0</v>
      </c>
      <c r="D95" s="450">
        <f>SUM(D90:D94)</f>
        <v>0</v>
      </c>
    </row>
    <row r="96" spans="1:4">
      <c r="A96" s="451"/>
      <c r="B96" s="145"/>
      <c r="C96" s="145"/>
      <c r="D96" s="145"/>
    </row>
    <row r="97" spans="1:4">
      <c r="A97" s="447" t="s">
        <v>125</v>
      </c>
      <c r="B97" s="448"/>
      <c r="C97" s="448"/>
      <c r="D97" s="448"/>
    </row>
    <row r="98" spans="1:4">
      <c r="A98" s="447" t="s">
        <v>118</v>
      </c>
      <c r="B98" s="448"/>
      <c r="C98" s="448"/>
      <c r="D98" s="448"/>
    </row>
    <row r="99" spans="1:4">
      <c r="A99" s="447" t="s">
        <v>119</v>
      </c>
      <c r="B99" s="448"/>
      <c r="C99" s="448"/>
      <c r="D99" s="448"/>
    </row>
    <row r="100" spans="1:4">
      <c r="A100" s="447" t="s">
        <v>120</v>
      </c>
      <c r="B100" s="448"/>
      <c r="C100" s="448"/>
      <c r="D100" s="448"/>
    </row>
    <row r="101" spans="1:4">
      <c r="A101" s="443" t="s">
        <v>77</v>
      </c>
      <c r="B101" s="450">
        <f>SUM(B97:B100)</f>
        <v>0</v>
      </c>
      <c r="C101" s="450">
        <f>SUM(C97:C100)</f>
        <v>0</v>
      </c>
      <c r="D101" s="450">
        <f>SUM(D97:D100)</f>
        <v>0</v>
      </c>
    </row>
    <row r="102" spans="1:4">
      <c r="A102" s="451"/>
      <c r="B102" s="145"/>
      <c r="C102" s="145"/>
      <c r="D102" s="145"/>
    </row>
    <row r="103" spans="1:4">
      <c r="A103" s="447" t="s">
        <v>125</v>
      </c>
      <c r="B103" s="448"/>
      <c r="C103" s="448"/>
      <c r="D103" s="448"/>
    </row>
    <row r="104" spans="1:4">
      <c r="A104" s="447" t="s">
        <v>118</v>
      </c>
      <c r="B104" s="448"/>
      <c r="C104" s="448"/>
      <c r="D104" s="448"/>
    </row>
    <row r="105" spans="1:4">
      <c r="A105" s="447" t="s">
        <v>119</v>
      </c>
      <c r="B105" s="448"/>
      <c r="C105" s="448"/>
      <c r="D105" s="448"/>
    </row>
    <row r="106" spans="1:4">
      <c r="A106" s="447" t="s">
        <v>120</v>
      </c>
      <c r="B106" s="448"/>
      <c r="C106" s="448"/>
      <c r="D106" s="448"/>
    </row>
    <row r="107" spans="1:4">
      <c r="A107" s="447"/>
      <c r="B107" s="448"/>
      <c r="C107" s="448"/>
      <c r="D107" s="448"/>
    </row>
    <row r="108" spans="1:4">
      <c r="A108" s="443" t="s">
        <v>77</v>
      </c>
      <c r="B108" s="450">
        <f>SUM(B103:B107)</f>
        <v>0</v>
      </c>
      <c r="C108" s="450">
        <f>SUM(C103:C107)</f>
        <v>0</v>
      </c>
      <c r="D108" s="450">
        <f>SUM(D103:D107)</f>
        <v>0</v>
      </c>
    </row>
    <row r="109" spans="1:4">
      <c r="A109" s="451"/>
      <c r="B109" s="145"/>
      <c r="C109" s="145"/>
      <c r="D109" s="145"/>
    </row>
    <row r="110" spans="1:4">
      <c r="A110" s="447" t="s">
        <v>125</v>
      </c>
      <c r="B110" s="448"/>
      <c r="C110" s="448"/>
      <c r="D110" s="448"/>
    </row>
    <row r="111" spans="1:4">
      <c r="A111" s="447" t="s">
        <v>118</v>
      </c>
      <c r="B111" s="448"/>
      <c r="C111" s="448"/>
      <c r="D111" s="448"/>
    </row>
    <row r="112" spans="1:4">
      <c r="A112" s="447" t="s">
        <v>119</v>
      </c>
      <c r="B112" s="448"/>
      <c r="C112" s="448"/>
      <c r="D112" s="448"/>
    </row>
    <row r="113" spans="1:4">
      <c r="A113" s="447" t="s">
        <v>120</v>
      </c>
      <c r="B113" s="448"/>
      <c r="C113" s="448"/>
      <c r="D113" s="448"/>
    </row>
    <row r="114" spans="1:4">
      <c r="A114" s="447"/>
      <c r="B114" s="448"/>
      <c r="C114" s="448"/>
      <c r="D114" s="448"/>
    </row>
    <row r="115" spans="1:4">
      <c r="A115" s="443" t="s">
        <v>77</v>
      </c>
      <c r="B115" s="450">
        <f>SUM(B110:B114)</f>
        <v>0</v>
      </c>
      <c r="C115" s="450">
        <f>SUM(C110:C114)</f>
        <v>0</v>
      </c>
      <c r="D115" s="450">
        <f>SUM(D110:D114)</f>
        <v>0</v>
      </c>
    </row>
    <row r="116" spans="1:4">
      <c r="A116" s="451"/>
      <c r="B116" s="145"/>
      <c r="C116" s="145"/>
      <c r="D116" s="145"/>
    </row>
    <row r="117" spans="1:4">
      <c r="A117" s="447" t="s">
        <v>125</v>
      </c>
      <c r="B117" s="448"/>
      <c r="C117" s="448"/>
      <c r="D117" s="448"/>
    </row>
    <row r="118" spans="1:4">
      <c r="A118" s="447" t="s">
        <v>118</v>
      </c>
      <c r="B118" s="448"/>
      <c r="C118" s="448"/>
      <c r="D118" s="448"/>
    </row>
    <row r="119" spans="1:4">
      <c r="A119" s="447" t="s">
        <v>119</v>
      </c>
      <c r="B119" s="448"/>
      <c r="C119" s="448"/>
      <c r="D119" s="448"/>
    </row>
    <row r="120" spans="1:4">
      <c r="A120" s="447" t="s">
        <v>120</v>
      </c>
      <c r="B120" s="448"/>
      <c r="C120" s="448"/>
      <c r="D120" s="448"/>
    </row>
    <row r="121" spans="1:4">
      <c r="A121" s="447"/>
      <c r="B121" s="448"/>
      <c r="C121" s="448"/>
      <c r="D121" s="448"/>
    </row>
    <row r="122" spans="1:4">
      <c r="A122" s="443" t="s">
        <v>77</v>
      </c>
      <c r="B122" s="450">
        <f>SUM(B117:B121)</f>
        <v>0</v>
      </c>
      <c r="C122" s="450">
        <f>SUM(C117:C121)</f>
        <v>0</v>
      </c>
      <c r="D122" s="450">
        <f>SUM(D117:D121)</f>
        <v>0</v>
      </c>
    </row>
    <row r="123" spans="1:4">
      <c r="A123" s="451"/>
      <c r="B123" s="145"/>
      <c r="C123" s="145"/>
      <c r="D123" s="145"/>
    </row>
    <row r="124" spans="1:4">
      <c r="A124" s="447" t="s">
        <v>125</v>
      </c>
      <c r="B124" s="448"/>
      <c r="C124" s="448"/>
      <c r="D124" s="448"/>
    </row>
    <row r="125" spans="1:4">
      <c r="A125" s="447" t="s">
        <v>118</v>
      </c>
      <c r="B125" s="448"/>
      <c r="C125" s="448"/>
      <c r="D125" s="448"/>
    </row>
    <row r="126" spans="1:4">
      <c r="A126" s="447" t="s">
        <v>119</v>
      </c>
      <c r="B126" s="448"/>
      <c r="C126" s="448"/>
      <c r="D126" s="448"/>
    </row>
    <row r="127" spans="1:4">
      <c r="A127" s="447" t="s">
        <v>120</v>
      </c>
      <c r="B127" s="448"/>
      <c r="C127" s="448"/>
      <c r="D127" s="448"/>
    </row>
    <row r="128" spans="1:4">
      <c r="A128" s="447"/>
      <c r="B128" s="448"/>
      <c r="C128" s="448"/>
      <c r="D128" s="448"/>
    </row>
    <row r="129" spans="1:4">
      <c r="A129" s="443" t="s">
        <v>77</v>
      </c>
      <c r="B129" s="450">
        <f>SUM(B124:B128)</f>
        <v>0</v>
      </c>
      <c r="C129" s="450">
        <f>SUM(C124:C128)</f>
        <v>0</v>
      </c>
      <c r="D129" s="450">
        <f>SUM(D124:D128)</f>
        <v>0</v>
      </c>
    </row>
    <row r="130" spans="1:4">
      <c r="A130" s="443"/>
      <c r="B130" s="145"/>
      <c r="C130" s="145"/>
      <c r="D130" s="145"/>
    </row>
    <row r="131" spans="1:4">
      <c r="A131" s="452" t="s">
        <v>447</v>
      </c>
      <c r="B131" s="453">
        <f>B81+B88+B95+B101+B108+B115+B122+B129</f>
        <v>0</v>
      </c>
      <c r="C131" s="453">
        <f>C81+C88+C95+C101+C108+C115+C122+C129</f>
        <v>0</v>
      </c>
      <c r="D131" s="453">
        <f>D81+D88+D95+D101+D108+D115+D122+D129</f>
        <v>0</v>
      </c>
    </row>
    <row r="132" spans="1:4">
      <c r="A132" s="443" t="s">
        <v>448</v>
      </c>
      <c r="B132" s="450">
        <f>B65</f>
        <v>1610888</v>
      </c>
      <c r="C132" s="450">
        <f>C65</f>
        <v>1399376</v>
      </c>
      <c r="D132" s="450">
        <f>D65</f>
        <v>1633035</v>
      </c>
    </row>
    <row r="133" spans="1:4" ht="16.5" thickBot="1">
      <c r="A133" s="443" t="s">
        <v>449</v>
      </c>
      <c r="B133" s="454">
        <f>SUM(B131:B132)</f>
        <v>1610888</v>
      </c>
      <c r="C133" s="454">
        <f>SUM(C131:C132)</f>
        <v>1399376</v>
      </c>
      <c r="D133" s="454">
        <f>SUM(D131:D132)</f>
        <v>1633035</v>
      </c>
    </row>
    <row r="134" spans="1:4" ht="16.5" thickTop="1">
      <c r="A134" s="455" t="s">
        <v>49</v>
      </c>
      <c r="B134" s="145"/>
      <c r="C134" s="145"/>
      <c r="D134" s="145"/>
    </row>
    <row r="135" spans="1:4">
      <c r="A135" s="620" t="s">
        <v>124</v>
      </c>
      <c r="B135" s="105" t="str">
        <f>CONCATENATE("",general!C59,"c")</f>
        <v>8c</v>
      </c>
      <c r="C135" s="145"/>
      <c r="D135" s="145"/>
    </row>
  </sheetData>
  <sheetProtection sheet="1"/>
  <phoneticPr fontId="0" type="noConversion"/>
  <pageMargins left="0.5" right="0.5" top="1" bottom="0.5" header="0.5" footer="0.5"/>
  <pageSetup scale="64" orientation="portrait" blackAndWhite="1" r:id="rId1"/>
  <headerFooter alignWithMargins="0">
    <oddHeader>&amp;RState of Kansas
City</oddHeader>
  </headerFooter>
  <rowBreaks count="1" manualBreakCount="1">
    <brk id="68" max="3" man="1"/>
  </rowBreaks>
</worksheet>
</file>

<file path=xl/worksheets/sheet15.xml><?xml version="1.0" encoding="utf-8"?>
<worksheet xmlns="http://schemas.openxmlformats.org/spreadsheetml/2006/main" xmlns:r="http://schemas.openxmlformats.org/officeDocument/2006/relationships">
  <sheetPr>
    <pageSetUpPr fitToPage="1"/>
  </sheetPr>
  <dimension ref="B1:K94"/>
  <sheetViews>
    <sheetView topLeftCell="A10" zoomScaleNormal="100" workbookViewId="0">
      <selection activeCell="E15" sqref="E15"/>
    </sheetView>
  </sheetViews>
  <sheetFormatPr defaultColWidth="8.88671875" defaultRowHeight="15.75"/>
  <cols>
    <col min="1" max="1" width="2.44140625" style="121" customWidth="1"/>
    <col min="2" max="2" width="31.109375" style="121" customWidth="1"/>
    <col min="3" max="4" width="15.77734375" style="121" customWidth="1"/>
    <col min="5" max="5" width="16.21875" style="121" customWidth="1"/>
    <col min="6" max="6" width="8.109375" style="121" customWidth="1"/>
    <col min="7" max="7" width="10.21875" style="121" customWidth="1"/>
    <col min="8" max="8" width="8.88671875" style="121"/>
    <col min="9" max="9" width="5" style="121" customWidth="1"/>
    <col min="10" max="10" width="10" style="121" customWidth="1"/>
    <col min="11" max="16384" width="8.88671875" style="121"/>
  </cols>
  <sheetData>
    <row r="1" spans="2:5">
      <c r="B1" s="105" t="str">
        <f>inputPrYr!D3</f>
        <v>Brown</v>
      </c>
      <c r="C1" s="85"/>
      <c r="D1" s="85"/>
      <c r="E1" s="317">
        <f>inputPrYr!$C$5</f>
        <v>2014</v>
      </c>
    </row>
    <row r="2" spans="2:5">
      <c r="B2" s="85"/>
      <c r="C2" s="85"/>
      <c r="D2" s="85"/>
      <c r="E2" s="118"/>
    </row>
    <row r="3" spans="2:5">
      <c r="B3" s="653" t="s">
        <v>173</v>
      </c>
      <c r="C3" s="107"/>
      <c r="D3" s="107"/>
      <c r="E3" s="358"/>
    </row>
    <row r="4" spans="2:5">
      <c r="B4" s="103" t="s">
        <v>105</v>
      </c>
      <c r="C4" s="321" t="s">
        <v>848</v>
      </c>
      <c r="D4" s="322" t="s">
        <v>849</v>
      </c>
      <c r="E4" s="96" t="s">
        <v>850</v>
      </c>
    </row>
    <row r="5" spans="2:5">
      <c r="B5" s="560" t="str">
        <f>inputPrYr!B18</f>
        <v>Debt Service</v>
      </c>
      <c r="C5" s="323" t="str">
        <f>CONCATENATE("Actual for ",E1-2,"")</f>
        <v>Actual for 2012</v>
      </c>
      <c r="D5" s="323" t="str">
        <f>CONCATENATE("Estimate for ",E1-1,"")</f>
        <v>Estimate for 2013</v>
      </c>
      <c r="E5" s="324" t="str">
        <f>CONCATENATE("Year for ",E1,"")</f>
        <v>Year for 2014</v>
      </c>
    </row>
    <row r="6" spans="2:5">
      <c r="B6" s="177" t="s">
        <v>228</v>
      </c>
      <c r="C6" s="483">
        <v>165990</v>
      </c>
      <c r="D6" s="487">
        <f>C34</f>
        <v>190878</v>
      </c>
      <c r="E6" s="359">
        <f>D34</f>
        <v>253107</v>
      </c>
    </row>
    <row r="7" spans="2:5">
      <c r="B7" s="328" t="s">
        <v>230</v>
      </c>
      <c r="C7" s="486"/>
      <c r="D7" s="487"/>
      <c r="E7" s="359"/>
    </row>
    <row r="8" spans="2:5">
      <c r="B8" s="177" t="s">
        <v>106</v>
      </c>
      <c r="C8" s="483">
        <v>157060</v>
      </c>
      <c r="D8" s="486">
        <f>IF(inputPrYr!H16&gt;0,inputPrYr!G18,inputPrYr!E18)</f>
        <v>318016</v>
      </c>
      <c r="E8" s="354" t="s">
        <v>94</v>
      </c>
    </row>
    <row r="9" spans="2:5">
      <c r="B9" s="177" t="s">
        <v>107</v>
      </c>
      <c r="C9" s="483">
        <v>58</v>
      </c>
      <c r="D9" s="483">
        <v>50</v>
      </c>
      <c r="E9" s="360"/>
    </row>
    <row r="10" spans="2:5">
      <c r="B10" s="177" t="s">
        <v>108</v>
      </c>
      <c r="C10" s="483">
        <v>22816</v>
      </c>
      <c r="D10" s="483">
        <v>21700</v>
      </c>
      <c r="E10" s="361">
        <f>mvalloc!D8</f>
        <v>40490</v>
      </c>
    </row>
    <row r="11" spans="2:5">
      <c r="B11" s="177" t="s">
        <v>109</v>
      </c>
      <c r="C11" s="483">
        <v>316</v>
      </c>
      <c r="D11" s="483">
        <v>300</v>
      </c>
      <c r="E11" s="361">
        <f>mvalloc!E8</f>
        <v>556</v>
      </c>
    </row>
    <row r="12" spans="2:5">
      <c r="B12" s="355" t="s">
        <v>205</v>
      </c>
      <c r="C12" s="483"/>
      <c r="D12" s="483">
        <v>0</v>
      </c>
      <c r="E12" s="361">
        <f>mvalloc!F8</f>
        <v>660</v>
      </c>
    </row>
    <row r="13" spans="2:5">
      <c r="B13" s="362" t="s">
        <v>1106</v>
      </c>
      <c r="C13" s="483">
        <v>7202</v>
      </c>
      <c r="D13" s="483">
        <v>3400</v>
      </c>
      <c r="E13" s="360">
        <v>3400</v>
      </c>
    </row>
    <row r="14" spans="2:5">
      <c r="B14" s="362" t="s">
        <v>1107</v>
      </c>
      <c r="C14" s="483">
        <v>588423</v>
      </c>
      <c r="D14" s="483">
        <v>390000</v>
      </c>
      <c r="E14" s="360">
        <v>616644</v>
      </c>
    </row>
    <row r="15" spans="2:5">
      <c r="B15" s="362" t="s">
        <v>1108</v>
      </c>
      <c r="C15" s="483">
        <v>61957</v>
      </c>
      <c r="D15" s="483">
        <v>20000</v>
      </c>
      <c r="E15" s="360">
        <v>20000</v>
      </c>
    </row>
    <row r="16" spans="2:5">
      <c r="B16" s="362"/>
      <c r="C16" s="483"/>
      <c r="D16" s="483"/>
      <c r="E16" s="360"/>
    </row>
    <row r="17" spans="2:10">
      <c r="B17" s="363" t="s">
        <v>113</v>
      </c>
      <c r="C17" s="483"/>
      <c r="D17" s="483"/>
      <c r="E17" s="360"/>
    </row>
    <row r="18" spans="2:10">
      <c r="B18" s="339" t="s">
        <v>14</v>
      </c>
      <c r="C18" s="483"/>
      <c r="D18" s="483"/>
      <c r="E18" s="360"/>
    </row>
    <row r="19" spans="2:10">
      <c r="B19" s="339" t="s">
        <v>774</v>
      </c>
      <c r="C19" s="654" t="str">
        <f>IF(C20*0.1&lt;C18,"Exceed 10% Rule","")</f>
        <v/>
      </c>
      <c r="D19" s="654" t="str">
        <f>IF(D20*0.1&lt;D18,"Exceed 10% Rule","")</f>
        <v/>
      </c>
      <c r="E19" s="655" t="str">
        <f>IF(E20*0.1+E40&lt;E18,"Exceed 10% Rule","")</f>
        <v/>
      </c>
    </row>
    <row r="20" spans="2:10">
      <c r="B20" s="335" t="s">
        <v>114</v>
      </c>
      <c r="C20" s="656">
        <f>SUM(C8:C18)</f>
        <v>837832</v>
      </c>
      <c r="D20" s="484">
        <f>SUM(D8:D18)</f>
        <v>753466</v>
      </c>
      <c r="E20" s="364">
        <f>SUM(E8:E18)</f>
        <v>681750</v>
      </c>
    </row>
    <row r="21" spans="2:10">
      <c r="B21" s="335" t="s">
        <v>115</v>
      </c>
      <c r="C21" s="484">
        <f>C6+C20</f>
        <v>1003822</v>
      </c>
      <c r="D21" s="484">
        <f>D6+D20</f>
        <v>944344</v>
      </c>
      <c r="E21" s="365">
        <f>E6+E20</f>
        <v>934857</v>
      </c>
    </row>
    <row r="22" spans="2:10">
      <c r="B22" s="328" t="s">
        <v>117</v>
      </c>
      <c r="C22" s="486"/>
      <c r="D22" s="486"/>
      <c r="E22" s="361"/>
    </row>
    <row r="23" spans="2:10">
      <c r="B23" s="329" t="s">
        <v>159</v>
      </c>
      <c r="C23" s="483">
        <v>371145</v>
      </c>
      <c r="D23" s="483">
        <v>366045</v>
      </c>
      <c r="E23" s="360">
        <v>572084</v>
      </c>
    </row>
    <row r="24" spans="2:10">
      <c r="B24" s="329" t="s">
        <v>1103</v>
      </c>
      <c r="C24" s="483">
        <v>423965</v>
      </c>
      <c r="D24" s="483">
        <v>325192</v>
      </c>
      <c r="E24" s="360">
        <v>460397</v>
      </c>
      <c r="G24" s="895" t="str">
        <f>CONCATENATE("Desired Carryover Into ",E1+1,"")</f>
        <v>Desired Carryover Into 2015</v>
      </c>
      <c r="H24" s="893"/>
      <c r="I24" s="893"/>
      <c r="J24" s="894"/>
    </row>
    <row r="25" spans="2:10">
      <c r="B25" s="329" t="s">
        <v>1104</v>
      </c>
      <c r="C25" s="483"/>
      <c r="D25" s="483"/>
      <c r="E25" s="360">
        <v>60000</v>
      </c>
      <c r="G25" s="657"/>
      <c r="H25" s="658"/>
      <c r="I25" s="659"/>
      <c r="J25" s="660"/>
    </row>
    <row r="26" spans="2:10">
      <c r="B26" s="329" t="s">
        <v>1105</v>
      </c>
      <c r="C26" s="483">
        <v>17834</v>
      </c>
      <c r="D26" s="483"/>
      <c r="E26" s="360"/>
      <c r="G26" s="661" t="s">
        <v>782</v>
      </c>
      <c r="H26" s="659"/>
      <c r="I26" s="659"/>
      <c r="J26" s="662">
        <v>0</v>
      </c>
    </row>
    <row r="27" spans="2:10">
      <c r="B27" s="329"/>
      <c r="C27" s="483"/>
      <c r="D27" s="483"/>
      <c r="E27" s="360"/>
      <c r="G27" s="657" t="s">
        <v>783</v>
      </c>
      <c r="H27" s="658"/>
      <c r="I27" s="658"/>
      <c r="J27" s="663" t="str">
        <f>IF(J26=0,"",ROUND((J26+E40-G39)/summ!F53*1000,3)-G44)</f>
        <v/>
      </c>
    </row>
    <row r="28" spans="2:10">
      <c r="B28" s="329"/>
      <c r="C28" s="483"/>
      <c r="D28" s="483"/>
      <c r="E28" s="360"/>
      <c r="G28" s="664" t="str">
        <f>CONCATENATE("",E1," Tot Exp/Non-Appr Must Be:")</f>
        <v>2014 Tot Exp/Non-Appr Must Be:</v>
      </c>
      <c r="H28" s="665"/>
      <c r="I28" s="666"/>
      <c r="J28" s="667">
        <f>IF(J26&gt;0,IF(E37&lt;E21,IF(J26=G39,E37,((J26-G39)*(1-D39))+E21),E37+(J26-G39)),0)</f>
        <v>0</v>
      </c>
    </row>
    <row r="29" spans="2:10">
      <c r="B29" s="329"/>
      <c r="C29" s="483"/>
      <c r="D29" s="483"/>
      <c r="E29" s="360"/>
      <c r="G29" s="668" t="s">
        <v>851</v>
      </c>
      <c r="H29" s="669"/>
      <c r="I29" s="669"/>
      <c r="J29" s="670">
        <f>IF(J26&gt;0,J28-E37,0)</f>
        <v>0</v>
      </c>
    </row>
    <row r="30" spans="2:10">
      <c r="B30" s="339" t="s">
        <v>13</v>
      </c>
      <c r="C30" s="483"/>
      <c r="D30" s="483"/>
      <c r="E30" s="671">
        <f>nhood!E7</f>
        <v>7834</v>
      </c>
    </row>
    <row r="31" spans="2:10">
      <c r="B31" s="339" t="s">
        <v>14</v>
      </c>
      <c r="C31" s="483"/>
      <c r="D31" s="483"/>
      <c r="E31" s="360"/>
      <c r="G31" s="896" t="str">
        <f>CONCATENATE("Projected Carryover Into ",E1+1,"")</f>
        <v>Projected Carryover Into 2015</v>
      </c>
      <c r="H31" s="897"/>
      <c r="I31" s="897"/>
      <c r="J31" s="894"/>
    </row>
    <row r="32" spans="2:10">
      <c r="B32" s="339" t="s">
        <v>852</v>
      </c>
      <c r="C32" s="654" t="str">
        <f>IF(C33*0.1&lt;C31,"Exceed 10% Rule","")</f>
        <v/>
      </c>
      <c r="D32" s="654" t="str">
        <f>IF(D33*0.1&lt;D31,"Exceed 10% Rule","")</f>
        <v/>
      </c>
      <c r="E32" s="655" t="str">
        <f>IF(E33*0.1&lt;E31,"Exceed 10% Rule","")</f>
        <v/>
      </c>
      <c r="G32" s="672"/>
      <c r="H32" s="673"/>
      <c r="I32" s="673"/>
      <c r="J32" s="674"/>
    </row>
    <row r="33" spans="2:11">
      <c r="B33" s="335" t="s">
        <v>121</v>
      </c>
      <c r="C33" s="656">
        <f>SUM(C23:C31)</f>
        <v>812944</v>
      </c>
      <c r="D33" s="484">
        <f>SUM(D23:D31)</f>
        <v>691237</v>
      </c>
      <c r="E33" s="364">
        <f>SUM(E23:E31)</f>
        <v>1100315</v>
      </c>
      <c r="G33" s="789">
        <f>D34</f>
        <v>253107</v>
      </c>
      <c r="H33" s="788" t="str">
        <f>CONCATENATE("",E1-1," Ending Cash Balance (est.)")</f>
        <v>2013 Ending Cash Balance (est.)</v>
      </c>
      <c r="I33" s="675"/>
      <c r="J33" s="674"/>
    </row>
    <row r="34" spans="2:11">
      <c r="B34" s="177" t="s">
        <v>229</v>
      </c>
      <c r="C34" s="485">
        <f>C21-C33</f>
        <v>190878</v>
      </c>
      <c r="D34" s="485">
        <f>D21-D33</f>
        <v>253107</v>
      </c>
      <c r="E34" s="354" t="s">
        <v>94</v>
      </c>
      <c r="G34" s="789">
        <f>E20</f>
        <v>681750</v>
      </c>
      <c r="H34" s="786" t="str">
        <f>CONCATENATE("",E1," Non-AV Receipts (est.)")</f>
        <v>2014 Non-AV Receipts (est.)</v>
      </c>
      <c r="I34" s="673"/>
      <c r="J34" s="674"/>
    </row>
    <row r="35" spans="2:11">
      <c r="B35" s="119" t="str">
        <f>CONCATENATE("",E1-2,"/",E1-1," Budget Authority Amount:")</f>
        <v>2012/2013 Budget Authority Amount:</v>
      </c>
      <c r="C35" s="280">
        <f>inputOth!B62</f>
        <v>853790</v>
      </c>
      <c r="D35" s="280">
        <f>inputPrYr!D18</f>
        <v>765238</v>
      </c>
      <c r="E35" s="354" t="s">
        <v>94</v>
      </c>
      <c r="F35" s="356"/>
      <c r="G35" s="790">
        <f>IF(E39&gt;0,E38,E40)</f>
        <v>165458</v>
      </c>
      <c r="H35" s="786" t="str">
        <f>CONCATENATE("",E1," Ad Valorem Tax (est.)")</f>
        <v>2014 Ad Valorem Tax (est.)</v>
      </c>
      <c r="I35" s="673"/>
      <c r="J35" s="674"/>
      <c r="K35" s="677" t="str">
        <f>IF(G35=E40,"","Note: Does not include Delinquent Taxes")</f>
        <v>Note: Does not include Delinquent Taxes</v>
      </c>
    </row>
    <row r="36" spans="2:11">
      <c r="B36" s="119"/>
      <c r="C36" s="886" t="s">
        <v>778</v>
      </c>
      <c r="D36" s="887"/>
      <c r="E36" s="137"/>
      <c r="F36" s="785" t="str">
        <f>IF(E33/0.95-E33&lt;E36,"Exceeds 5%","")</f>
        <v/>
      </c>
      <c r="G36" s="789">
        <f>SUM(G33:G35)</f>
        <v>1100315</v>
      </c>
      <c r="H36" s="786" t="str">
        <f>CONCATENATE("Total ",E1," Resources Available")</f>
        <v>Total 2014 Resources Available</v>
      </c>
      <c r="I36" s="675"/>
      <c r="J36" s="674"/>
    </row>
    <row r="37" spans="2:11">
      <c r="B37" s="603" t="str">
        <f>CONCATENATE(C91,"     ",D91)</f>
        <v xml:space="preserve">     </v>
      </c>
      <c r="C37" s="888" t="s">
        <v>779</v>
      </c>
      <c r="D37" s="889"/>
      <c r="E37" s="327">
        <f>E33+E36</f>
        <v>1100315</v>
      </c>
      <c r="G37" s="791"/>
      <c r="H37" s="676"/>
      <c r="I37" s="673"/>
      <c r="J37" s="674"/>
    </row>
    <row r="38" spans="2:11">
      <c r="B38" s="603" t="str">
        <f>CONCATENATE(C92,"     ",D92)</f>
        <v xml:space="preserve">     </v>
      </c>
      <c r="C38" s="342"/>
      <c r="D38" s="118" t="s">
        <v>122</v>
      </c>
      <c r="E38" s="151">
        <f>IF(E37-E21&gt;0,E37-E21,0)</f>
        <v>165458</v>
      </c>
      <c r="G38" s="790">
        <f>C33</f>
        <v>812944</v>
      </c>
      <c r="H38" s="786" t="str">
        <f>CONCATENATE("Less ",E1-2," Expenditures")</f>
        <v>Less 2012 Expenditures</v>
      </c>
      <c r="I38" s="673"/>
      <c r="J38" s="674"/>
    </row>
    <row r="39" spans="2:11">
      <c r="B39" s="118"/>
      <c r="C39" s="599" t="s">
        <v>780</v>
      </c>
      <c r="D39" s="678">
        <f>inputOth!E48</f>
        <v>2.5000000000000001E-2</v>
      </c>
      <c r="E39" s="327">
        <f>ROUND(IF(D39&gt;0,(E38*D39),0),0)</f>
        <v>4136</v>
      </c>
      <c r="G39" s="792">
        <f>SUM(G36-G38)</f>
        <v>287371</v>
      </c>
      <c r="H39" s="787" t="str">
        <f>CONCATENATE("Projected ",E1+1," carryover (est.)")</f>
        <v>Projected 2015 carryover (est.)</v>
      </c>
      <c r="I39" s="679"/>
      <c r="J39" s="680"/>
    </row>
    <row r="40" spans="2:11" ht="16.5" thickBot="1">
      <c r="B40" s="85"/>
      <c r="C40" s="884" t="str">
        <f>CONCATENATE("Amount of  ",$E$1-1," Ad Valorem Tax")</f>
        <v>Amount of  2013 Ad Valorem Tax</v>
      </c>
      <c r="D40" s="885"/>
      <c r="E40" s="681">
        <f>E38+E39</f>
        <v>169594</v>
      </c>
    </row>
    <row r="41" spans="2:11" ht="16.5" thickTop="1">
      <c r="B41" s="85"/>
      <c r="C41" s="620"/>
      <c r="D41" s="85"/>
      <c r="E41" s="85"/>
      <c r="G41" s="881" t="s">
        <v>853</v>
      </c>
      <c r="H41" s="882"/>
      <c r="I41" s="882"/>
      <c r="J41" s="883"/>
    </row>
    <row r="42" spans="2:11">
      <c r="B42" s="103"/>
      <c r="C42" s="90"/>
      <c r="D42" s="90"/>
      <c r="E42" s="90"/>
      <c r="G42" s="682"/>
      <c r="H42" s="683"/>
      <c r="I42" s="684"/>
      <c r="J42" s="685"/>
    </row>
    <row r="43" spans="2:11">
      <c r="B43" s="103" t="s">
        <v>105</v>
      </c>
      <c r="C43" s="321" t="s">
        <v>848</v>
      </c>
      <c r="D43" s="322" t="s">
        <v>854</v>
      </c>
      <c r="E43" s="96" t="s">
        <v>850</v>
      </c>
      <c r="G43" s="686">
        <f>summ!H16</f>
        <v>7.766</v>
      </c>
      <c r="H43" s="683" t="str">
        <f>CONCATENATE("",E1," Fund Mill Rate")</f>
        <v>2014 Fund Mill Rate</v>
      </c>
      <c r="I43" s="684"/>
      <c r="J43" s="685"/>
    </row>
    <row r="44" spans="2:11">
      <c r="B44" s="687" t="str">
        <f>inputPrYr!B19</f>
        <v>Library</v>
      </c>
      <c r="C44" s="323" t="str">
        <f>C5</f>
        <v>Actual for 2012</v>
      </c>
      <c r="D44" s="323" t="str">
        <f>D5</f>
        <v>Estimate for 2013</v>
      </c>
      <c r="E44" s="324" t="str">
        <f>E5</f>
        <v>Year for 2014</v>
      </c>
      <c r="G44" s="688">
        <f>summ!E16</f>
        <v>16.332000000000001</v>
      </c>
      <c r="H44" s="683" t="str">
        <f>CONCATENATE("",E1-1," Fund Mill Rate")</f>
        <v>2013 Fund Mill Rate</v>
      </c>
      <c r="I44" s="684"/>
      <c r="J44" s="685"/>
    </row>
    <row r="45" spans="2:11">
      <c r="B45" s="274" t="s">
        <v>228</v>
      </c>
      <c r="C45" s="325">
        <v>0</v>
      </c>
      <c r="D45" s="326">
        <f>C74</f>
        <v>0</v>
      </c>
      <c r="E45" s="327">
        <f>D74</f>
        <v>0</v>
      </c>
      <c r="G45" s="689">
        <f>summ!H48</f>
        <v>45.787999999999997</v>
      </c>
      <c r="H45" s="683" t="str">
        <f>CONCATENATE("Total ",E1," Mill Rate")</f>
        <v>Total 2014 Mill Rate</v>
      </c>
      <c r="I45" s="684"/>
      <c r="J45" s="685"/>
    </row>
    <row r="46" spans="2:11">
      <c r="B46" s="274" t="s">
        <v>230</v>
      </c>
      <c r="C46" s="217"/>
      <c r="D46" s="217"/>
      <c r="E46" s="100"/>
      <c r="G46" s="688">
        <f>summ!E48</f>
        <v>47.76</v>
      </c>
      <c r="H46" s="690" t="str">
        <f>CONCATENATE("Total ",E1-1," Mill Rate")</f>
        <v>Total 2013 Mill Rate</v>
      </c>
      <c r="I46" s="691"/>
      <c r="J46" s="692"/>
    </row>
    <row r="47" spans="2:11">
      <c r="B47" s="177" t="s">
        <v>106</v>
      </c>
      <c r="C47" s="325">
        <v>107384</v>
      </c>
      <c r="D47" s="326">
        <f>IF(inputPrYr!H16&gt;0,inputPrYr!G19,inputPrYr!E19)</f>
        <v>114353</v>
      </c>
      <c r="E47" s="354" t="s">
        <v>94</v>
      </c>
    </row>
    <row r="48" spans="2:11">
      <c r="B48" s="177" t="s">
        <v>107</v>
      </c>
      <c r="C48" s="325">
        <v>36</v>
      </c>
      <c r="D48" s="325">
        <v>50</v>
      </c>
      <c r="E48" s="137">
        <v>50</v>
      </c>
      <c r="G48" s="802" t="s">
        <v>1031</v>
      </c>
      <c r="H48" s="801"/>
      <c r="I48" s="800" t="str">
        <f>cert!F54</f>
        <v>Yes</v>
      </c>
    </row>
    <row r="49" spans="2:10">
      <c r="B49" s="177" t="s">
        <v>108</v>
      </c>
      <c r="C49" s="325">
        <v>14428</v>
      </c>
      <c r="D49" s="325">
        <v>14450</v>
      </c>
      <c r="E49" s="327">
        <f>mvalloc!D9</f>
        <v>14559</v>
      </c>
    </row>
    <row r="50" spans="2:10">
      <c r="B50" s="177" t="s">
        <v>109</v>
      </c>
      <c r="C50" s="325">
        <v>200</v>
      </c>
      <c r="D50" s="325">
        <v>200</v>
      </c>
      <c r="E50" s="327">
        <f>mvalloc!E9</f>
        <v>200</v>
      </c>
    </row>
    <row r="51" spans="2:10">
      <c r="B51" s="217" t="s">
        <v>205</v>
      </c>
      <c r="C51" s="325">
        <v>0</v>
      </c>
      <c r="D51" s="325"/>
      <c r="E51" s="327">
        <f>mvalloc!F9</f>
        <v>237</v>
      </c>
    </row>
    <row r="52" spans="2:10">
      <c r="B52" s="329"/>
      <c r="C52" s="325"/>
      <c r="D52" s="325"/>
      <c r="E52" s="137"/>
    </row>
    <row r="53" spans="2:10">
      <c r="B53" s="329"/>
      <c r="C53" s="325"/>
      <c r="D53" s="325"/>
      <c r="E53" s="137"/>
    </row>
    <row r="54" spans="2:10">
      <c r="B54" s="329"/>
      <c r="C54" s="325"/>
      <c r="D54" s="325"/>
      <c r="E54" s="137"/>
    </row>
    <row r="55" spans="2:10">
      <c r="B55" s="329"/>
      <c r="C55" s="325"/>
      <c r="D55" s="325"/>
      <c r="E55" s="137"/>
    </row>
    <row r="56" spans="2:10">
      <c r="B56" s="329"/>
      <c r="C56" s="325"/>
      <c r="D56" s="325"/>
      <c r="E56" s="137"/>
    </row>
    <row r="57" spans="2:10">
      <c r="B57" s="347" t="s">
        <v>113</v>
      </c>
      <c r="C57" s="325"/>
      <c r="D57" s="325"/>
      <c r="E57" s="137"/>
    </row>
    <row r="58" spans="2:10">
      <c r="B58" s="339" t="s">
        <v>14</v>
      </c>
      <c r="C58" s="325">
        <v>4118</v>
      </c>
      <c r="D58" s="325"/>
      <c r="E58" s="137"/>
    </row>
    <row r="59" spans="2:10">
      <c r="B59" s="339" t="s">
        <v>774</v>
      </c>
      <c r="C59" s="654" t="str">
        <f>IF(C60*0.1&lt;C58,"Exceed 10% Rule","")</f>
        <v/>
      </c>
      <c r="D59" s="654" t="str">
        <f>IF(D60*0.1&lt;D58,"Exceed 10% Rule","")</f>
        <v/>
      </c>
      <c r="E59" s="655" t="str">
        <f>IF(E60*0.1+E80&lt;E58,"Exceed 10% Rule","")</f>
        <v/>
      </c>
    </row>
    <row r="60" spans="2:10">
      <c r="B60" s="335" t="s">
        <v>114</v>
      </c>
      <c r="C60" s="337">
        <f>SUM(C47:C58)</f>
        <v>126166</v>
      </c>
      <c r="D60" s="337">
        <f>SUM(D47:D58)</f>
        <v>129053</v>
      </c>
      <c r="E60" s="338">
        <f>SUM(E47:E58)</f>
        <v>15046</v>
      </c>
    </row>
    <row r="61" spans="2:10">
      <c r="B61" s="335" t="s">
        <v>115</v>
      </c>
      <c r="C61" s="337">
        <f>C45+C60</f>
        <v>126166</v>
      </c>
      <c r="D61" s="337">
        <f>D45+D60</f>
        <v>129053</v>
      </c>
      <c r="E61" s="338">
        <f>E45+E60</f>
        <v>15046</v>
      </c>
    </row>
    <row r="62" spans="2:10">
      <c r="B62" s="177" t="s">
        <v>117</v>
      </c>
      <c r="C62" s="339"/>
      <c r="D62" s="339"/>
      <c r="E62" s="102"/>
    </row>
    <row r="63" spans="2:10">
      <c r="B63" s="329" t="s">
        <v>1110</v>
      </c>
      <c r="C63" s="325">
        <v>126166</v>
      </c>
      <c r="D63" s="325">
        <v>129053</v>
      </c>
      <c r="E63" s="137">
        <v>129270</v>
      </c>
    </row>
    <row r="64" spans="2:10">
      <c r="B64" s="329" t="s">
        <v>24</v>
      </c>
      <c r="C64" s="325"/>
      <c r="D64" s="325"/>
      <c r="E64" s="137">
        <v>22460</v>
      </c>
      <c r="G64" s="895" t="str">
        <f>CONCATENATE("Desired Carryover Into ",E1+1,"")</f>
        <v>Desired Carryover Into 2015</v>
      </c>
      <c r="H64" s="893"/>
      <c r="I64" s="893"/>
      <c r="J64" s="894"/>
    </row>
    <row r="65" spans="2:11">
      <c r="B65" s="329"/>
      <c r="C65" s="325"/>
      <c r="D65" s="325"/>
      <c r="E65" s="137"/>
      <c r="G65" s="657"/>
      <c r="H65" s="658"/>
      <c r="I65" s="659"/>
      <c r="J65" s="660"/>
    </row>
    <row r="66" spans="2:11">
      <c r="B66" s="329"/>
      <c r="C66" s="325"/>
      <c r="D66" s="325"/>
      <c r="E66" s="137"/>
      <c r="G66" s="661" t="s">
        <v>782</v>
      </c>
      <c r="H66" s="659"/>
      <c r="I66" s="659"/>
      <c r="J66" s="662">
        <v>0</v>
      </c>
    </row>
    <row r="67" spans="2:11">
      <c r="B67" s="329"/>
      <c r="C67" s="325"/>
      <c r="D67" s="325"/>
      <c r="E67" s="137"/>
      <c r="G67" s="657" t="s">
        <v>783</v>
      </c>
      <c r="H67" s="658"/>
      <c r="I67" s="658"/>
      <c r="J67" s="693" t="str">
        <f>IF(J66=0,"",ROUND((J66+E80-G79)/summ!F53*1000,3)-G84)</f>
        <v/>
      </c>
    </row>
    <row r="68" spans="2:11">
      <c r="B68" s="329"/>
      <c r="C68" s="325"/>
      <c r="D68" s="325"/>
      <c r="E68" s="137"/>
      <c r="G68" s="664" t="str">
        <f>CONCATENATE("",E1," Tot Exp/Non-Appr Must Be:")</f>
        <v>2014 Tot Exp/Non-Appr Must Be:</v>
      </c>
      <c r="H68" s="665"/>
      <c r="I68" s="666"/>
      <c r="J68" s="667">
        <f>IF(J66&gt;0,IF(E77&lt;E61,IF(J66=G79,E77,((J66-G79)*(1-D79))+E61),E77+(J66-G79)),0)</f>
        <v>0</v>
      </c>
    </row>
    <row r="69" spans="2:11">
      <c r="B69" s="329"/>
      <c r="C69" s="325"/>
      <c r="D69" s="325"/>
      <c r="E69" s="137"/>
      <c r="G69" s="668" t="s">
        <v>851</v>
      </c>
      <c r="H69" s="669"/>
      <c r="I69" s="669"/>
      <c r="J69" s="670">
        <f>IF(J66&gt;0,J68-E77,0)</f>
        <v>0</v>
      </c>
    </row>
    <row r="70" spans="2:11">
      <c r="B70" s="339" t="s">
        <v>13</v>
      </c>
      <c r="C70" s="325"/>
      <c r="D70" s="325"/>
      <c r="E70" s="151">
        <f>nhood!E8</f>
        <v>6793</v>
      </c>
      <c r="J70" s="3"/>
    </row>
    <row r="71" spans="2:11">
      <c r="B71" s="339" t="s">
        <v>14</v>
      </c>
      <c r="C71" s="325"/>
      <c r="D71" s="325"/>
      <c r="E71" s="137"/>
      <c r="G71" s="895" t="str">
        <f>CONCATENATE("Projected Carryover Into ",E1+1,"")</f>
        <v>Projected Carryover Into 2015</v>
      </c>
      <c r="H71" s="898"/>
      <c r="I71" s="898"/>
      <c r="J71" s="899"/>
    </row>
    <row r="72" spans="2:11">
      <c r="B72" s="339" t="s">
        <v>773</v>
      </c>
      <c r="C72" s="654" t="str">
        <f>IF(C73*0.1&lt;C71,"Exceed 10% Rule","")</f>
        <v/>
      </c>
      <c r="D72" s="654" t="str">
        <f>IF(D73*0.1&lt;D71,"Exceed 10% Rule","")</f>
        <v/>
      </c>
      <c r="E72" s="655" t="str">
        <f>IF(E73*0.1&lt;E71,"Exceed 10% Rule","")</f>
        <v/>
      </c>
      <c r="G72" s="694"/>
      <c r="H72" s="658"/>
      <c r="I72" s="658"/>
      <c r="J72" s="695"/>
    </row>
    <row r="73" spans="2:11">
      <c r="B73" s="696" t="s">
        <v>121</v>
      </c>
      <c r="C73" s="337">
        <f>SUM(C63:C71)</f>
        <v>126166</v>
      </c>
      <c r="D73" s="337">
        <f>SUM(D63:D71)</f>
        <v>129053</v>
      </c>
      <c r="E73" s="338">
        <f>SUM(E63:E71)</f>
        <v>158523</v>
      </c>
      <c r="G73" s="697">
        <f>D74</f>
        <v>0</v>
      </c>
      <c r="H73" s="683" t="str">
        <f>CONCATENATE("",E1-1," Ending Cash Balance (est.)")</f>
        <v>2013 Ending Cash Balance (est.)</v>
      </c>
      <c r="I73" s="698"/>
      <c r="J73" s="695"/>
    </row>
    <row r="74" spans="2:11">
      <c r="B74" s="177" t="s">
        <v>229</v>
      </c>
      <c r="C74" s="341">
        <f>C61-C73</f>
        <v>0</v>
      </c>
      <c r="D74" s="341">
        <f>D61-D73</f>
        <v>0</v>
      </c>
      <c r="E74" s="354" t="s">
        <v>94</v>
      </c>
      <c r="G74" s="697">
        <f>E60</f>
        <v>15046</v>
      </c>
      <c r="H74" s="659" t="str">
        <f>CONCATENATE("",E1," Non-AV Receipts (est.)")</f>
        <v>2014 Non-AV Receipts (est.)</v>
      </c>
      <c r="I74" s="698"/>
      <c r="J74" s="695"/>
    </row>
    <row r="75" spans="2:11">
      <c r="B75" s="119" t="str">
        <f>CONCATENATE("",E1-2,"/",E1-1," Budget Authority Amount:")</f>
        <v>2012/2013 Budget Authority Amount:</v>
      </c>
      <c r="C75" s="280">
        <f>inputOth!B63</f>
        <v>127918</v>
      </c>
      <c r="D75" s="280">
        <f>inputPrYr!D19</f>
        <v>129200</v>
      </c>
      <c r="E75" s="354" t="s">
        <v>94</v>
      </c>
      <c r="F75" s="356"/>
      <c r="G75" s="699">
        <f>IF(D79&gt;0,E78,E80)</f>
        <v>143477</v>
      </c>
      <c r="H75" s="659" t="str">
        <f>CONCATENATE("",E1," Ad Valorem Tax (est.)")</f>
        <v>2014 Ad Valorem Tax (est.)</v>
      </c>
      <c r="I75" s="698"/>
      <c r="J75" s="695"/>
      <c r="K75" s="677" t="str">
        <f>IF(G75=E80,"","Note: Does not include Delinquent Taxes")</f>
        <v>Note: Does not include Delinquent Taxes</v>
      </c>
    </row>
    <row r="76" spans="2:11">
      <c r="B76" s="119"/>
      <c r="C76" s="886" t="s">
        <v>778</v>
      </c>
      <c r="D76" s="887"/>
      <c r="E76" s="137"/>
      <c r="F76" s="785" t="str">
        <f>IF(E73/0.95-E73&lt;E76,"Exceeds 5%","")</f>
        <v/>
      </c>
      <c r="G76" s="700">
        <f>SUM(G73:G75)</f>
        <v>158523</v>
      </c>
      <c r="H76" s="659" t="str">
        <f>CONCATENATE("Total ",E1," Resources Available")</f>
        <v>Total 2014 Resources Available</v>
      </c>
      <c r="I76" s="695"/>
      <c r="J76" s="695"/>
    </row>
    <row r="77" spans="2:11">
      <c r="B77" s="603" t="str">
        <f>CONCATENATE(C93,"     ",D93)</f>
        <v xml:space="preserve">     </v>
      </c>
      <c r="C77" s="888" t="s">
        <v>779</v>
      </c>
      <c r="D77" s="889"/>
      <c r="E77" s="327">
        <f>E73+E76</f>
        <v>158523</v>
      </c>
      <c r="G77" s="701"/>
      <c r="H77" s="702"/>
      <c r="I77" s="658"/>
      <c r="J77" s="695"/>
    </row>
    <row r="78" spans="2:11">
      <c r="B78" s="603" t="str">
        <f>CONCATENATE(C94,"     ",D94)</f>
        <v xml:space="preserve">     </v>
      </c>
      <c r="C78" s="342"/>
      <c r="D78" s="118" t="s">
        <v>122</v>
      </c>
      <c r="E78" s="151">
        <f>IF(E77-E61&gt;0,E77-E61,0)</f>
        <v>143477</v>
      </c>
      <c r="G78" s="703">
        <f>ROUND(C73*0.05+C73,0)</f>
        <v>132474</v>
      </c>
      <c r="H78" s="702" t="str">
        <f>CONCATENATE("Less ",E1-2," Expenditures + 5%")</f>
        <v>Less 2012 Expenditures + 5%</v>
      </c>
      <c r="I78" s="695"/>
      <c r="J78" s="695"/>
    </row>
    <row r="79" spans="2:11">
      <c r="B79" s="118"/>
      <c r="C79" s="599" t="s">
        <v>780</v>
      </c>
      <c r="D79" s="678">
        <f>inputOth!E48</f>
        <v>2.5000000000000001E-2</v>
      </c>
      <c r="E79" s="327">
        <f>ROUND(IF(D79&gt;0,(E78*D79),0),0)</f>
        <v>3587</v>
      </c>
      <c r="G79" s="704">
        <f>G76-G78</f>
        <v>26049</v>
      </c>
      <c r="H79" s="705" t="str">
        <f>CONCATENATE("Projected ",E1+1," carryover (est.)")</f>
        <v>Projected 2015 carryover (est.)</v>
      </c>
      <c r="I79" s="706"/>
      <c r="J79" s="707"/>
    </row>
    <row r="80" spans="2:11" ht="16.5" thickBot="1">
      <c r="B80" s="85"/>
      <c r="C80" s="884" t="str">
        <f>CONCATENATE("Amount of  ",$E$1-1," Ad Valorem Tax")</f>
        <v>Amount of  2013 Ad Valorem Tax</v>
      </c>
      <c r="D80" s="885"/>
      <c r="E80" s="681">
        <f>E78+E79</f>
        <v>147064</v>
      </c>
      <c r="F80" s="776" t="str">
        <f>IF('Library Grant'!F33="","",IF('Library Grant'!F33="Qualify","Qualifies for State Library Grant","See 'Library Grant' tab"))</f>
        <v>Qualifies for State Library Grant</v>
      </c>
      <c r="G80" s="3"/>
      <c r="H80" s="3"/>
      <c r="I80" s="3"/>
    </row>
    <row r="81" spans="2:10" ht="16.5" thickTop="1">
      <c r="B81" s="85"/>
      <c r="C81" s="620"/>
      <c r="D81" s="85"/>
      <c r="E81" s="85"/>
      <c r="G81" s="881" t="s">
        <v>853</v>
      </c>
      <c r="H81" s="882"/>
      <c r="I81" s="882"/>
      <c r="J81" s="883"/>
    </row>
    <row r="82" spans="2:10">
      <c r="B82" s="119" t="s">
        <v>124</v>
      </c>
      <c r="C82" s="120">
        <v>9</v>
      </c>
      <c r="D82" s="85"/>
      <c r="E82" s="85"/>
      <c r="G82" s="682"/>
      <c r="H82" s="683"/>
      <c r="I82" s="684"/>
      <c r="J82" s="685"/>
    </row>
    <row r="83" spans="2:10">
      <c r="G83" s="686">
        <f>summ!H17</f>
        <v>6.7350000000000003</v>
      </c>
      <c r="H83" s="683" t="str">
        <f>CONCATENATE("",E1," Fund Mill Rate")</f>
        <v>2014 Fund Mill Rate</v>
      </c>
      <c r="I83" s="684"/>
      <c r="J83" s="685"/>
    </row>
    <row r="84" spans="2:10">
      <c r="G84" s="688">
        <f>summ!E17</f>
        <v>5.601</v>
      </c>
      <c r="H84" s="683" t="str">
        <f>CONCATENATE("",E1-1," Fund Mill Rate")</f>
        <v>2013 Fund Mill Rate</v>
      </c>
      <c r="I84" s="684"/>
      <c r="J84" s="685"/>
    </row>
    <row r="85" spans="2:10">
      <c r="G85" s="689">
        <f>summ!H48</f>
        <v>45.787999999999997</v>
      </c>
      <c r="H85" s="683" t="str">
        <f>CONCATENATE("Total ",E1," Mill Rate")</f>
        <v>Total 2014 Mill Rate</v>
      </c>
      <c r="I85" s="684"/>
      <c r="J85" s="685"/>
    </row>
    <row r="86" spans="2:10">
      <c r="G86" s="688">
        <f>summ!E48</f>
        <v>47.76</v>
      </c>
      <c r="H86" s="690" t="str">
        <f>CONCATENATE("Total ",E1-1," Mill Rate")</f>
        <v>Total 2013 Mill Rate</v>
      </c>
      <c r="I86" s="691"/>
      <c r="J86" s="692"/>
    </row>
    <row r="88" spans="2:10">
      <c r="G88" s="805" t="s">
        <v>1031</v>
      </c>
      <c r="H88" s="804"/>
      <c r="I88" s="803" t="str">
        <f>cert!F54</f>
        <v>Yes</v>
      </c>
    </row>
    <row r="91" spans="2:10" hidden="1">
      <c r="C91" s="121" t="str">
        <f>IF(C33&gt;C35,"See Tab A","")</f>
        <v/>
      </c>
      <c r="D91" s="121" t="str">
        <f>IF(D33&gt;D35,"See Tab C","")</f>
        <v/>
      </c>
    </row>
    <row r="92" spans="2:10" hidden="1">
      <c r="C92" s="121" t="str">
        <f>IF(C34&lt;0,"See Tab B","")</f>
        <v/>
      </c>
      <c r="D92" s="121" t="str">
        <f>IF(D34&lt;0,"See Tab D","")</f>
        <v/>
      </c>
    </row>
    <row r="93" spans="2:10" hidden="1">
      <c r="C93" s="121" t="str">
        <f>IF(C73&gt;C75,"See Tab A","")</f>
        <v/>
      </c>
      <c r="D93" s="121" t="str">
        <f>IF(D73&gt;D75,"See Tab C","")</f>
        <v/>
      </c>
    </row>
    <row r="94" spans="2:10" hidden="1">
      <c r="C94" s="121" t="str">
        <f>IF(C74&lt;0,"See Tab B","")</f>
        <v/>
      </c>
      <c r="D94" s="121" t="str">
        <f>IF(D74&lt;0,"See Tab D","")</f>
        <v/>
      </c>
    </row>
  </sheetData>
  <sheetProtection sheet="1"/>
  <mergeCells count="12">
    <mergeCell ref="G81:J81"/>
    <mergeCell ref="G24:J24"/>
    <mergeCell ref="G31:J31"/>
    <mergeCell ref="C36:D36"/>
    <mergeCell ref="C37:D37"/>
    <mergeCell ref="C40:D40"/>
    <mergeCell ref="G41:J41"/>
    <mergeCell ref="G64:J64"/>
    <mergeCell ref="G71:J71"/>
    <mergeCell ref="C76:D76"/>
    <mergeCell ref="C77:D77"/>
    <mergeCell ref="C80:D80"/>
  </mergeCells>
  <phoneticPr fontId="9" type="noConversion"/>
  <conditionalFormatting sqref="E31">
    <cfRule type="cellIs" dxfId="272" priority="22" stopIfTrue="1" operator="greaterThan">
      <formula>$E$33*0.1</formula>
    </cfRule>
  </conditionalFormatting>
  <conditionalFormatting sqref="E36">
    <cfRule type="cellIs" dxfId="271" priority="21" stopIfTrue="1" operator="greaterThan">
      <formula>$E$33/0.95-$E$33</formula>
    </cfRule>
  </conditionalFormatting>
  <conditionalFormatting sqref="D18">
    <cfRule type="cellIs" dxfId="270" priority="20" stopIfTrue="1" operator="greaterThan">
      <formula>$D$20*0.1</formula>
    </cfRule>
  </conditionalFormatting>
  <conditionalFormatting sqref="C18">
    <cfRule type="cellIs" dxfId="269" priority="19" stopIfTrue="1" operator="greaterThan">
      <formula>$C$20*0.1</formula>
    </cfRule>
  </conditionalFormatting>
  <conditionalFormatting sqref="D31">
    <cfRule type="cellIs" dxfId="268" priority="18" stopIfTrue="1" operator="greaterThan">
      <formula>$D$33*0.1</formula>
    </cfRule>
  </conditionalFormatting>
  <conditionalFormatting sqref="D33">
    <cfRule type="cellIs" dxfId="267" priority="17" stopIfTrue="1" operator="greaterThan">
      <formula>$D$35</formula>
    </cfRule>
  </conditionalFormatting>
  <conditionalFormatting sqref="C31">
    <cfRule type="cellIs" dxfId="266" priority="16" stopIfTrue="1" operator="greaterThan">
      <formula>$C$33*0.1</formula>
    </cfRule>
  </conditionalFormatting>
  <conditionalFormatting sqref="C33">
    <cfRule type="cellIs" dxfId="265" priority="15" stopIfTrue="1" operator="greaterThan">
      <formula>$C$35</formula>
    </cfRule>
  </conditionalFormatting>
  <conditionalFormatting sqref="C34 C74">
    <cfRule type="cellIs" dxfId="264" priority="14" stopIfTrue="1" operator="lessThan">
      <formula>0</formula>
    </cfRule>
  </conditionalFormatting>
  <conditionalFormatting sqref="D34 D74">
    <cfRule type="cellIs" dxfId="263" priority="13" stopIfTrue="1" operator="lessThan">
      <formula>0</formula>
    </cfRule>
  </conditionalFormatting>
  <conditionalFormatting sqref="E18">
    <cfRule type="cellIs" dxfId="262" priority="12" stopIfTrue="1" operator="greaterThan">
      <formula>$E$20*0.1+$E$40</formula>
    </cfRule>
  </conditionalFormatting>
  <conditionalFormatting sqref="E71">
    <cfRule type="cellIs" dxfId="261" priority="11" stopIfTrue="1" operator="greaterThan">
      <formula>$E$73*0.1</formula>
    </cfRule>
  </conditionalFormatting>
  <conditionalFormatting sqref="E76">
    <cfRule type="cellIs" dxfId="260" priority="10" stopIfTrue="1" operator="greaterThan">
      <formula>$E$73/0.95-$E$73</formula>
    </cfRule>
  </conditionalFormatting>
  <conditionalFormatting sqref="D71">
    <cfRule type="cellIs" dxfId="259" priority="9" stopIfTrue="1" operator="greaterThan">
      <formula>$D$73*0.1</formula>
    </cfRule>
  </conditionalFormatting>
  <conditionalFormatting sqref="C71">
    <cfRule type="cellIs" dxfId="258" priority="8" stopIfTrue="1" operator="greaterThan">
      <formula>$C$73*0.1</formula>
    </cfRule>
  </conditionalFormatting>
  <conditionalFormatting sqref="D73">
    <cfRule type="cellIs" dxfId="257" priority="7" stopIfTrue="1" operator="greaterThan">
      <formula>$D$75</formula>
    </cfRule>
  </conditionalFormatting>
  <conditionalFormatting sqref="C73">
    <cfRule type="cellIs" dxfId="256" priority="6" stopIfTrue="1" operator="greaterThan">
      <formula>$C$75</formula>
    </cfRule>
  </conditionalFormatting>
  <conditionalFormatting sqref="D58">
    <cfRule type="cellIs" dxfId="255" priority="4" stopIfTrue="1" operator="greaterThan">
      <formula>$D$60*0.1</formula>
    </cfRule>
  </conditionalFormatting>
  <conditionalFormatting sqref="C58">
    <cfRule type="cellIs" dxfId="254" priority="3" stopIfTrue="1" operator="greaterThan">
      <formula>$C$60*0.1</formula>
    </cfRule>
  </conditionalFormatting>
  <conditionalFormatting sqref="E58">
    <cfRule type="cellIs" dxfId="253" priority="2" stopIfTrue="1" operator="greaterThan">
      <formula>$E$60*0.1+$E$80</formula>
    </cfRule>
  </conditionalFormatting>
  <pageMargins left="0.75" right="0.75" top="1" bottom="1" header="0.5" footer="0.5"/>
  <pageSetup scale="50"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14"/>
  <sheetViews>
    <sheetView topLeftCell="A58" zoomScaleNormal="100" workbookViewId="0">
      <selection activeCell="E68" sqref="E68"/>
    </sheetView>
  </sheetViews>
  <sheetFormatPr defaultColWidth="8.88671875" defaultRowHeight="15.75"/>
  <cols>
    <col min="1" max="1" width="2.44140625" style="121" customWidth="1"/>
    <col min="2" max="2" width="31.109375" style="121" customWidth="1"/>
    <col min="3" max="4" width="15.77734375" style="121" customWidth="1"/>
    <col min="5" max="5" width="16.21875" style="121" customWidth="1"/>
    <col min="6" max="6" width="8.109375" style="121" customWidth="1"/>
    <col min="7" max="7" width="10.21875" style="121" customWidth="1"/>
    <col min="8" max="8" width="8.88671875" style="121"/>
    <col min="9" max="9" width="5" style="121" customWidth="1"/>
    <col min="10" max="10" width="10" style="121" customWidth="1"/>
    <col min="11" max="16384" width="8.88671875" style="121"/>
  </cols>
  <sheetData>
    <row r="1" spans="2:5">
      <c r="B1" s="105" t="str">
        <f>(inputPrYr!D2)</f>
        <v>City of Hiawatha</v>
      </c>
      <c r="C1" s="85"/>
      <c r="D1" s="85"/>
      <c r="E1" s="343">
        <f>inputPrYr!C5</f>
        <v>2014</v>
      </c>
    </row>
    <row r="2" spans="2:5">
      <c r="B2" s="85"/>
      <c r="C2" s="85"/>
      <c r="D2" s="85"/>
      <c r="E2" s="118"/>
    </row>
    <row r="3" spans="2:5">
      <c r="B3" s="318" t="s">
        <v>173</v>
      </c>
      <c r="C3" s="107"/>
      <c r="D3" s="107"/>
      <c r="E3" s="352"/>
    </row>
    <row r="4" spans="2:5">
      <c r="B4" s="103" t="s">
        <v>105</v>
      </c>
      <c r="C4" s="321" t="s">
        <v>848</v>
      </c>
      <c r="D4" s="322" t="s">
        <v>849</v>
      </c>
      <c r="E4" s="96" t="s">
        <v>850</v>
      </c>
    </row>
    <row r="5" spans="2:5">
      <c r="B5" s="560" t="str">
        <f>inputPrYr!B21</f>
        <v>Industrial</v>
      </c>
      <c r="C5" s="323" t="str">
        <f>CONCATENATE("Actual for ",E1-2,"")</f>
        <v>Actual for 2012</v>
      </c>
      <c r="D5" s="323" t="str">
        <f>CONCATENATE("Estimate for ",E1-1,"")</f>
        <v>Estimate for 2013</v>
      </c>
      <c r="E5" s="324" t="str">
        <f>CONCATENATE("Year for ",E1,"")</f>
        <v>Year for 2014</v>
      </c>
    </row>
    <row r="6" spans="2:5">
      <c r="B6" s="274" t="s">
        <v>228</v>
      </c>
      <c r="C6" s="325">
        <v>165884</v>
      </c>
      <c r="D6" s="326">
        <f>C34</f>
        <v>137700</v>
      </c>
      <c r="E6" s="327">
        <f>D34</f>
        <v>99290</v>
      </c>
    </row>
    <row r="7" spans="2:5">
      <c r="B7" s="346" t="s">
        <v>230</v>
      </c>
      <c r="C7" s="217"/>
      <c r="D7" s="217"/>
      <c r="E7" s="100"/>
    </row>
    <row r="8" spans="2:5">
      <c r="B8" s="177" t="s">
        <v>106</v>
      </c>
      <c r="C8" s="325">
        <v>14251</v>
      </c>
      <c r="D8" s="326">
        <f>IF(inputPrYr!H16&gt;0,inputPrYr!G21,inputPrYr!E21)</f>
        <v>0</v>
      </c>
      <c r="E8" s="354" t="s">
        <v>94</v>
      </c>
    </row>
    <row r="9" spans="2:5">
      <c r="B9" s="177" t="s">
        <v>107</v>
      </c>
      <c r="C9" s="325">
        <v>5</v>
      </c>
      <c r="D9" s="325">
        <v>0</v>
      </c>
      <c r="E9" s="137"/>
    </row>
    <row r="10" spans="2:5">
      <c r="B10" s="177" t="s">
        <v>108</v>
      </c>
      <c r="C10" s="325">
        <v>240</v>
      </c>
      <c r="D10" s="325">
        <v>1900</v>
      </c>
      <c r="E10" s="327" t="str">
        <f>mvalloc!D10</f>
        <v xml:space="preserve">  </v>
      </c>
    </row>
    <row r="11" spans="2:5">
      <c r="B11" s="177" t="s">
        <v>109</v>
      </c>
      <c r="C11" s="325">
        <v>3</v>
      </c>
      <c r="D11" s="325">
        <v>20</v>
      </c>
      <c r="E11" s="327" t="str">
        <f>mvalloc!E10</f>
        <v xml:space="preserve"> </v>
      </c>
    </row>
    <row r="12" spans="2:5">
      <c r="B12" s="217" t="s">
        <v>205</v>
      </c>
      <c r="C12" s="325"/>
      <c r="D12" s="325">
        <v>30</v>
      </c>
      <c r="E12" s="327" t="str">
        <f>mvalloc!F10</f>
        <v xml:space="preserve"> </v>
      </c>
    </row>
    <row r="13" spans="2:5">
      <c r="B13" s="329" t="s">
        <v>1111</v>
      </c>
      <c r="C13" s="325">
        <v>159408</v>
      </c>
      <c r="D13" s="325">
        <v>164000</v>
      </c>
      <c r="E13" s="137">
        <v>164000</v>
      </c>
    </row>
    <row r="14" spans="2:5">
      <c r="B14" s="329" t="s">
        <v>1106</v>
      </c>
      <c r="C14" s="325">
        <v>289</v>
      </c>
      <c r="D14" s="325"/>
      <c r="E14" s="137"/>
    </row>
    <row r="15" spans="2:5">
      <c r="B15" s="329"/>
      <c r="C15" s="325"/>
      <c r="D15" s="325"/>
      <c r="E15" s="137"/>
    </row>
    <row r="16" spans="2:5">
      <c r="B16" s="329"/>
      <c r="C16" s="325"/>
      <c r="D16" s="325"/>
      <c r="E16" s="137"/>
    </row>
    <row r="17" spans="2:10">
      <c r="B17" s="347" t="s">
        <v>113</v>
      </c>
      <c r="C17" s="325">
        <v>2</v>
      </c>
      <c r="D17" s="325"/>
      <c r="E17" s="137"/>
    </row>
    <row r="18" spans="2:10">
      <c r="B18" s="217" t="s">
        <v>14</v>
      </c>
      <c r="C18" s="325">
        <v>812</v>
      </c>
      <c r="D18" s="325"/>
      <c r="E18" s="137"/>
    </row>
    <row r="19" spans="2:10">
      <c r="B19" s="274" t="s">
        <v>774</v>
      </c>
      <c r="C19" s="333" t="str">
        <f>IF(C20*0.1&lt;C18,"Exceed 10% Rule","")</f>
        <v/>
      </c>
      <c r="D19" s="333" t="str">
        <f>IF(D20*0.1&lt;D18,"Exceed 10% Rule","")</f>
        <v/>
      </c>
      <c r="E19" s="340" t="str">
        <f>IF(E20*0.1+E40&lt;E18,"Exceed 10% Rule","")</f>
        <v/>
      </c>
    </row>
    <row r="20" spans="2:10">
      <c r="B20" s="335" t="s">
        <v>114</v>
      </c>
      <c r="C20" s="337">
        <f>SUM(C8:C18)</f>
        <v>175010</v>
      </c>
      <c r="D20" s="337">
        <f>SUM(D8:D18)</f>
        <v>165950</v>
      </c>
      <c r="E20" s="338">
        <f>SUM(E8:E18)</f>
        <v>164000</v>
      </c>
    </row>
    <row r="21" spans="2:10">
      <c r="B21" s="335" t="s">
        <v>115</v>
      </c>
      <c r="C21" s="341">
        <f>C6+C20</f>
        <v>340894</v>
      </c>
      <c r="D21" s="341">
        <f>D6+D20</f>
        <v>303650</v>
      </c>
      <c r="E21" s="151">
        <f>E6+E20</f>
        <v>263290</v>
      </c>
    </row>
    <row r="22" spans="2:10">
      <c r="B22" s="177" t="s">
        <v>117</v>
      </c>
      <c r="C22" s="339"/>
      <c r="D22" s="339"/>
      <c r="E22" s="102"/>
    </row>
    <row r="23" spans="2:10">
      <c r="B23" s="329" t="s">
        <v>1112</v>
      </c>
      <c r="C23" s="325"/>
      <c r="D23" s="325"/>
      <c r="E23" s="137"/>
    </row>
    <row r="24" spans="2:10">
      <c r="B24" s="329" t="s">
        <v>1113</v>
      </c>
      <c r="C24" s="325">
        <v>3763</v>
      </c>
      <c r="D24" s="325">
        <v>3100</v>
      </c>
      <c r="E24" s="137">
        <v>3100</v>
      </c>
      <c r="G24" s="895" t="str">
        <f>CONCATENATE("Desired Carryover Into ",E1+1,"")</f>
        <v>Desired Carryover Into 2015</v>
      </c>
      <c r="H24" s="893"/>
      <c r="I24" s="893"/>
      <c r="J24" s="894"/>
    </row>
    <row r="25" spans="2:10">
      <c r="B25" s="329" t="s">
        <v>1114</v>
      </c>
      <c r="C25" s="325">
        <v>34821</v>
      </c>
      <c r="D25" s="325">
        <v>37075</v>
      </c>
      <c r="E25" s="137">
        <v>37075</v>
      </c>
      <c r="G25" s="657"/>
      <c r="H25" s="658"/>
      <c r="I25" s="659"/>
      <c r="J25" s="660"/>
    </row>
    <row r="26" spans="2:10">
      <c r="B26" s="329" t="s">
        <v>1115</v>
      </c>
      <c r="C26" s="325">
        <v>0</v>
      </c>
      <c r="D26" s="325">
        <v>3000</v>
      </c>
      <c r="E26" s="137">
        <v>5000</v>
      </c>
      <c r="G26" s="661" t="s">
        <v>782</v>
      </c>
      <c r="H26" s="659"/>
      <c r="I26" s="659"/>
      <c r="J26" s="662">
        <v>0</v>
      </c>
    </row>
    <row r="27" spans="2:10">
      <c r="B27" s="329" t="s">
        <v>1116</v>
      </c>
      <c r="C27" s="325">
        <v>164610</v>
      </c>
      <c r="D27" s="325">
        <v>161185</v>
      </c>
      <c r="E27" s="137">
        <v>180000</v>
      </c>
      <c r="G27" s="657" t="s">
        <v>783</v>
      </c>
      <c r="H27" s="658"/>
      <c r="I27" s="658"/>
      <c r="J27" s="693" t="str">
        <f>IF(J26=0,"",ROUND((J26+E40-G39)/summ!F53*1000,3)-G44)</f>
        <v/>
      </c>
    </row>
    <row r="28" spans="2:10">
      <c r="B28" s="329"/>
      <c r="C28" s="325"/>
      <c r="D28" s="325"/>
      <c r="E28" s="137"/>
      <c r="G28" s="664" t="str">
        <f>CONCATENATE("",E1," Tot Exp/Non-Appr Must Be:")</f>
        <v>2014 Tot Exp/Non-Appr Must Be:</v>
      </c>
      <c r="H28" s="665"/>
      <c r="I28" s="666"/>
      <c r="J28" s="667">
        <f>IF(J26&gt;0,IF(E37&lt;E21,IF(J26=G39,E37,((J26-G39)*(1-D39))+E21),E37+(J26-G39)),0)</f>
        <v>0</v>
      </c>
    </row>
    <row r="29" spans="2:10">
      <c r="B29" s="329"/>
      <c r="C29" s="325"/>
      <c r="D29" s="325"/>
      <c r="E29" s="137"/>
      <c r="G29" s="668" t="s">
        <v>851</v>
      </c>
      <c r="H29" s="669"/>
      <c r="I29" s="669"/>
      <c r="J29" s="670">
        <f>IF(J26&gt;0,J28-E37,0)</f>
        <v>0</v>
      </c>
    </row>
    <row r="30" spans="2:10">
      <c r="B30" s="339" t="s">
        <v>13</v>
      </c>
      <c r="C30" s="325"/>
      <c r="D30" s="325"/>
      <c r="E30" s="151" t="str">
        <f>nhood!E9</f>
        <v/>
      </c>
      <c r="J30" s="3"/>
    </row>
    <row r="31" spans="2:10">
      <c r="B31" s="339" t="s">
        <v>14</v>
      </c>
      <c r="C31" s="325"/>
      <c r="D31" s="325"/>
      <c r="E31" s="137"/>
      <c r="G31" s="895" t="str">
        <f>CONCATENATE("Projected Carryover Into ",E1+1,"")</f>
        <v>Projected Carryover Into 2015</v>
      </c>
      <c r="H31" s="897"/>
      <c r="I31" s="897"/>
      <c r="J31" s="899"/>
    </row>
    <row r="32" spans="2:10">
      <c r="B32" s="339" t="s">
        <v>773</v>
      </c>
      <c r="C32" s="333" t="str">
        <f>IF(C33*0.1&lt;C31,"Exceed 10% Rule","")</f>
        <v/>
      </c>
      <c r="D32" s="333" t="str">
        <f>IF(D33*0.1&lt;D31,"Exceed 10% Rule","")</f>
        <v/>
      </c>
      <c r="E32" s="340" t="str">
        <f>IF(E33*0.1&lt;E31,"Exceed 10% Rule","")</f>
        <v/>
      </c>
      <c r="G32" s="657"/>
      <c r="H32" s="659"/>
      <c r="I32" s="659"/>
      <c r="J32" s="770"/>
    </row>
    <row r="33" spans="2:11">
      <c r="B33" s="335" t="s">
        <v>121</v>
      </c>
      <c r="C33" s="337">
        <f>SUM(C23:C31)</f>
        <v>203194</v>
      </c>
      <c r="D33" s="337">
        <f>SUM(D23:D31)</f>
        <v>204360</v>
      </c>
      <c r="E33" s="338">
        <f>SUM(E23:E31)</f>
        <v>225175</v>
      </c>
      <c r="G33" s="697">
        <f>D34</f>
        <v>99290</v>
      </c>
      <c r="H33" s="683" t="str">
        <f>CONCATENATE("",E1-1," Ending Cash Balance (est.)")</f>
        <v>2013 Ending Cash Balance (est.)</v>
      </c>
      <c r="I33" s="698"/>
      <c r="J33" s="770"/>
    </row>
    <row r="34" spans="2:11">
      <c r="B34" s="177" t="s">
        <v>229</v>
      </c>
      <c r="C34" s="341">
        <f>C21-C33</f>
        <v>137700</v>
      </c>
      <c r="D34" s="341">
        <f>D21-D33</f>
        <v>99290</v>
      </c>
      <c r="E34" s="354" t="s">
        <v>94</v>
      </c>
      <c r="G34" s="697">
        <f>E20</f>
        <v>164000</v>
      </c>
      <c r="H34" s="659" t="str">
        <f>CONCATENATE("",E1," Non-AV Receipts (est.)")</f>
        <v>2014 Non-AV Receipts (est.)</v>
      </c>
      <c r="I34" s="698"/>
      <c r="J34" s="770"/>
    </row>
    <row r="35" spans="2:11">
      <c r="B35" s="119" t="str">
        <f>CONCATENATE("",E1-2,"/",E1-1," Budget Authority Amount:")</f>
        <v>2012/2013 Budget Authority Amount:</v>
      </c>
      <c r="C35" s="280">
        <f>inputOth!B64</f>
        <v>205285</v>
      </c>
      <c r="D35" s="280">
        <f>inputPrYr!D21</f>
        <v>204360</v>
      </c>
      <c r="E35" s="354" t="s">
        <v>94</v>
      </c>
      <c r="F35" s="356"/>
      <c r="G35" s="699">
        <f>IF(E39&gt;0,E38,E40)</f>
        <v>0</v>
      </c>
      <c r="H35" s="659" t="str">
        <f>CONCATENATE("",E1," Ad Valorem Tax (est.)")</f>
        <v>2014 Ad Valorem Tax (est.)</v>
      </c>
      <c r="I35" s="698"/>
      <c r="J35" s="771"/>
      <c r="K35" s="768" t="str">
        <f>IF(G35=E40,"","Note: Does not include Delinquent Taxes")</f>
        <v/>
      </c>
    </row>
    <row r="36" spans="2:11">
      <c r="B36" s="119"/>
      <c r="C36" s="886" t="s">
        <v>778</v>
      </c>
      <c r="D36" s="887"/>
      <c r="E36" s="137"/>
      <c r="F36" s="785" t="str">
        <f>IF(E33/0.95-E33&lt;E36,"Exceeds 5%","")</f>
        <v/>
      </c>
      <c r="G36" s="697">
        <f>SUM(G33:G35)</f>
        <v>263290</v>
      </c>
      <c r="H36" s="659" t="str">
        <f>CONCATENATE("Total ",E1," Resources Available")</f>
        <v>Total 2014 Resources Available</v>
      </c>
      <c r="I36" s="698"/>
      <c r="J36" s="770"/>
    </row>
    <row r="37" spans="2:11">
      <c r="B37" s="603" t="str">
        <f>CONCATENATE(C111,"     ",D111)</f>
        <v xml:space="preserve">     </v>
      </c>
      <c r="C37" s="888" t="s">
        <v>779</v>
      </c>
      <c r="D37" s="889"/>
      <c r="E37" s="327">
        <f>E33+E36</f>
        <v>225175</v>
      </c>
      <c r="G37" s="772"/>
      <c r="H37" s="659"/>
      <c r="I37" s="659"/>
      <c r="J37" s="770"/>
    </row>
    <row r="38" spans="2:11">
      <c r="B38" s="603" t="str">
        <f>CONCATENATE(C112,"      ",D112)</f>
        <v xml:space="preserve">      </v>
      </c>
      <c r="C38" s="342"/>
      <c r="D38" s="118" t="s">
        <v>122</v>
      </c>
      <c r="E38" s="151">
        <f>IF(E37-E21&gt;0,E37-E21,0)</f>
        <v>0</v>
      </c>
      <c r="G38" s="699">
        <f>ROUND(C33*0.05+C33,0)</f>
        <v>213354</v>
      </c>
      <c r="H38" s="659" t="str">
        <f>CONCATENATE("Less ",E1-2," Expenditures + 5%")</f>
        <v>Less 2012 Expenditures + 5%</v>
      </c>
      <c r="I38" s="698"/>
      <c r="J38" s="770"/>
    </row>
    <row r="39" spans="2:11">
      <c r="B39" s="118"/>
      <c r="C39" s="599" t="s">
        <v>780</v>
      </c>
      <c r="D39" s="678">
        <f>inputOth!$E$48</f>
        <v>2.5000000000000001E-2</v>
      </c>
      <c r="E39" s="327">
        <f>ROUND(IF(D39&gt;0,(E38*D39),0),0)</f>
        <v>0</v>
      </c>
      <c r="G39" s="773">
        <f>G36-G38</f>
        <v>49936</v>
      </c>
      <c r="H39" s="774" t="str">
        <f>CONCATENATE("Projected ",E1+1," carryover (est.)")</f>
        <v>Projected 2015 carryover (est.)</v>
      </c>
      <c r="I39" s="775"/>
      <c r="J39" s="707"/>
    </row>
    <row r="40" spans="2:11" ht="16.5" thickBot="1">
      <c r="B40" s="118"/>
      <c r="C40" s="884" t="str">
        <f>CONCATENATE("Amount of  ",$E$1-1," Ad Valorem Tax")</f>
        <v>Amount of  2013 Ad Valorem Tax</v>
      </c>
      <c r="D40" s="885"/>
      <c r="E40" s="681">
        <f>E38+E39</f>
        <v>0</v>
      </c>
      <c r="G40" s="3"/>
      <c r="H40" s="3"/>
      <c r="I40" s="3"/>
      <c r="J40" s="3"/>
    </row>
    <row r="41" spans="2:11" ht="16.5" thickTop="1">
      <c r="B41" s="85"/>
      <c r="C41" s="884"/>
      <c r="D41" s="900"/>
      <c r="E41" s="108"/>
      <c r="G41" s="881" t="s">
        <v>853</v>
      </c>
      <c r="H41" s="882"/>
      <c r="I41" s="882"/>
      <c r="J41" s="883"/>
    </row>
    <row r="42" spans="2:11">
      <c r="B42" s="103"/>
      <c r="C42" s="90"/>
      <c r="D42" s="90"/>
      <c r="E42" s="90"/>
      <c r="G42" s="682"/>
      <c r="H42" s="683"/>
      <c r="I42" s="684"/>
      <c r="J42" s="685"/>
    </row>
    <row r="43" spans="2:11">
      <c r="B43" s="103" t="s">
        <v>105</v>
      </c>
      <c r="C43" s="321" t="s">
        <v>848</v>
      </c>
      <c r="D43" s="322" t="s">
        <v>854</v>
      </c>
      <c r="E43" s="96" t="s">
        <v>850</v>
      </c>
      <c r="G43" s="686" t="str">
        <f>summ!H18</f>
        <v xml:space="preserve">  </v>
      </c>
      <c r="H43" s="683" t="str">
        <f>CONCATENATE("",E1," Fund Mill Rate")</f>
        <v>2014 Fund Mill Rate</v>
      </c>
      <c r="I43" s="684"/>
      <c r="J43" s="685"/>
    </row>
    <row r="44" spans="2:11">
      <c r="B44" s="560" t="str">
        <f>(inputPrYr!B22)</f>
        <v>Recreation</v>
      </c>
      <c r="C44" s="323" t="str">
        <f>C5</f>
        <v>Actual for 2012</v>
      </c>
      <c r="D44" s="323" t="str">
        <f>D5</f>
        <v>Estimate for 2013</v>
      </c>
      <c r="E44" s="324" t="str">
        <f>E5</f>
        <v>Year for 2014</v>
      </c>
      <c r="G44" s="688" t="str">
        <f>summ!E18</f>
        <v xml:space="preserve">  </v>
      </c>
      <c r="H44" s="683" t="str">
        <f>CONCATENATE("",E1-1," Fund Mill Rate")</f>
        <v>2013 Fund Mill Rate</v>
      </c>
      <c r="I44" s="684"/>
      <c r="J44" s="685"/>
    </row>
    <row r="45" spans="2:11">
      <c r="B45" s="274" t="s">
        <v>228</v>
      </c>
      <c r="C45" s="325">
        <v>19394</v>
      </c>
      <c r="D45" s="326">
        <f>C74</f>
        <v>39213</v>
      </c>
      <c r="E45" s="327">
        <f>D74</f>
        <v>48180</v>
      </c>
      <c r="G45" s="689">
        <f>summ!H48</f>
        <v>45.787999999999997</v>
      </c>
      <c r="H45" s="683" t="str">
        <f>CONCATENATE("Total ",E1," Mill Rate")</f>
        <v>Total 2014 Mill Rate</v>
      </c>
      <c r="I45" s="684"/>
      <c r="J45" s="685"/>
    </row>
    <row r="46" spans="2:11">
      <c r="B46" s="346" t="s">
        <v>230</v>
      </c>
      <c r="C46" s="217"/>
      <c r="D46" s="217"/>
      <c r="E46" s="100"/>
      <c r="G46" s="688">
        <f>summ!E48</f>
        <v>47.76</v>
      </c>
      <c r="H46" s="690" t="str">
        <f>CONCATENATE("Total ",E1-1," Mill Rate")</f>
        <v>Total 2013 Mill Rate</v>
      </c>
      <c r="I46" s="691"/>
      <c r="J46" s="692"/>
    </row>
    <row r="47" spans="2:11">
      <c r="B47" s="177" t="s">
        <v>106</v>
      </c>
      <c r="C47" s="325">
        <v>34826</v>
      </c>
      <c r="D47" s="326">
        <f>IF(inputPrYr!H16&gt;0,inputPrYr!G22,inputPrYr!E22)</f>
        <v>33817</v>
      </c>
      <c r="E47" s="354" t="s">
        <v>94</v>
      </c>
    </row>
    <row r="48" spans="2:11">
      <c r="B48" s="177" t="s">
        <v>107</v>
      </c>
      <c r="C48" s="325">
        <v>11</v>
      </c>
      <c r="D48" s="325">
        <v>0</v>
      </c>
      <c r="E48" s="137"/>
      <c r="G48" s="808" t="s">
        <v>1031</v>
      </c>
      <c r="H48" s="807"/>
      <c r="I48" s="806" t="str">
        <f>cert!F54</f>
        <v>Yes</v>
      </c>
    </row>
    <row r="49" spans="2:10">
      <c r="B49" s="177" t="s">
        <v>108</v>
      </c>
      <c r="C49" s="325">
        <v>1928</v>
      </c>
      <c r="D49" s="325">
        <v>4700</v>
      </c>
      <c r="E49" s="327">
        <f>mvalloc!D11</f>
        <v>4306</v>
      </c>
    </row>
    <row r="50" spans="2:10">
      <c r="B50" s="177" t="s">
        <v>109</v>
      </c>
      <c r="C50" s="325">
        <v>26</v>
      </c>
      <c r="D50" s="325">
        <v>50</v>
      </c>
      <c r="E50" s="327">
        <f>mvalloc!E11</f>
        <v>59</v>
      </c>
    </row>
    <row r="51" spans="2:10">
      <c r="B51" s="217" t="s">
        <v>205</v>
      </c>
      <c r="C51" s="325"/>
      <c r="D51" s="325">
        <v>100</v>
      </c>
      <c r="E51" s="327">
        <f>mvalloc!F11</f>
        <v>70</v>
      </c>
    </row>
    <row r="52" spans="2:10">
      <c r="B52" s="329" t="s">
        <v>1094</v>
      </c>
      <c r="C52" s="325">
        <v>10942</v>
      </c>
      <c r="D52" s="325">
        <v>10900</v>
      </c>
      <c r="E52" s="137">
        <v>11000</v>
      </c>
    </row>
    <row r="53" spans="2:10">
      <c r="B53" s="329" t="s">
        <v>1117</v>
      </c>
      <c r="C53" s="325">
        <v>4437</v>
      </c>
      <c r="D53" s="325">
        <v>0</v>
      </c>
      <c r="E53" s="137">
        <v>0</v>
      </c>
    </row>
    <row r="54" spans="2:10">
      <c r="B54" s="329" t="s">
        <v>1106</v>
      </c>
      <c r="C54" s="325">
        <v>664</v>
      </c>
      <c r="D54" s="325">
        <v>600</v>
      </c>
      <c r="E54" s="137">
        <v>600</v>
      </c>
    </row>
    <row r="55" spans="2:10">
      <c r="B55" s="329"/>
      <c r="C55" s="325"/>
      <c r="D55" s="325"/>
      <c r="E55" s="137"/>
    </row>
    <row r="56" spans="2:10">
      <c r="B56" s="329"/>
      <c r="C56" s="325"/>
      <c r="D56" s="325"/>
      <c r="E56" s="137"/>
    </row>
    <row r="57" spans="2:10">
      <c r="B57" s="347" t="s">
        <v>113</v>
      </c>
      <c r="C57" s="325"/>
      <c r="D57" s="325"/>
      <c r="E57" s="137"/>
    </row>
    <row r="58" spans="2:10">
      <c r="B58" s="217" t="s">
        <v>14</v>
      </c>
      <c r="C58" s="325">
        <v>4958</v>
      </c>
      <c r="D58" s="325">
        <v>4900</v>
      </c>
      <c r="E58" s="137">
        <v>1500</v>
      </c>
    </row>
    <row r="59" spans="2:10">
      <c r="B59" s="274" t="s">
        <v>774</v>
      </c>
      <c r="C59" s="333" t="str">
        <f>IF(C60*0.1&lt;C58,"Exceed 10% Rule","")</f>
        <v/>
      </c>
      <c r="D59" s="333" t="str">
        <f>IF(D60*0.1&lt;D58,"Exceed 10% Rule","")</f>
        <v/>
      </c>
      <c r="E59" s="340" t="str">
        <f>IF(E60*0.1+E80&lt;E58,"Exceed 10% Rule","")</f>
        <v/>
      </c>
    </row>
    <row r="60" spans="2:10">
      <c r="B60" s="335" t="s">
        <v>114</v>
      </c>
      <c r="C60" s="337">
        <f>SUM(C47:C58)</f>
        <v>57792</v>
      </c>
      <c r="D60" s="337">
        <f>SUM(D47:D58)</f>
        <v>55067</v>
      </c>
      <c r="E60" s="338">
        <f>SUM(E47:E58)</f>
        <v>17535</v>
      </c>
    </row>
    <row r="61" spans="2:10">
      <c r="B61" s="335" t="s">
        <v>115</v>
      </c>
      <c r="C61" s="337">
        <f>C45+C60</f>
        <v>77186</v>
      </c>
      <c r="D61" s="337">
        <f>D45+D60</f>
        <v>94280</v>
      </c>
      <c r="E61" s="338">
        <f>E45+E60</f>
        <v>65715</v>
      </c>
    </row>
    <row r="62" spans="2:10">
      <c r="B62" s="177" t="s">
        <v>117</v>
      </c>
      <c r="C62" s="339"/>
      <c r="D62" s="339"/>
      <c r="E62" s="102"/>
    </row>
    <row r="63" spans="2:10">
      <c r="B63" s="329" t="s">
        <v>1112</v>
      </c>
      <c r="C63" s="325">
        <v>8297</v>
      </c>
      <c r="D63" s="325">
        <v>10000</v>
      </c>
      <c r="E63" s="137">
        <v>17500</v>
      </c>
    </row>
    <row r="64" spans="2:10">
      <c r="B64" s="329" t="s">
        <v>1118</v>
      </c>
      <c r="C64" s="325">
        <v>6655</v>
      </c>
      <c r="D64" s="325">
        <v>15950</v>
      </c>
      <c r="E64" s="137">
        <v>13950</v>
      </c>
      <c r="G64" s="895" t="str">
        <f>CONCATENATE("Desired Carryover Into ",E1+1,"")</f>
        <v>Desired Carryover Into 2015</v>
      </c>
      <c r="H64" s="893"/>
      <c r="I64" s="893"/>
      <c r="J64" s="894"/>
    </row>
    <row r="65" spans="2:11">
      <c r="B65" s="329" t="s">
        <v>1119</v>
      </c>
      <c r="C65" s="325">
        <v>12021</v>
      </c>
      <c r="D65" s="325">
        <v>9150</v>
      </c>
      <c r="E65" s="137">
        <v>12000</v>
      </c>
      <c r="G65" s="657"/>
      <c r="H65" s="658"/>
      <c r="I65" s="659"/>
      <c r="J65" s="660"/>
    </row>
    <row r="66" spans="2:11">
      <c r="B66" s="329" t="s">
        <v>1115</v>
      </c>
      <c r="C66" s="325">
        <v>9394</v>
      </c>
      <c r="D66" s="325">
        <v>11000</v>
      </c>
      <c r="E66" s="137">
        <v>0</v>
      </c>
      <c r="G66" s="661" t="s">
        <v>782</v>
      </c>
      <c r="H66" s="659"/>
      <c r="I66" s="659"/>
      <c r="J66" s="662">
        <v>0</v>
      </c>
    </row>
    <row r="67" spans="2:11">
      <c r="B67" s="329" t="s">
        <v>1116</v>
      </c>
      <c r="C67" s="325">
        <v>1606</v>
      </c>
      <c r="D67" s="325"/>
      <c r="E67" s="137"/>
      <c r="G67" s="657" t="s">
        <v>783</v>
      </c>
      <c r="H67" s="658"/>
      <c r="I67" s="658"/>
      <c r="J67" s="693" t="str">
        <f>IF(J66=0,"",ROUND((J66+E80-G79)/summ!F53*1000,3)-G84)</f>
        <v/>
      </c>
    </row>
    <row r="68" spans="2:11">
      <c r="B68" s="329"/>
      <c r="C68" s="325"/>
      <c r="D68" s="325"/>
      <c r="E68" s="137"/>
      <c r="G68" s="664" t="str">
        <f>CONCATENATE("",E1," Tot Exp/Non-Appr Must Be:")</f>
        <v>2014 Tot Exp/Non-Appr Must Be:</v>
      </c>
      <c r="H68" s="665"/>
      <c r="I68" s="666"/>
      <c r="J68" s="667">
        <f>IF(J66&gt;0,IF(E77&lt;E61,IF(J66=G79,E77,((J66-G79)*(1-D79))+E61),E77+(J66-G79)),0)</f>
        <v>0</v>
      </c>
    </row>
    <row r="69" spans="2:11">
      <c r="B69" s="329"/>
      <c r="C69" s="325"/>
      <c r="D69" s="325"/>
      <c r="E69" s="137"/>
      <c r="G69" s="668" t="s">
        <v>851</v>
      </c>
      <c r="H69" s="669"/>
      <c r="I69" s="669"/>
      <c r="J69" s="670">
        <f>IF(J66&gt;0,J68-E77,0)</f>
        <v>0</v>
      </c>
    </row>
    <row r="70" spans="2:11">
      <c r="B70" s="339" t="s">
        <v>13</v>
      </c>
      <c r="C70" s="325"/>
      <c r="D70" s="325"/>
      <c r="E70" s="151" t="str">
        <f>nhood!E10</f>
        <v/>
      </c>
      <c r="J70" s="3"/>
    </row>
    <row r="71" spans="2:11">
      <c r="B71" s="339" t="s">
        <v>14</v>
      </c>
      <c r="C71" s="325"/>
      <c r="D71" s="325"/>
      <c r="E71" s="137"/>
      <c r="G71" s="895" t="str">
        <f>CONCATENATE("Projected Carryover Into ",E1+1,"")</f>
        <v>Projected Carryover Into 2015</v>
      </c>
      <c r="H71" s="898"/>
      <c r="I71" s="898"/>
      <c r="J71" s="899"/>
    </row>
    <row r="72" spans="2:11">
      <c r="B72" s="339" t="s">
        <v>773</v>
      </c>
      <c r="C72" s="333" t="str">
        <f>IF(C73*0.1&lt;C71,"Exceed 10% Rule","")</f>
        <v/>
      </c>
      <c r="D72" s="333" t="str">
        <f>IF(D73*0.1&lt;D71,"Exceed 10% Rule","")</f>
        <v/>
      </c>
      <c r="E72" s="340" t="str">
        <f>IF(E73*0.1&lt;E71,"Exceed 10% Rule","")</f>
        <v/>
      </c>
      <c r="G72" s="694"/>
      <c r="H72" s="658"/>
      <c r="I72" s="658"/>
      <c r="J72" s="695"/>
    </row>
    <row r="73" spans="2:11">
      <c r="B73" s="335" t="s">
        <v>121</v>
      </c>
      <c r="C73" s="337">
        <f>SUM(C63:C71)</f>
        <v>37973</v>
      </c>
      <c r="D73" s="337">
        <f>SUM(D63:D71)</f>
        <v>46100</v>
      </c>
      <c r="E73" s="338">
        <f>SUM(E63:E71)</f>
        <v>43450</v>
      </c>
      <c r="G73" s="697">
        <f>D74</f>
        <v>48180</v>
      </c>
      <c r="H73" s="683" t="str">
        <f>CONCATENATE("",E1-1," Ending Cash Balance (est.)")</f>
        <v>2013 Ending Cash Balance (est.)</v>
      </c>
      <c r="I73" s="698"/>
      <c r="J73" s="695"/>
    </row>
    <row r="74" spans="2:11">
      <c r="B74" s="177" t="s">
        <v>229</v>
      </c>
      <c r="C74" s="341">
        <f>C61-C73</f>
        <v>39213</v>
      </c>
      <c r="D74" s="341">
        <f>D61-D73</f>
        <v>48180</v>
      </c>
      <c r="E74" s="354" t="s">
        <v>94</v>
      </c>
      <c r="G74" s="697">
        <f>E60</f>
        <v>17535</v>
      </c>
      <c r="H74" s="659" t="str">
        <f>CONCATENATE("",E1," Non-AV Receipts (est.)")</f>
        <v>2014 Non-AV Receipts (est.)</v>
      </c>
      <c r="I74" s="698"/>
      <c r="J74" s="695"/>
    </row>
    <row r="75" spans="2:11">
      <c r="B75" s="119" t="str">
        <f>CONCATENATE("",E1-2,"/",E1-1," Budget Authority Amount:")</f>
        <v>2012/2013 Budget Authority Amount:</v>
      </c>
      <c r="C75" s="280">
        <f>inputOth!B65</f>
        <v>50475</v>
      </c>
      <c r="D75" s="280">
        <f>inputPrYr!D22</f>
        <v>46100</v>
      </c>
      <c r="E75" s="354" t="s">
        <v>94</v>
      </c>
      <c r="F75" s="356"/>
      <c r="G75" s="699">
        <f>IF(D79&gt;0,E78,E80)</f>
        <v>0</v>
      </c>
      <c r="H75" s="659" t="str">
        <f>CONCATENATE("",E1," Ad Valorem Tax (est.)")</f>
        <v>2014 Ad Valorem Tax (est.)</v>
      </c>
      <c r="I75" s="698"/>
      <c r="J75" s="695"/>
      <c r="K75" s="768" t="str">
        <f>IF(G75=E80,"","Note: Does not include Delinquent Taxes")</f>
        <v/>
      </c>
    </row>
    <row r="76" spans="2:11">
      <c r="B76" s="119"/>
      <c r="C76" s="886" t="s">
        <v>778</v>
      </c>
      <c r="D76" s="887"/>
      <c r="E76" s="137"/>
      <c r="F76" s="785" t="str">
        <f>IF(E73/0.95-E73&lt;E76,"Exceeds 5%","")</f>
        <v/>
      </c>
      <c r="G76" s="700">
        <f>SUM(G73:G75)</f>
        <v>65715</v>
      </c>
      <c r="H76" s="659" t="str">
        <f>CONCATENATE("Total ",E1," Resources Available")</f>
        <v>Total 2014 Resources Available</v>
      </c>
      <c r="I76" s="695"/>
      <c r="J76" s="695"/>
    </row>
    <row r="77" spans="2:11">
      <c r="B77" s="603" t="str">
        <f>CONCATENATE(C113,"     ",D113)</f>
        <v xml:space="preserve">     </v>
      </c>
      <c r="C77" s="888" t="s">
        <v>779</v>
      </c>
      <c r="D77" s="889"/>
      <c r="E77" s="327">
        <f>E73+E76</f>
        <v>43450</v>
      </c>
      <c r="G77" s="701"/>
      <c r="H77" s="702"/>
      <c r="I77" s="658"/>
      <c r="J77" s="695"/>
    </row>
    <row r="78" spans="2:11">
      <c r="B78" s="603" t="str">
        <f>CONCATENATE(C114,"     ",D114)</f>
        <v xml:space="preserve">     </v>
      </c>
      <c r="C78" s="342"/>
      <c r="D78" s="118" t="s">
        <v>122</v>
      </c>
      <c r="E78" s="151">
        <f>IF(E77-E61&gt;0,E77-E61,0)</f>
        <v>0</v>
      </c>
      <c r="G78" s="703">
        <f>ROUND(C73*0.05+C73,0)</f>
        <v>39872</v>
      </c>
      <c r="H78" s="659" t="str">
        <f>CONCATENATE("Less ",E1-2," Expenditures + 5%")</f>
        <v>Less 2012 Expenditures + 5%</v>
      </c>
      <c r="I78" s="695"/>
      <c r="J78" s="695"/>
    </row>
    <row r="79" spans="2:11">
      <c r="B79" s="118"/>
      <c r="C79" s="599" t="s">
        <v>780</v>
      </c>
      <c r="D79" s="678">
        <f>inputOth!$E$48</f>
        <v>2.5000000000000001E-2</v>
      </c>
      <c r="E79" s="327">
        <f>ROUND(IF(D79&gt;0,(E78*D79),0),0)</f>
        <v>0</v>
      </c>
      <c r="G79" s="704">
        <f>G76-G78</f>
        <v>25843</v>
      </c>
      <c r="H79" s="774" t="str">
        <f>CONCATENATE("Projected ",E1+1," carryover (est.)")</f>
        <v>Projected 2015 carryover (est.)</v>
      </c>
      <c r="I79" s="706"/>
      <c r="J79" s="707"/>
    </row>
    <row r="80" spans="2:11" ht="16.5" thickBot="1">
      <c r="B80" s="85"/>
      <c r="C80" s="884" t="str">
        <f>CONCATENATE("Amount of  ",$E$1-1," Ad Valorem Tax")</f>
        <v>Amount of  2013 Ad Valorem Tax</v>
      </c>
      <c r="D80" s="885"/>
      <c r="E80" s="681">
        <f>E78+E79</f>
        <v>0</v>
      </c>
      <c r="G80" s="3"/>
      <c r="H80" s="3"/>
      <c r="I80" s="3"/>
    </row>
    <row r="81" spans="2:10" ht="16.5" thickTop="1">
      <c r="B81" s="85"/>
      <c r="C81" s="620"/>
      <c r="D81" s="85"/>
      <c r="E81" s="85"/>
      <c r="G81" s="881" t="s">
        <v>853</v>
      </c>
      <c r="H81" s="882"/>
      <c r="I81" s="882"/>
      <c r="J81" s="883"/>
    </row>
    <row r="82" spans="2:10">
      <c r="B82" s="118" t="s">
        <v>124</v>
      </c>
      <c r="C82" s="120">
        <v>10</v>
      </c>
      <c r="D82" s="85"/>
      <c r="E82" s="85"/>
      <c r="G82" s="682"/>
      <c r="H82" s="683"/>
      <c r="I82" s="684"/>
      <c r="J82" s="685"/>
    </row>
    <row r="83" spans="2:10">
      <c r="B83" s="62"/>
      <c r="G83" s="686" t="str">
        <f>summ!H19</f>
        <v xml:space="preserve">  </v>
      </c>
      <c r="H83" s="683" t="str">
        <f>CONCATENATE("",E1," Fund Mill Rate")</f>
        <v>2014 Fund Mill Rate</v>
      </c>
      <c r="I83" s="684"/>
      <c r="J83" s="685"/>
    </row>
    <row r="84" spans="2:10">
      <c r="G84" s="688">
        <f>summ!E19</f>
        <v>1.6559999999999999</v>
      </c>
      <c r="H84" s="683" t="str">
        <f>CONCATENATE("",E1-1," Fund Mill Rate")</f>
        <v>2013 Fund Mill Rate</v>
      </c>
      <c r="I84" s="684"/>
      <c r="J84" s="685"/>
    </row>
    <row r="85" spans="2:10">
      <c r="G85" s="689">
        <f>summ!H48</f>
        <v>45.787999999999997</v>
      </c>
      <c r="H85" s="683" t="str">
        <f>CONCATENATE("Total ",E1," Mill Rate")</f>
        <v>Total 2014 Mill Rate</v>
      </c>
      <c r="I85" s="684"/>
      <c r="J85" s="685"/>
    </row>
    <row r="86" spans="2:10">
      <c r="G86" s="688">
        <f>summ!E48</f>
        <v>47.76</v>
      </c>
      <c r="H86" s="690" t="str">
        <f>CONCATENATE("Total ",E1-1," Mill Rate")</f>
        <v>Total 2013 Mill Rate</v>
      </c>
      <c r="I86" s="691"/>
      <c r="J86" s="692"/>
    </row>
    <row r="88" spans="2:10">
      <c r="G88" s="811" t="s">
        <v>1031</v>
      </c>
      <c r="H88" s="810"/>
      <c r="I88" s="809" t="str">
        <f>cert!F54</f>
        <v>Yes</v>
      </c>
    </row>
    <row r="111" spans="3:4">
      <c r="C111" s="121" t="str">
        <f>IF(C33&gt;C35,"See Tab A","")</f>
        <v/>
      </c>
      <c r="D111" s="121" t="str">
        <f>IF(D33&gt;D35,"See Tab C","")</f>
        <v/>
      </c>
    </row>
    <row r="112" spans="3:4">
      <c r="C112" s="121" t="str">
        <f>IF(C34&lt;0,"See Tab B","")</f>
        <v/>
      </c>
      <c r="D112" s="121" t="str">
        <f>IF(D34&lt;0,"See Tab D","")</f>
        <v/>
      </c>
    </row>
    <row r="113" spans="3:4">
      <c r="C113" s="121" t="str">
        <f>IF(C73&gt;C75,"See Tab A","")</f>
        <v/>
      </c>
      <c r="D113" s="121" t="str">
        <f>IF(D73&gt;D75,"See Tab C","")</f>
        <v/>
      </c>
    </row>
    <row r="114" spans="3:4">
      <c r="C114" s="121" t="str">
        <f>IF(C74&lt;0,"See Tab B","")</f>
        <v/>
      </c>
      <c r="D114" s="121" t="str">
        <f>IF(D74&lt;0,"See Tab D","")</f>
        <v/>
      </c>
    </row>
  </sheetData>
  <sheetProtection sheet="1"/>
  <mergeCells count="13">
    <mergeCell ref="G64:J64"/>
    <mergeCell ref="G71:J71"/>
    <mergeCell ref="G81:J81"/>
    <mergeCell ref="G24:J24"/>
    <mergeCell ref="G31:J31"/>
    <mergeCell ref="G41:J41"/>
    <mergeCell ref="C36:D36"/>
    <mergeCell ref="C37:D37"/>
    <mergeCell ref="C80:D80"/>
    <mergeCell ref="C40:D40"/>
    <mergeCell ref="C41:D41"/>
    <mergeCell ref="C76:D76"/>
    <mergeCell ref="C77:D77"/>
  </mergeCells>
  <phoneticPr fontId="0" type="noConversion"/>
  <conditionalFormatting sqref="E71">
    <cfRule type="cellIs" dxfId="252" priority="3" stopIfTrue="1" operator="greaterThan">
      <formula>$E$73*0.1</formula>
    </cfRule>
  </conditionalFormatting>
  <conditionalFormatting sqref="E76">
    <cfRule type="cellIs" dxfId="251" priority="4" stopIfTrue="1" operator="greaterThan">
      <formula>$E$73/0.95-$E$73</formula>
    </cfRule>
  </conditionalFormatting>
  <conditionalFormatting sqref="E31">
    <cfRule type="cellIs" dxfId="250" priority="5" stopIfTrue="1" operator="greaterThan">
      <formula>$E$33*0.1</formula>
    </cfRule>
  </conditionalFormatting>
  <conditionalFormatting sqref="E36">
    <cfRule type="cellIs" dxfId="249" priority="6" stopIfTrue="1" operator="greaterThan">
      <formula>$E$33/0.95-$E$33</formula>
    </cfRule>
  </conditionalFormatting>
  <conditionalFormatting sqref="C31">
    <cfRule type="cellIs" dxfId="248" priority="7" stopIfTrue="1" operator="greaterThan">
      <formula>$C$33*0.1</formula>
    </cfRule>
  </conditionalFormatting>
  <conditionalFormatting sqref="D31">
    <cfRule type="cellIs" dxfId="247" priority="8" stopIfTrue="1" operator="greaterThan">
      <formula>$D$33*0.1</formula>
    </cfRule>
  </conditionalFormatting>
  <conditionalFormatting sqref="D33">
    <cfRule type="cellIs" dxfId="246" priority="9" stopIfTrue="1" operator="greaterThan">
      <formula>$D$35</formula>
    </cfRule>
  </conditionalFormatting>
  <conditionalFormatting sqref="C33">
    <cfRule type="cellIs" dxfId="245" priority="10" stopIfTrue="1" operator="greaterThan">
      <formula>$C$35</formula>
    </cfRule>
  </conditionalFormatting>
  <conditionalFormatting sqref="C74 C34">
    <cfRule type="cellIs" dxfId="244" priority="11" stopIfTrue="1" operator="lessThan">
      <formula>0</formula>
    </cfRule>
  </conditionalFormatting>
  <conditionalFormatting sqref="C71">
    <cfRule type="cellIs" dxfId="243" priority="12" stopIfTrue="1" operator="greaterThan">
      <formula>$C$73*0.1</formula>
    </cfRule>
  </conditionalFormatting>
  <conditionalFormatting sqref="D71">
    <cfRule type="cellIs" dxfId="242" priority="13" stopIfTrue="1" operator="greaterThan">
      <formula>$D$73*0.1</formula>
    </cfRule>
  </conditionalFormatting>
  <conditionalFormatting sqref="D73">
    <cfRule type="cellIs" dxfId="241" priority="14" stopIfTrue="1" operator="greaterThan">
      <formula>$D$75</formula>
    </cfRule>
  </conditionalFormatting>
  <conditionalFormatting sqref="C73">
    <cfRule type="cellIs" dxfId="240" priority="15" stopIfTrue="1" operator="greaterThan">
      <formula>$C$75</formula>
    </cfRule>
  </conditionalFormatting>
  <conditionalFormatting sqref="D18">
    <cfRule type="cellIs" dxfId="239" priority="16" stopIfTrue="1" operator="greaterThan">
      <formula>$D$20*0.1</formula>
    </cfRule>
  </conditionalFormatting>
  <conditionalFormatting sqref="C18">
    <cfRule type="cellIs" dxfId="238" priority="17" stopIfTrue="1" operator="greaterThan">
      <formula>$C$20*0.1</formula>
    </cfRule>
  </conditionalFormatting>
  <conditionalFormatting sqref="D58">
    <cfRule type="cellIs" dxfId="237" priority="18" stopIfTrue="1" operator="greaterThan">
      <formula>$D$60*0.1</formula>
    </cfRule>
  </conditionalFormatting>
  <conditionalFormatting sqref="C58">
    <cfRule type="cellIs" dxfId="236" priority="19" stopIfTrue="1" operator="greaterThan">
      <formula>$C$60*0.1</formula>
    </cfRule>
  </conditionalFormatting>
  <conditionalFormatting sqref="E18">
    <cfRule type="cellIs" dxfId="235" priority="20" stopIfTrue="1" operator="greaterThan">
      <formula>$E$20*0.1+E40</formula>
    </cfRule>
  </conditionalFormatting>
  <conditionalFormatting sqref="E58">
    <cfRule type="cellIs" dxfId="234" priority="21" stopIfTrue="1" operator="greaterThan">
      <formula>$E$60*0.1+E80</formula>
    </cfRule>
  </conditionalFormatting>
  <conditionalFormatting sqref="D74 D34">
    <cfRule type="cellIs" dxfId="233" priority="2" stopIfTrue="1" operator="lessThan">
      <formula>0</formula>
    </cfRule>
  </conditionalFormatting>
  <pageMargins left="0.5" right="0.5" top="1" bottom="0.5" header="0.5" footer="0.5"/>
  <pageSetup scale="53"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3"/>
  <sheetViews>
    <sheetView topLeftCell="A13" zoomScaleNormal="100" workbookViewId="0">
      <selection activeCell="E28" sqref="E28"/>
    </sheetView>
  </sheetViews>
  <sheetFormatPr defaultColWidth="8.88671875" defaultRowHeight="15.75"/>
  <cols>
    <col min="1" max="1" width="2.44140625" style="121" customWidth="1"/>
    <col min="2" max="2" width="31.109375" style="121" customWidth="1"/>
    <col min="3" max="4" width="15.77734375" style="121" customWidth="1"/>
    <col min="5" max="5" width="16.33203125" style="121" customWidth="1"/>
    <col min="6" max="6" width="8.109375" style="121" customWidth="1"/>
    <col min="7" max="7" width="10.21875" style="121" customWidth="1"/>
    <col min="8" max="8" width="8.88671875" style="121"/>
    <col min="9" max="9" width="5" style="121" customWidth="1"/>
    <col min="10" max="10" width="10" style="121" customWidth="1"/>
    <col min="11" max="16384" width="8.88671875" style="121"/>
  </cols>
  <sheetData>
    <row r="1" spans="2:5">
      <c r="B1" s="105" t="str">
        <f>(inputPrYr!D2)</f>
        <v>City of Hiawatha</v>
      </c>
      <c r="C1" s="85"/>
      <c r="D1" s="85"/>
      <c r="E1" s="343">
        <f>inputPrYr!C5</f>
        <v>2014</v>
      </c>
    </row>
    <row r="2" spans="2:5">
      <c r="B2" s="85"/>
      <c r="C2" s="85"/>
      <c r="D2" s="85"/>
      <c r="E2" s="118"/>
    </row>
    <row r="3" spans="2:5">
      <c r="B3" s="318" t="s">
        <v>173</v>
      </c>
      <c r="C3" s="107"/>
      <c r="D3" s="107"/>
      <c r="E3" s="352"/>
    </row>
    <row r="4" spans="2:5">
      <c r="B4" s="103" t="s">
        <v>105</v>
      </c>
      <c r="C4" s="321" t="s">
        <v>848</v>
      </c>
      <c r="D4" s="322" t="s">
        <v>849</v>
      </c>
      <c r="E4" s="96" t="s">
        <v>850</v>
      </c>
    </row>
    <row r="5" spans="2:5">
      <c r="B5" s="560" t="str">
        <f>inputPrYr!B23</f>
        <v>Employee Benefits</v>
      </c>
      <c r="C5" s="323" t="str">
        <f>CONCATENATE("Actual for ",E1-2,"")</f>
        <v>Actual for 2012</v>
      </c>
      <c r="D5" s="323" t="str">
        <f>CONCATENATE("Estimate for ",E1-1,"")</f>
        <v>Estimate for 2013</v>
      </c>
      <c r="E5" s="324" t="str">
        <f>CONCATENATE("Year for ",E1,"")</f>
        <v>Year for 2014</v>
      </c>
    </row>
    <row r="6" spans="2:5">
      <c r="B6" s="274" t="s">
        <v>228</v>
      </c>
      <c r="C6" s="325">
        <v>202904</v>
      </c>
      <c r="D6" s="326">
        <f>C34</f>
        <v>200565</v>
      </c>
      <c r="E6" s="327">
        <f>D34</f>
        <v>93042</v>
      </c>
    </row>
    <row r="7" spans="2:5">
      <c r="B7" s="346" t="s">
        <v>230</v>
      </c>
      <c r="C7" s="326"/>
      <c r="D7" s="326"/>
      <c r="E7" s="327"/>
    </row>
    <row r="8" spans="2:5">
      <c r="B8" s="177" t="s">
        <v>106</v>
      </c>
      <c r="C8" s="325">
        <v>270848</v>
      </c>
      <c r="D8" s="326">
        <f>IF(inputPrYr!H16&gt;0,inputPrYr!G23,inputPrYr!E23)</f>
        <v>291077</v>
      </c>
      <c r="E8" s="354" t="s">
        <v>94</v>
      </c>
    </row>
    <row r="9" spans="2:5">
      <c r="B9" s="177" t="s">
        <v>107</v>
      </c>
      <c r="C9" s="325">
        <v>94</v>
      </c>
      <c r="D9" s="325">
        <v>100</v>
      </c>
      <c r="E9" s="137"/>
    </row>
    <row r="10" spans="2:5">
      <c r="B10" s="177" t="s">
        <v>108</v>
      </c>
      <c r="C10" s="325">
        <v>35330</v>
      </c>
      <c r="D10" s="325">
        <v>500</v>
      </c>
      <c r="E10" s="327">
        <f>mvalloc!D12</f>
        <v>37060</v>
      </c>
    </row>
    <row r="11" spans="2:5">
      <c r="B11" s="177" t="s">
        <v>109</v>
      </c>
      <c r="C11" s="325">
        <v>489</v>
      </c>
      <c r="D11" s="325">
        <v>600</v>
      </c>
      <c r="E11" s="327">
        <f>mvalloc!E12</f>
        <v>509</v>
      </c>
    </row>
    <row r="12" spans="2:5">
      <c r="B12" s="217" t="s">
        <v>205</v>
      </c>
      <c r="C12" s="325">
        <v>0</v>
      </c>
      <c r="D12" s="325">
        <v>0</v>
      </c>
      <c r="E12" s="327">
        <f>mvalloc!F12</f>
        <v>604</v>
      </c>
    </row>
    <row r="13" spans="2:5">
      <c r="B13" s="329" t="s">
        <v>1106</v>
      </c>
      <c r="C13" s="325">
        <v>10922</v>
      </c>
      <c r="D13" s="325">
        <v>5300</v>
      </c>
      <c r="E13" s="137"/>
    </row>
    <row r="14" spans="2:5">
      <c r="B14" s="329" t="s">
        <v>1117</v>
      </c>
      <c r="C14" s="325">
        <v>520</v>
      </c>
      <c r="D14" s="325">
        <v>2300</v>
      </c>
      <c r="E14" s="137"/>
    </row>
    <row r="15" spans="2:5">
      <c r="B15" s="329"/>
      <c r="C15" s="325"/>
      <c r="D15" s="325"/>
      <c r="E15" s="137"/>
    </row>
    <row r="16" spans="2:5">
      <c r="B16" s="329"/>
      <c r="C16" s="325"/>
      <c r="D16" s="325"/>
      <c r="E16" s="137"/>
    </row>
    <row r="17" spans="2:10">
      <c r="B17" s="347" t="s">
        <v>113</v>
      </c>
      <c r="C17" s="325"/>
      <c r="D17" s="325"/>
      <c r="E17" s="137"/>
    </row>
    <row r="18" spans="2:10">
      <c r="B18" s="217" t="s">
        <v>14</v>
      </c>
      <c r="C18" s="325"/>
      <c r="D18" s="325"/>
      <c r="E18" s="137"/>
    </row>
    <row r="19" spans="2:10">
      <c r="B19" s="274" t="s">
        <v>774</v>
      </c>
      <c r="C19" s="333" t="str">
        <f>IF(C20*0.1&lt;C18,"Exceed 10% Rule","")</f>
        <v/>
      </c>
      <c r="D19" s="333" t="str">
        <f>IF(D20*0.1&lt;D18,"Exceed 10% Rule","")</f>
        <v/>
      </c>
      <c r="E19" s="340" t="str">
        <f>IF(E20*0.1+E40&lt;E18,"Exceed 10% Rule","")</f>
        <v/>
      </c>
    </row>
    <row r="20" spans="2:10">
      <c r="B20" s="335" t="s">
        <v>114</v>
      </c>
      <c r="C20" s="337">
        <f>SUM(C8:C18)</f>
        <v>318203</v>
      </c>
      <c r="D20" s="337">
        <f>SUM(D8:D18)</f>
        <v>299877</v>
      </c>
      <c r="E20" s="338">
        <f>SUM(E8:E18)</f>
        <v>38173</v>
      </c>
    </row>
    <row r="21" spans="2:10">
      <c r="B21" s="335" t="s">
        <v>115</v>
      </c>
      <c r="C21" s="337">
        <f>C6+C20</f>
        <v>521107</v>
      </c>
      <c r="D21" s="337">
        <f>D6+D20</f>
        <v>500442</v>
      </c>
      <c r="E21" s="338">
        <f>E6+E20</f>
        <v>131215</v>
      </c>
    </row>
    <row r="22" spans="2:10">
      <c r="B22" s="177" t="s">
        <v>117</v>
      </c>
      <c r="C22" s="339"/>
      <c r="D22" s="339"/>
      <c r="E22" s="102"/>
      <c r="F22" s="357"/>
    </row>
    <row r="23" spans="2:10">
      <c r="B23" s="331" t="s">
        <v>1123</v>
      </c>
      <c r="C23" s="325">
        <v>48781</v>
      </c>
      <c r="D23" s="325">
        <v>55000</v>
      </c>
      <c r="E23" s="171">
        <v>60000</v>
      </c>
    </row>
    <row r="24" spans="2:10">
      <c r="B24" s="329" t="s">
        <v>282</v>
      </c>
      <c r="C24" s="325">
        <v>48138</v>
      </c>
      <c r="D24" s="325">
        <v>62000</v>
      </c>
      <c r="E24" s="137">
        <v>75000</v>
      </c>
      <c r="G24" s="895" t="str">
        <f>CONCATENATE("Desired Carryover Into ",E1+1,"")</f>
        <v>Desired Carryover Into 2015</v>
      </c>
      <c r="H24" s="893"/>
      <c r="I24" s="893"/>
      <c r="J24" s="894"/>
    </row>
    <row r="25" spans="2:10">
      <c r="B25" s="329" t="s">
        <v>1120</v>
      </c>
      <c r="C25" s="325">
        <v>918</v>
      </c>
      <c r="D25" s="325">
        <v>2200</v>
      </c>
      <c r="E25" s="137">
        <v>2200</v>
      </c>
      <c r="G25" s="657"/>
      <c r="H25" s="658"/>
      <c r="I25" s="659"/>
      <c r="J25" s="660"/>
    </row>
    <row r="26" spans="2:10">
      <c r="B26" s="329" t="s">
        <v>1121</v>
      </c>
      <c r="C26" s="325">
        <v>28088</v>
      </c>
      <c r="D26" s="325">
        <v>35000</v>
      </c>
      <c r="E26" s="137">
        <v>37500</v>
      </c>
      <c r="G26" s="661" t="s">
        <v>782</v>
      </c>
      <c r="H26" s="659"/>
      <c r="I26" s="659"/>
      <c r="J26" s="662">
        <v>0</v>
      </c>
    </row>
    <row r="27" spans="2:10">
      <c r="B27" s="329" t="s">
        <v>1122</v>
      </c>
      <c r="C27" s="325">
        <v>194617</v>
      </c>
      <c r="D27" s="325">
        <v>248200</v>
      </c>
      <c r="E27" s="137">
        <v>252000</v>
      </c>
      <c r="G27" s="657" t="s">
        <v>783</v>
      </c>
      <c r="H27" s="658"/>
      <c r="I27" s="658"/>
      <c r="J27" s="693" t="str">
        <f>IF(J26=0,"",ROUND((J26+E40-G39)/summ!F53*1000,3)-G44)</f>
        <v/>
      </c>
    </row>
    <row r="28" spans="2:10">
      <c r="B28" s="329"/>
      <c r="C28" s="325"/>
      <c r="D28" s="325"/>
      <c r="E28" s="137"/>
      <c r="G28" s="664" t="str">
        <f>CONCATENATE("",E1," Tot Exp/Non-Appr Must Be:")</f>
        <v>2014 Tot Exp/Non-Appr Must Be:</v>
      </c>
      <c r="H28" s="665"/>
      <c r="I28" s="666"/>
      <c r="J28" s="667">
        <f>IF(J26&gt;0,IF(E37&lt;E21,IF(J26=G39,E37,((J26-G39)*(1-D39))+E21),E37+(J26-G39)),0)</f>
        <v>0</v>
      </c>
    </row>
    <row r="29" spans="2:10">
      <c r="B29" s="329"/>
      <c r="C29" s="325"/>
      <c r="D29" s="325"/>
      <c r="E29" s="137"/>
      <c r="G29" s="668" t="s">
        <v>851</v>
      </c>
      <c r="H29" s="669"/>
      <c r="I29" s="669"/>
      <c r="J29" s="670">
        <f>IF(J26&gt;0,J28-E37,0)</f>
        <v>0</v>
      </c>
    </row>
    <row r="30" spans="2:10">
      <c r="B30" s="339" t="s">
        <v>13</v>
      </c>
      <c r="C30" s="325"/>
      <c r="D30" s="325"/>
      <c r="E30" s="151">
        <f>nhood!E11</f>
        <v>15828</v>
      </c>
      <c r="J30" s="3"/>
    </row>
    <row r="31" spans="2:10">
      <c r="B31" s="339" t="s">
        <v>14</v>
      </c>
      <c r="C31" s="325"/>
      <c r="D31" s="325">
        <v>5000</v>
      </c>
      <c r="E31" s="137"/>
      <c r="G31" s="895" t="str">
        <f>CONCATENATE("Projected Carryover Into ",E1+1,"")</f>
        <v>Projected Carryover Into 2015</v>
      </c>
      <c r="H31" s="897"/>
      <c r="I31" s="897"/>
      <c r="J31" s="899"/>
    </row>
    <row r="32" spans="2:10">
      <c r="B32" s="339" t="s">
        <v>773</v>
      </c>
      <c r="C32" s="333" t="str">
        <f>IF(C33*0.1&lt;C31,"Exceed 10% Rule","")</f>
        <v/>
      </c>
      <c r="D32" s="333" t="str">
        <f>IF(D33*0.1&lt;D31,"Exceed 10% Rule","")</f>
        <v/>
      </c>
      <c r="E32" s="340" t="str">
        <f>IF(E33*0.1&lt;E31,"Exceed 10% Rule","")</f>
        <v/>
      </c>
      <c r="G32" s="657"/>
      <c r="H32" s="659"/>
      <c r="I32" s="659"/>
      <c r="J32" s="770"/>
    </row>
    <row r="33" spans="2:11">
      <c r="B33" s="335" t="s">
        <v>121</v>
      </c>
      <c r="C33" s="337">
        <f>SUM(C23:C31)</f>
        <v>320542</v>
      </c>
      <c r="D33" s="337">
        <f>SUM(D23:D31)</f>
        <v>407400</v>
      </c>
      <c r="E33" s="338">
        <f>SUM(E23:E31)</f>
        <v>442528</v>
      </c>
      <c r="G33" s="697">
        <f>D34</f>
        <v>93042</v>
      </c>
      <c r="H33" s="683" t="str">
        <f>CONCATENATE("",E1-1," Ending Cash Balance (est.)")</f>
        <v>2013 Ending Cash Balance (est.)</v>
      </c>
      <c r="I33" s="698"/>
      <c r="J33" s="770"/>
    </row>
    <row r="34" spans="2:11">
      <c r="B34" s="177" t="s">
        <v>229</v>
      </c>
      <c r="C34" s="341">
        <f>C21-C33</f>
        <v>200565</v>
      </c>
      <c r="D34" s="341">
        <f>D21-D33</f>
        <v>93042</v>
      </c>
      <c r="E34" s="354" t="s">
        <v>94</v>
      </c>
      <c r="G34" s="697">
        <f>E20</f>
        <v>38173</v>
      </c>
      <c r="H34" s="659" t="str">
        <f>CONCATENATE("",E1," Non-AV Receipts (est.)")</f>
        <v>2014 Non-AV Receipts (est.)</v>
      </c>
      <c r="I34" s="698"/>
      <c r="J34" s="770"/>
    </row>
    <row r="35" spans="2:11">
      <c r="B35" s="119" t="str">
        <f>CONCATENATE("",E1-2,"/",E1-1," Budget Authority Amount:")</f>
        <v>2012/2013 Budget Authority Amount:</v>
      </c>
      <c r="C35" s="280">
        <f>inputOth!B66</f>
        <v>465200</v>
      </c>
      <c r="D35" s="280">
        <f>inputPrYr!D23</f>
        <v>407401</v>
      </c>
      <c r="E35" s="354" t="s">
        <v>94</v>
      </c>
      <c r="F35" s="356"/>
      <c r="G35" s="699">
        <f>IF(E39&gt;0,E38,E40)</f>
        <v>311313</v>
      </c>
      <c r="H35" s="659" t="str">
        <f>CONCATENATE("",E1," Ad Valorem Tax (est.)")</f>
        <v>2014 Ad Valorem Tax (est.)</v>
      </c>
      <c r="I35" s="698"/>
      <c r="J35" s="771"/>
      <c r="K35" s="768" t="str">
        <f>IF(G35=E40,"","Note: Does not include Delinquent Taxes")</f>
        <v>Note: Does not include Delinquent Taxes</v>
      </c>
    </row>
    <row r="36" spans="2:11">
      <c r="B36" s="119"/>
      <c r="C36" s="886" t="s">
        <v>778</v>
      </c>
      <c r="D36" s="887"/>
      <c r="E36" s="137"/>
      <c r="F36" s="785" t="str">
        <f>IF(E33/0.95-E33&lt;E36,"Exceeds 5%","")</f>
        <v/>
      </c>
      <c r="G36" s="697">
        <f>SUM(G33:G35)</f>
        <v>442528</v>
      </c>
      <c r="H36" s="659" t="str">
        <f>CONCATENATE("Total ",E1," Resources Available")</f>
        <v>Total 2014 Resources Available</v>
      </c>
      <c r="I36" s="698"/>
      <c r="J36" s="770"/>
    </row>
    <row r="37" spans="2:11">
      <c r="B37" s="603" t="str">
        <f>CONCATENATE(C90,"     ",D90)</f>
        <v xml:space="preserve">     </v>
      </c>
      <c r="C37" s="888" t="s">
        <v>779</v>
      </c>
      <c r="D37" s="889"/>
      <c r="E37" s="327">
        <f>E33+E36</f>
        <v>442528</v>
      </c>
      <c r="G37" s="772"/>
      <c r="H37" s="659"/>
      <c r="I37" s="659"/>
      <c r="J37" s="770"/>
    </row>
    <row r="38" spans="2:11">
      <c r="B38" s="603" t="str">
        <f>CONCATENATE(C91,"      ",D91)</f>
        <v xml:space="preserve">      </v>
      </c>
      <c r="C38" s="342"/>
      <c r="D38" s="118" t="s">
        <v>122</v>
      </c>
      <c r="E38" s="151">
        <f>IF(E37-E21&gt;0,E37-E21,0)</f>
        <v>311313</v>
      </c>
      <c r="G38" s="699">
        <f>ROUND(C33*0.05+C33,0)</f>
        <v>336569</v>
      </c>
      <c r="H38" s="659" t="str">
        <f>CONCATENATE("Less ",E1-2," Expenditures + 5%")</f>
        <v>Less 2012 Expenditures + 5%</v>
      </c>
      <c r="I38" s="698"/>
      <c r="J38" s="770"/>
    </row>
    <row r="39" spans="2:11">
      <c r="B39" s="118"/>
      <c r="C39" s="599" t="s">
        <v>780</v>
      </c>
      <c r="D39" s="678">
        <f>inputOth!$E$48</f>
        <v>2.5000000000000001E-2</v>
      </c>
      <c r="E39" s="327">
        <f>ROUND(IF(D39&gt;0,(E38*D39),0),0)</f>
        <v>7783</v>
      </c>
      <c r="G39" s="773">
        <f>G36-G38</f>
        <v>105959</v>
      </c>
      <c r="H39" s="774" t="str">
        <f>CONCATENATE("Projected ",E1+1," carryover (est.)")</f>
        <v>Projected 2015 carryover (est.)</v>
      </c>
      <c r="I39" s="775"/>
      <c r="J39" s="707"/>
    </row>
    <row r="40" spans="2:11" ht="16.5" thickBot="1">
      <c r="B40" s="118"/>
      <c r="C40" s="884" t="str">
        <f>CONCATENATE("Amount of  ",$E$1-1," Ad Valorem Tax")</f>
        <v>Amount of  2013 Ad Valorem Tax</v>
      </c>
      <c r="D40" s="885"/>
      <c r="E40" s="681">
        <f>E38+E39</f>
        <v>319096</v>
      </c>
      <c r="G40" s="3"/>
      <c r="H40" s="3"/>
      <c r="I40" s="3"/>
      <c r="J40" s="3"/>
    </row>
    <row r="41" spans="2:11" ht="16.5" thickTop="1">
      <c r="B41" s="85"/>
      <c r="C41" s="884"/>
      <c r="D41" s="900"/>
      <c r="E41" s="108"/>
      <c r="G41" s="881" t="s">
        <v>853</v>
      </c>
      <c r="H41" s="882"/>
      <c r="I41" s="882"/>
      <c r="J41" s="883"/>
    </row>
    <row r="42" spans="2:11">
      <c r="B42" s="103" t="s">
        <v>105</v>
      </c>
      <c r="C42" s="90"/>
      <c r="D42" s="90"/>
      <c r="E42" s="90"/>
      <c r="G42" s="682"/>
      <c r="H42" s="683"/>
      <c r="I42" s="684"/>
      <c r="J42" s="685"/>
    </row>
    <row r="43" spans="2:11">
      <c r="B43" s="85"/>
      <c r="C43" s="321" t="s">
        <v>848</v>
      </c>
      <c r="D43" s="322" t="s">
        <v>854</v>
      </c>
      <c r="E43" s="96" t="s">
        <v>850</v>
      </c>
      <c r="G43" s="686">
        <f>summ!H20</f>
        <v>14.613</v>
      </c>
      <c r="H43" s="683" t="str">
        <f>CONCATENATE("",E1," Fund Mill Rate")</f>
        <v>2014 Fund Mill Rate</v>
      </c>
      <c r="I43" s="684"/>
      <c r="J43" s="685"/>
    </row>
    <row r="44" spans="2:11">
      <c r="B44" s="560">
        <f>inputPrYr!B24</f>
        <v>0</v>
      </c>
      <c r="C44" s="323" t="str">
        <f>C5</f>
        <v>Actual for 2012</v>
      </c>
      <c r="D44" s="323" t="str">
        <f>D5</f>
        <v>Estimate for 2013</v>
      </c>
      <c r="E44" s="324" t="str">
        <f>E5</f>
        <v>Year for 2014</v>
      </c>
      <c r="G44" s="688">
        <f>summ!E20</f>
        <v>14.256</v>
      </c>
      <c r="H44" s="683" t="str">
        <f>CONCATENATE("",E1-1," Fund Mill Rate")</f>
        <v>2013 Fund Mill Rate</v>
      </c>
      <c r="I44" s="684"/>
      <c r="J44" s="685"/>
    </row>
    <row r="45" spans="2:11">
      <c r="B45" s="274" t="s">
        <v>228</v>
      </c>
      <c r="C45" s="325"/>
      <c r="D45" s="326">
        <f>C74</f>
        <v>0</v>
      </c>
      <c r="E45" s="327">
        <f>D74</f>
        <v>0</v>
      </c>
      <c r="G45" s="689">
        <f>summ!H48</f>
        <v>45.787999999999997</v>
      </c>
      <c r="H45" s="683" t="str">
        <f>CONCATENATE("Total ",E1," Mill Rate")</f>
        <v>Total 2014 Mill Rate</v>
      </c>
      <c r="I45" s="684"/>
      <c r="J45" s="685"/>
    </row>
    <row r="46" spans="2:11">
      <c r="B46" s="346" t="s">
        <v>230</v>
      </c>
      <c r="C46" s="217"/>
      <c r="D46" s="217"/>
      <c r="E46" s="100"/>
      <c r="G46" s="688">
        <f>summ!E48</f>
        <v>47.76</v>
      </c>
      <c r="H46" s="690" t="str">
        <f>CONCATENATE("Total ",E1-1," Mill Rate")</f>
        <v>Total 2013 Mill Rate</v>
      </c>
      <c r="I46" s="691"/>
      <c r="J46" s="692"/>
    </row>
    <row r="47" spans="2:11">
      <c r="B47" s="177" t="s">
        <v>106</v>
      </c>
      <c r="C47" s="325"/>
      <c r="D47" s="326">
        <f>IF(inputPrYr!H16&gt;0,inputPrYr!G24,inputPrYr!E24)</f>
        <v>0</v>
      </c>
      <c r="E47" s="354" t="s">
        <v>94</v>
      </c>
    </row>
    <row r="48" spans="2:11">
      <c r="B48" s="177" t="s">
        <v>107</v>
      </c>
      <c r="C48" s="325"/>
      <c r="D48" s="325"/>
      <c r="E48" s="137"/>
      <c r="G48" s="814" t="s">
        <v>1031</v>
      </c>
      <c r="H48" s="813"/>
      <c r="I48" s="812" t="str">
        <f>cert!F54</f>
        <v>Yes</v>
      </c>
    </row>
    <row r="49" spans="2:10">
      <c r="B49" s="177" t="s">
        <v>108</v>
      </c>
      <c r="C49" s="325"/>
      <c r="D49" s="325"/>
      <c r="E49" s="327" t="str">
        <f>mvalloc!D13</f>
        <v xml:space="preserve">  </v>
      </c>
    </row>
    <row r="50" spans="2:10">
      <c r="B50" s="177" t="s">
        <v>109</v>
      </c>
      <c r="C50" s="325"/>
      <c r="D50" s="325"/>
      <c r="E50" s="327" t="str">
        <f>mvalloc!E13</f>
        <v xml:space="preserve"> </v>
      </c>
    </row>
    <row r="51" spans="2:10">
      <c r="B51" s="217" t="s">
        <v>205</v>
      </c>
      <c r="C51" s="325"/>
      <c r="D51" s="325"/>
      <c r="E51" s="327" t="str">
        <f>mvalloc!F13</f>
        <v xml:space="preserve"> </v>
      </c>
    </row>
    <row r="52" spans="2:10">
      <c r="B52" s="329"/>
      <c r="C52" s="325"/>
      <c r="D52" s="325"/>
      <c r="E52" s="137"/>
    </row>
    <row r="53" spans="2:10">
      <c r="B53" s="329"/>
      <c r="C53" s="325"/>
      <c r="D53" s="325"/>
      <c r="E53" s="137"/>
    </row>
    <row r="54" spans="2:10">
      <c r="B54" s="329"/>
      <c r="C54" s="325"/>
      <c r="D54" s="325"/>
      <c r="E54" s="137"/>
    </row>
    <row r="55" spans="2:10">
      <c r="B55" s="329"/>
      <c r="C55" s="325"/>
      <c r="D55" s="325"/>
      <c r="E55" s="137"/>
    </row>
    <row r="56" spans="2:10">
      <c r="B56" s="329"/>
      <c r="C56" s="325"/>
      <c r="D56" s="325"/>
      <c r="E56" s="137"/>
    </row>
    <row r="57" spans="2:10">
      <c r="B57" s="347" t="s">
        <v>113</v>
      </c>
      <c r="C57" s="325"/>
      <c r="D57" s="325"/>
      <c r="E57" s="137"/>
    </row>
    <row r="58" spans="2:10">
      <c r="B58" s="217" t="s">
        <v>14</v>
      </c>
      <c r="C58" s="325"/>
      <c r="D58" s="325"/>
      <c r="E58" s="137"/>
    </row>
    <row r="59" spans="2:10">
      <c r="B59" s="274" t="s">
        <v>774</v>
      </c>
      <c r="C59" s="333" t="str">
        <f>IF(C60*0.1&lt;C58,"Exceed 10% Rule","")</f>
        <v/>
      </c>
      <c r="D59" s="333" t="str">
        <f>IF(D60*0.1&lt;D58,"Exceed 10% Rule","")</f>
        <v/>
      </c>
      <c r="E59" s="340" t="str">
        <f>IF(E60*0.1+E80&lt;E58,"Exceed 10% Rule","")</f>
        <v/>
      </c>
    </row>
    <row r="60" spans="2:10">
      <c r="B60" s="335" t="s">
        <v>114</v>
      </c>
      <c r="C60" s="337">
        <f>SUM(C47:C58)</f>
        <v>0</v>
      </c>
      <c r="D60" s="337">
        <f>SUM(D47:D58)</f>
        <v>0</v>
      </c>
      <c r="E60" s="338">
        <f>SUM(E48:E58)</f>
        <v>0</v>
      </c>
    </row>
    <row r="61" spans="2:10">
      <c r="B61" s="335" t="s">
        <v>115</v>
      </c>
      <c r="C61" s="337">
        <f>C45+C60</f>
        <v>0</v>
      </c>
      <c r="D61" s="337">
        <f>D45+D60</f>
        <v>0</v>
      </c>
      <c r="E61" s="338">
        <f>E45+E60</f>
        <v>0</v>
      </c>
    </row>
    <row r="62" spans="2:10">
      <c r="B62" s="177" t="s">
        <v>117</v>
      </c>
      <c r="C62" s="339"/>
      <c r="D62" s="339"/>
      <c r="E62" s="102"/>
    </row>
    <row r="63" spans="2:10">
      <c r="B63" s="329"/>
      <c r="C63" s="325"/>
      <c r="D63" s="325"/>
      <c r="E63" s="137"/>
    </row>
    <row r="64" spans="2:10">
      <c r="B64" s="329"/>
      <c r="C64" s="325"/>
      <c r="D64" s="325"/>
      <c r="E64" s="137"/>
      <c r="G64" s="895" t="str">
        <f>CONCATENATE("Desired Carryover Into ",E1+1,"")</f>
        <v>Desired Carryover Into 2015</v>
      </c>
      <c r="H64" s="893"/>
      <c r="I64" s="893"/>
      <c r="J64" s="894"/>
    </row>
    <row r="65" spans="2:11">
      <c r="B65" s="329"/>
      <c r="C65" s="325"/>
      <c r="D65" s="325"/>
      <c r="E65" s="137"/>
      <c r="G65" s="657"/>
      <c r="H65" s="658"/>
      <c r="I65" s="659"/>
      <c r="J65" s="660"/>
    </row>
    <row r="66" spans="2:11">
      <c r="B66" s="329"/>
      <c r="C66" s="325"/>
      <c r="D66" s="325"/>
      <c r="E66" s="137"/>
      <c r="G66" s="661" t="s">
        <v>782</v>
      </c>
      <c r="H66" s="659"/>
      <c r="I66" s="659"/>
      <c r="J66" s="662">
        <v>0</v>
      </c>
    </row>
    <row r="67" spans="2:11">
      <c r="B67" s="329"/>
      <c r="C67" s="325"/>
      <c r="D67" s="325"/>
      <c r="E67" s="137"/>
      <c r="G67" s="657" t="s">
        <v>783</v>
      </c>
      <c r="H67" s="658"/>
      <c r="I67" s="658"/>
      <c r="J67" s="693" t="str">
        <f>IF(J66=0,"",ROUND((J66+E80-G79)/summ!F53*1000,3)-G84)</f>
        <v/>
      </c>
    </row>
    <row r="68" spans="2:11">
      <c r="B68" s="329"/>
      <c r="C68" s="325"/>
      <c r="D68" s="325"/>
      <c r="E68" s="137"/>
      <c r="G68" s="664" t="str">
        <f>CONCATENATE("",E1," Tot Exp/Non-Appr Must Be:")</f>
        <v>2014 Tot Exp/Non-Appr Must Be:</v>
      </c>
      <c r="H68" s="665"/>
      <c r="I68" s="666"/>
      <c r="J68" s="667">
        <f>IF(J66&gt;0,IF(E77&lt;E61,IF(J66=G79,E77,((J66-G79)*(1-D79))+E61),E77+(J66-G79)),0)</f>
        <v>0</v>
      </c>
    </row>
    <row r="69" spans="2:11">
      <c r="B69" s="329"/>
      <c r="C69" s="325"/>
      <c r="D69" s="325"/>
      <c r="E69" s="137"/>
      <c r="G69" s="668" t="s">
        <v>851</v>
      </c>
      <c r="H69" s="669"/>
      <c r="I69" s="669"/>
      <c r="J69" s="670">
        <f>IF(J66&gt;0,J68-E77,0)</f>
        <v>0</v>
      </c>
    </row>
    <row r="70" spans="2:11">
      <c r="B70" s="339" t="s">
        <v>13</v>
      </c>
      <c r="C70" s="325"/>
      <c r="D70" s="325"/>
      <c r="E70" s="151" t="str">
        <f>nhood!E12</f>
        <v/>
      </c>
      <c r="J70" s="3"/>
    </row>
    <row r="71" spans="2:11">
      <c r="B71" s="339" t="s">
        <v>14</v>
      </c>
      <c r="C71" s="325"/>
      <c r="D71" s="325"/>
      <c r="E71" s="137"/>
      <c r="G71" s="895" t="str">
        <f>CONCATENATE("Projected Carryover Into ",E1+1,"")</f>
        <v>Projected Carryover Into 2015</v>
      </c>
      <c r="H71" s="898"/>
      <c r="I71" s="898"/>
      <c r="J71" s="899"/>
    </row>
    <row r="72" spans="2:11">
      <c r="B72" s="339" t="s">
        <v>773</v>
      </c>
      <c r="C72" s="333" t="str">
        <f>IF(C73*0.1&lt;C71,"Exceed 10% Rule","")</f>
        <v/>
      </c>
      <c r="D72" s="333" t="str">
        <f>IF(D73*0.1&lt;D71,"Exceed 10% Rule","")</f>
        <v/>
      </c>
      <c r="E72" s="340" t="str">
        <f>IF(E73*0.1&lt;E71,"Exceed 10% Rule","")</f>
        <v/>
      </c>
      <c r="G72" s="694"/>
      <c r="H72" s="658"/>
      <c r="I72" s="658"/>
      <c r="J72" s="695"/>
    </row>
    <row r="73" spans="2:11">
      <c r="B73" s="335" t="s">
        <v>121</v>
      </c>
      <c r="C73" s="337">
        <f>SUM(C63:C71)</f>
        <v>0</v>
      </c>
      <c r="D73" s="337">
        <f>SUM(D63:D71)</f>
        <v>0</v>
      </c>
      <c r="E73" s="338">
        <f>SUM(E63:E71)</f>
        <v>0</v>
      </c>
      <c r="G73" s="697">
        <f>D74</f>
        <v>0</v>
      </c>
      <c r="H73" s="683" t="str">
        <f>CONCATENATE("",E1-1," Ending Cash Balance (est.)")</f>
        <v>2013 Ending Cash Balance (est.)</v>
      </c>
      <c r="I73" s="698"/>
      <c r="J73" s="695"/>
    </row>
    <row r="74" spans="2:11">
      <c r="B74" s="177" t="s">
        <v>229</v>
      </c>
      <c r="C74" s="341">
        <f>C61-C73</f>
        <v>0</v>
      </c>
      <c r="D74" s="341">
        <f>D61-D73</f>
        <v>0</v>
      </c>
      <c r="E74" s="354" t="s">
        <v>94</v>
      </c>
      <c r="G74" s="697">
        <f>E60</f>
        <v>0</v>
      </c>
      <c r="H74" s="659" t="str">
        <f>CONCATENATE("",E1," Non-AV Receipts (est.)")</f>
        <v>2014 Non-AV Receipts (est.)</v>
      </c>
      <c r="I74" s="698"/>
      <c r="J74" s="695"/>
    </row>
    <row r="75" spans="2:11">
      <c r="B75" s="119" t="str">
        <f>CONCATENATE("",E1-2,"/",E1-1," Budget Authority Amount:")</f>
        <v>2012/2013 Budget Authority Amount:</v>
      </c>
      <c r="C75" s="280">
        <f>inputOth!B67</f>
        <v>0</v>
      </c>
      <c r="D75" s="280">
        <f>inputPrYr!D24</f>
        <v>0</v>
      </c>
      <c r="E75" s="354" t="s">
        <v>94</v>
      </c>
      <c r="F75" s="356"/>
      <c r="G75" s="699">
        <f>IF(D79&gt;0,E78,E80)</f>
        <v>0</v>
      </c>
      <c r="H75" s="659" t="str">
        <f>CONCATENATE("",E1," Ad Valorem Tax (est.)")</f>
        <v>2014 Ad Valorem Tax (est.)</v>
      </c>
      <c r="I75" s="698"/>
      <c r="J75" s="695"/>
      <c r="K75" s="768" t="str">
        <f>IF(G75=E80,"","Note: Does not include Delinquent Taxes")</f>
        <v/>
      </c>
    </row>
    <row r="76" spans="2:11">
      <c r="B76" s="119"/>
      <c r="C76" s="886" t="s">
        <v>778</v>
      </c>
      <c r="D76" s="887"/>
      <c r="E76" s="137"/>
      <c r="F76" s="785" t="str">
        <f>IF(E73/0.95-E73&lt;E76,"Exceeds 5%","")</f>
        <v/>
      </c>
      <c r="G76" s="700">
        <f>SUM(G73:G75)</f>
        <v>0</v>
      </c>
      <c r="H76" s="659" t="str">
        <f>CONCATENATE("Total ",E1," Resources Available")</f>
        <v>Total 2014 Resources Available</v>
      </c>
      <c r="I76" s="695"/>
      <c r="J76" s="695"/>
    </row>
    <row r="77" spans="2:11">
      <c r="B77" s="603" t="str">
        <f>CONCATENATE(C92,"     ",D92)</f>
        <v xml:space="preserve">     </v>
      </c>
      <c r="C77" s="888" t="s">
        <v>779</v>
      </c>
      <c r="D77" s="889"/>
      <c r="E77" s="327">
        <f>E73+E76</f>
        <v>0</v>
      </c>
      <c r="G77" s="701"/>
      <c r="H77" s="702"/>
      <c r="I77" s="658"/>
      <c r="J77" s="695"/>
    </row>
    <row r="78" spans="2:11">
      <c r="B78" s="603" t="str">
        <f>CONCATENATE(C93,"     ",D93)</f>
        <v xml:space="preserve">     </v>
      </c>
      <c r="C78" s="342"/>
      <c r="D78" s="118" t="s">
        <v>122</v>
      </c>
      <c r="E78" s="151">
        <f>IF(E77-E61&gt;0,E77-E61,0)</f>
        <v>0</v>
      </c>
      <c r="G78" s="703">
        <f>ROUND(C73*0.05+C73,0)</f>
        <v>0</v>
      </c>
      <c r="H78" s="659" t="str">
        <f>CONCATENATE("Less ",E1-2," Expenditures + 5%")</f>
        <v>Less 2012 Expenditures + 5%</v>
      </c>
      <c r="I78" s="695"/>
      <c r="J78" s="695"/>
    </row>
    <row r="79" spans="2:11">
      <c r="B79" s="118"/>
      <c r="C79" s="599" t="s">
        <v>780</v>
      </c>
      <c r="D79" s="678">
        <f>inputOth!$E$48</f>
        <v>2.5000000000000001E-2</v>
      </c>
      <c r="E79" s="327">
        <f>ROUND(IF(D79&gt;0,(E78*D79),0),0)</f>
        <v>0</v>
      </c>
      <c r="G79" s="704">
        <f>G76-G78</f>
        <v>0</v>
      </c>
      <c r="H79" s="774" t="str">
        <f>CONCATENATE("Projected ",E1+1," carryover (est.)")</f>
        <v>Projected 2015 carryover (est.)</v>
      </c>
      <c r="I79" s="706"/>
      <c r="J79" s="707"/>
    </row>
    <row r="80" spans="2:11" ht="16.5" thickBot="1">
      <c r="B80" s="85"/>
      <c r="C80" s="884" t="str">
        <f>CONCATENATE("Amount of  ",$E$1-1," Ad Valorem Tax")</f>
        <v>Amount of  2013 Ad Valorem Tax</v>
      </c>
      <c r="D80" s="885"/>
      <c r="E80" s="681">
        <f>E78+E79</f>
        <v>0</v>
      </c>
      <c r="G80" s="3"/>
      <c r="H80" s="3"/>
      <c r="I80" s="3"/>
    </row>
    <row r="81" spans="2:10" ht="16.5" thickTop="1">
      <c r="B81" s="85"/>
      <c r="C81" s="85"/>
      <c r="D81" s="85"/>
      <c r="E81" s="85"/>
      <c r="G81" s="881" t="s">
        <v>853</v>
      </c>
      <c r="H81" s="882"/>
      <c r="I81" s="882"/>
      <c r="J81" s="883"/>
    </row>
    <row r="82" spans="2:10">
      <c r="B82" s="118" t="s">
        <v>124</v>
      </c>
      <c r="C82" s="120">
        <v>11</v>
      </c>
      <c r="D82" s="85"/>
      <c r="E82" s="85"/>
      <c r="G82" s="682"/>
      <c r="H82" s="683"/>
      <c r="I82" s="684"/>
      <c r="J82" s="685"/>
    </row>
    <row r="83" spans="2:10">
      <c r="G83" s="686" t="str">
        <f>summ!H21</f>
        <v xml:space="preserve">  </v>
      </c>
      <c r="H83" s="683" t="str">
        <f>CONCATENATE("",E1," Fund Mill Rate")</f>
        <v>2014 Fund Mill Rate</v>
      </c>
      <c r="I83" s="684"/>
      <c r="J83" s="685"/>
    </row>
    <row r="84" spans="2:10">
      <c r="G84" s="688" t="str">
        <f>summ!E21</f>
        <v xml:space="preserve">  </v>
      </c>
      <c r="H84" s="683" t="str">
        <f>CONCATENATE("",E1-1," Fund Mill Rate")</f>
        <v>2013 Fund Mill Rate</v>
      </c>
      <c r="I84" s="684"/>
      <c r="J84" s="685"/>
    </row>
    <row r="85" spans="2:10">
      <c r="G85" s="689">
        <f>summ!H48</f>
        <v>45.787999999999997</v>
      </c>
      <c r="H85" s="683" t="str">
        <f>CONCATENATE("Total ",E1," Mill Rate")</f>
        <v>Total 2014 Mill Rate</v>
      </c>
      <c r="I85" s="684"/>
      <c r="J85" s="685"/>
    </row>
    <row r="86" spans="2:10">
      <c r="G86" s="688">
        <f>summ!E48</f>
        <v>47.76</v>
      </c>
      <c r="H86" s="690" t="str">
        <f>CONCATENATE("Total ",E1-1," Mill Rate")</f>
        <v>Total 2013 Mill Rate</v>
      </c>
      <c r="I86" s="691"/>
      <c r="J86" s="692"/>
    </row>
    <row r="88" spans="2:10">
      <c r="G88" s="817" t="s">
        <v>1031</v>
      </c>
      <c r="H88" s="816"/>
      <c r="I88" s="815" t="str">
        <f>cert!F54</f>
        <v>Yes</v>
      </c>
    </row>
    <row r="90" spans="2:10" hidden="1">
      <c r="C90" s="121" t="str">
        <f>IF(C33&gt;C35,"See Tab A","")</f>
        <v/>
      </c>
      <c r="D90" s="121" t="str">
        <f>IF(D33&gt;D35,"See Tab C","")</f>
        <v/>
      </c>
    </row>
    <row r="91" spans="2:10" hidden="1">
      <c r="C91" s="121" t="str">
        <f>IF(C34&lt;0,"See Tab B","")</f>
        <v/>
      </c>
      <c r="D91" s="121" t="str">
        <f>IF(D34&lt;0,"See Tab D","")</f>
        <v/>
      </c>
    </row>
    <row r="92" spans="2:10" hidden="1">
      <c r="C92" s="121" t="str">
        <f>IF(C73&gt;C75,"See Tab A","")</f>
        <v/>
      </c>
      <c r="D92" s="121" t="str">
        <f>IF(D73&gt;D75,"See Tab C","")</f>
        <v/>
      </c>
    </row>
    <row r="93" spans="2:10" hidden="1">
      <c r="C93" s="121" t="str">
        <f>IF(C74&lt;0,"See Tab B","")</f>
        <v/>
      </c>
      <c r="D93" s="121" t="str">
        <f>IF(D74&lt;0,"See Tab D","")</f>
        <v/>
      </c>
    </row>
  </sheetData>
  <sheetProtection sheet="1"/>
  <mergeCells count="13">
    <mergeCell ref="G81:J81"/>
    <mergeCell ref="G24:J24"/>
    <mergeCell ref="G31:J31"/>
    <mergeCell ref="G41:J41"/>
    <mergeCell ref="G64:J64"/>
    <mergeCell ref="G71:J71"/>
    <mergeCell ref="C36:D36"/>
    <mergeCell ref="C37:D37"/>
    <mergeCell ref="C80:D80"/>
    <mergeCell ref="C40:D40"/>
    <mergeCell ref="C41:D41"/>
    <mergeCell ref="C76:D76"/>
    <mergeCell ref="C77:D77"/>
  </mergeCells>
  <phoneticPr fontId="0" type="noConversion"/>
  <conditionalFormatting sqref="E71">
    <cfRule type="cellIs" dxfId="232" priority="3" stopIfTrue="1" operator="greaterThan">
      <formula>$E$73*0.1</formula>
    </cfRule>
  </conditionalFormatting>
  <conditionalFormatting sqref="E76">
    <cfRule type="cellIs" dxfId="231" priority="4" stopIfTrue="1" operator="greaterThan">
      <formula>$E$73/0.95-$E$73</formula>
    </cfRule>
  </conditionalFormatting>
  <conditionalFormatting sqref="E31">
    <cfRule type="cellIs" dxfId="230" priority="5" stopIfTrue="1" operator="greaterThan">
      <formula>$E$33*0.1</formula>
    </cfRule>
  </conditionalFormatting>
  <conditionalFormatting sqref="E36">
    <cfRule type="cellIs" dxfId="229" priority="6" stopIfTrue="1" operator="greaterThan">
      <formula>$E$33/0.95-$E$33</formula>
    </cfRule>
  </conditionalFormatting>
  <conditionalFormatting sqref="C31">
    <cfRule type="cellIs" dxfId="228" priority="7" stopIfTrue="1" operator="greaterThan">
      <formula>$C$33*0.1</formula>
    </cfRule>
  </conditionalFormatting>
  <conditionalFormatting sqref="D31">
    <cfRule type="cellIs" dxfId="227" priority="8" stopIfTrue="1" operator="greaterThan">
      <formula>$D$33*0.1</formula>
    </cfRule>
  </conditionalFormatting>
  <conditionalFormatting sqref="D33">
    <cfRule type="cellIs" dxfId="226" priority="9" stopIfTrue="1" operator="greaterThan">
      <formula>$D$35</formula>
    </cfRule>
  </conditionalFormatting>
  <conditionalFormatting sqref="C33">
    <cfRule type="cellIs" dxfId="225" priority="10" stopIfTrue="1" operator="greaterThan">
      <formula>$C$35</formula>
    </cfRule>
  </conditionalFormatting>
  <conditionalFormatting sqref="C34 C74">
    <cfRule type="cellIs" dxfId="224" priority="11" stopIfTrue="1" operator="lessThan">
      <formula>0</formula>
    </cfRule>
  </conditionalFormatting>
  <conditionalFormatting sqref="C71">
    <cfRule type="cellIs" dxfId="223" priority="12" stopIfTrue="1" operator="greaterThan">
      <formula>$C$73*0.1</formula>
    </cfRule>
  </conditionalFormatting>
  <conditionalFormatting sqref="D71">
    <cfRule type="cellIs" dxfId="222" priority="13" stopIfTrue="1" operator="greaterThan">
      <formula>$D$73*0.1</formula>
    </cfRule>
  </conditionalFormatting>
  <conditionalFormatting sqref="D73">
    <cfRule type="cellIs" dxfId="221" priority="14" stopIfTrue="1" operator="greaterThan">
      <formula>$D$75</formula>
    </cfRule>
  </conditionalFormatting>
  <conditionalFormatting sqref="C73">
    <cfRule type="cellIs" dxfId="220" priority="15" stopIfTrue="1" operator="greaterThan">
      <formula>$C$75</formula>
    </cfRule>
  </conditionalFormatting>
  <conditionalFormatting sqref="D18">
    <cfRule type="cellIs" dxfId="219" priority="16" stopIfTrue="1" operator="greaterThan">
      <formula>$D$20*0.1</formula>
    </cfRule>
  </conditionalFormatting>
  <conditionalFormatting sqref="C18">
    <cfRule type="cellIs" dxfId="218" priority="17" stopIfTrue="1" operator="greaterThan">
      <formula>$C$20*0.1</formula>
    </cfRule>
  </conditionalFormatting>
  <conditionalFormatting sqref="D58">
    <cfRule type="cellIs" dxfId="217" priority="18" stopIfTrue="1" operator="greaterThan">
      <formula>$D$60*0.1</formula>
    </cfRule>
  </conditionalFormatting>
  <conditionalFormatting sqref="C58">
    <cfRule type="cellIs" dxfId="216" priority="19" stopIfTrue="1" operator="greaterThan">
      <formula>$C$60*0.1</formula>
    </cfRule>
  </conditionalFormatting>
  <conditionalFormatting sqref="E58">
    <cfRule type="cellIs" dxfId="215" priority="20" stopIfTrue="1" operator="greaterThan">
      <formula>$E$60*0.1+E80</formula>
    </cfRule>
  </conditionalFormatting>
  <conditionalFormatting sqref="E18">
    <cfRule type="cellIs" dxfId="214" priority="21" stopIfTrue="1" operator="greaterThan">
      <formula>$E$20*0.1+E40</formula>
    </cfRule>
  </conditionalFormatting>
  <conditionalFormatting sqref="D74 D34">
    <cfRule type="cellIs" dxfId="213" priority="2" stopIfTrue="1" operator="lessThan">
      <formula>0</formula>
    </cfRule>
  </conditionalFormatting>
  <pageMargins left="0.5" right="0.5" top="1" bottom="0.5" header="0.5" footer="0.5"/>
  <pageSetup scale="53" orientation="portrait" blackAndWhite="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3"/>
  <sheetViews>
    <sheetView zoomScaleNormal="100" workbookViewId="0">
      <selection activeCell="J14" sqref="J14"/>
    </sheetView>
  </sheetViews>
  <sheetFormatPr defaultColWidth="8.88671875" defaultRowHeight="15.75"/>
  <cols>
    <col min="1" max="1" width="2.44140625" style="121" customWidth="1"/>
    <col min="2" max="2" width="31.109375" style="121" customWidth="1"/>
    <col min="3" max="4" width="15.77734375" style="121" customWidth="1"/>
    <col min="5" max="5" width="16.21875" style="121" customWidth="1"/>
    <col min="6" max="6" width="8.109375" style="121" customWidth="1"/>
    <col min="7" max="7" width="10.21875" style="121" customWidth="1"/>
    <col min="8" max="8" width="8.88671875" style="121"/>
    <col min="9" max="9" width="5" style="121" customWidth="1"/>
    <col min="10" max="10" width="10" style="121" customWidth="1"/>
    <col min="11" max="16384" width="8.88671875" style="121"/>
  </cols>
  <sheetData>
    <row r="1" spans="2:5">
      <c r="B1" s="105" t="str">
        <f>(inputPrYr!D2)</f>
        <v>City of Hiawatha</v>
      </c>
      <c r="C1" s="85"/>
      <c r="D1" s="85"/>
      <c r="E1" s="343">
        <f>inputPrYr!C5</f>
        <v>2014</v>
      </c>
    </row>
    <row r="2" spans="2:5">
      <c r="B2" s="85"/>
      <c r="C2" s="85"/>
      <c r="D2" s="85"/>
      <c r="E2" s="118"/>
    </row>
    <row r="3" spans="2:5">
      <c r="B3" s="318" t="s">
        <v>173</v>
      </c>
      <c r="C3" s="107"/>
      <c r="D3" s="107"/>
      <c r="E3" s="352"/>
    </row>
    <row r="4" spans="2:5">
      <c r="B4" s="103" t="s">
        <v>105</v>
      </c>
      <c r="C4" s="321" t="s">
        <v>848</v>
      </c>
      <c r="D4" s="322" t="s">
        <v>849</v>
      </c>
      <c r="E4" s="96" t="s">
        <v>850</v>
      </c>
    </row>
    <row r="5" spans="2:5">
      <c r="B5" s="560">
        <f>inputPrYr!B25</f>
        <v>0</v>
      </c>
      <c r="C5" s="323" t="str">
        <f>CONCATENATE("Actual for ",E1-2,"")</f>
        <v>Actual for 2012</v>
      </c>
      <c r="D5" s="323" t="str">
        <f>CONCATENATE("Estimate for ",E1-1,"")</f>
        <v>Estimate for 2013</v>
      </c>
      <c r="E5" s="324" t="str">
        <f>CONCATENATE("Year for ",E1,"")</f>
        <v>Year for 2014</v>
      </c>
    </row>
    <row r="6" spans="2:5">
      <c r="B6" s="274" t="s">
        <v>228</v>
      </c>
      <c r="C6" s="325"/>
      <c r="D6" s="326">
        <f>C34</f>
        <v>0</v>
      </c>
      <c r="E6" s="327">
        <f>D34</f>
        <v>0</v>
      </c>
    </row>
    <row r="7" spans="2:5">
      <c r="B7" s="346" t="s">
        <v>230</v>
      </c>
      <c r="C7" s="217"/>
      <c r="D7" s="217"/>
      <c r="E7" s="100"/>
    </row>
    <row r="8" spans="2:5">
      <c r="B8" s="177" t="s">
        <v>106</v>
      </c>
      <c r="C8" s="325"/>
      <c r="D8" s="326">
        <f>IF(inputPrYr!H16&gt;0,inputPrYr!G25,inputPrYr!E25)</f>
        <v>0</v>
      </c>
      <c r="E8" s="354" t="s">
        <v>94</v>
      </c>
    </row>
    <row r="9" spans="2:5">
      <c r="B9" s="177" t="s">
        <v>107</v>
      </c>
      <c r="C9" s="325"/>
      <c r="D9" s="325"/>
      <c r="E9" s="137"/>
    </row>
    <row r="10" spans="2:5">
      <c r="B10" s="177" t="s">
        <v>108</v>
      </c>
      <c r="C10" s="325"/>
      <c r="D10" s="325"/>
      <c r="E10" s="327" t="str">
        <f>mvalloc!D14</f>
        <v xml:space="preserve">  </v>
      </c>
    </row>
    <row r="11" spans="2:5">
      <c r="B11" s="177" t="s">
        <v>109</v>
      </c>
      <c r="C11" s="325"/>
      <c r="D11" s="325"/>
      <c r="E11" s="327" t="str">
        <f>mvalloc!E14</f>
        <v xml:space="preserve"> </v>
      </c>
    </row>
    <row r="12" spans="2:5">
      <c r="B12" s="217" t="s">
        <v>205</v>
      </c>
      <c r="C12" s="325"/>
      <c r="D12" s="325"/>
      <c r="E12" s="327" t="str">
        <f>mvalloc!F14</f>
        <v xml:space="preserve"> </v>
      </c>
    </row>
    <row r="13" spans="2:5">
      <c r="B13" s="329"/>
      <c r="C13" s="325"/>
      <c r="D13" s="325"/>
      <c r="E13" s="137"/>
    </row>
    <row r="14" spans="2:5">
      <c r="B14" s="329"/>
      <c r="C14" s="325"/>
      <c r="D14" s="325"/>
      <c r="E14" s="137"/>
    </row>
    <row r="15" spans="2:5">
      <c r="B15" s="329"/>
      <c r="C15" s="325"/>
      <c r="D15" s="325"/>
      <c r="E15" s="137"/>
    </row>
    <row r="16" spans="2:5">
      <c r="B16" s="329"/>
      <c r="C16" s="325"/>
      <c r="D16" s="325"/>
      <c r="E16" s="137"/>
    </row>
    <row r="17" spans="2:10">
      <c r="B17" s="347" t="s">
        <v>113</v>
      </c>
      <c r="C17" s="325"/>
      <c r="D17" s="325"/>
      <c r="E17" s="137"/>
    </row>
    <row r="18" spans="2:10">
      <c r="B18" s="217" t="s">
        <v>14</v>
      </c>
      <c r="C18" s="325"/>
      <c r="D18" s="325"/>
      <c r="E18" s="137"/>
    </row>
    <row r="19" spans="2:10">
      <c r="B19" s="274" t="s">
        <v>774</v>
      </c>
      <c r="C19" s="333" t="str">
        <f>IF(C20*0.1&lt;C18,"Exceed 10% Rule","")</f>
        <v/>
      </c>
      <c r="D19" s="333" t="str">
        <f>IF(D20*0.1&lt;D18,"Exceed 10% Rule","")</f>
        <v/>
      </c>
      <c r="E19" s="340" t="str">
        <f>IF(E20*0.1+E40&lt;E18,"Exceed 10% Rule","")</f>
        <v/>
      </c>
    </row>
    <row r="20" spans="2:10">
      <c r="B20" s="335" t="s">
        <v>114</v>
      </c>
      <c r="C20" s="337">
        <f>SUM(C8:C18)</f>
        <v>0</v>
      </c>
      <c r="D20" s="337">
        <f>SUM(D8:D18)</f>
        <v>0</v>
      </c>
      <c r="E20" s="338">
        <f>SUM(E8:E18)</f>
        <v>0</v>
      </c>
    </row>
    <row r="21" spans="2:10">
      <c r="B21" s="335" t="s">
        <v>115</v>
      </c>
      <c r="C21" s="337">
        <f>C6+C20</f>
        <v>0</v>
      </c>
      <c r="D21" s="337">
        <f>D6+D20</f>
        <v>0</v>
      </c>
      <c r="E21" s="338">
        <f>E6+E20</f>
        <v>0</v>
      </c>
    </row>
    <row r="22" spans="2:10">
      <c r="B22" s="177" t="s">
        <v>117</v>
      </c>
      <c r="C22" s="339"/>
      <c r="D22" s="339"/>
      <c r="E22" s="102"/>
    </row>
    <row r="23" spans="2:10">
      <c r="B23" s="329"/>
      <c r="C23" s="325"/>
      <c r="D23" s="325"/>
      <c r="E23" s="137"/>
    </row>
    <row r="24" spans="2:10">
      <c r="B24" s="329"/>
      <c r="C24" s="325"/>
      <c r="D24" s="325"/>
      <c r="E24" s="137"/>
      <c r="G24" s="895" t="str">
        <f>CONCATENATE("Desired Carryover Into ",E1+1,"")</f>
        <v>Desired Carryover Into 2015</v>
      </c>
      <c r="H24" s="893"/>
      <c r="I24" s="893"/>
      <c r="J24" s="894"/>
    </row>
    <row r="25" spans="2:10">
      <c r="B25" s="329"/>
      <c r="C25" s="325"/>
      <c r="D25" s="325"/>
      <c r="E25" s="137"/>
      <c r="G25" s="657"/>
      <c r="H25" s="658"/>
      <c r="I25" s="659"/>
      <c r="J25" s="660"/>
    </row>
    <row r="26" spans="2:10">
      <c r="B26" s="329"/>
      <c r="C26" s="325"/>
      <c r="D26" s="325"/>
      <c r="E26" s="137"/>
      <c r="G26" s="661" t="s">
        <v>782</v>
      </c>
      <c r="H26" s="659"/>
      <c r="I26" s="659"/>
      <c r="J26" s="662">
        <v>0</v>
      </c>
    </row>
    <row r="27" spans="2:10">
      <c r="B27" s="329"/>
      <c r="C27" s="325"/>
      <c r="D27" s="325"/>
      <c r="E27" s="137"/>
      <c r="G27" s="657" t="s">
        <v>783</v>
      </c>
      <c r="H27" s="658"/>
      <c r="I27" s="658"/>
      <c r="J27" s="693" t="str">
        <f>IF(J26=0,"",ROUND((J26+E40-G39)/summ!F53*1000,3)-G44)</f>
        <v/>
      </c>
    </row>
    <row r="28" spans="2:10">
      <c r="B28" s="329"/>
      <c r="C28" s="325"/>
      <c r="D28" s="325"/>
      <c r="E28" s="137"/>
      <c r="G28" s="664" t="str">
        <f>CONCATENATE("",E1," Tot Exp/Non-Appr Must Be:")</f>
        <v>2014 Tot Exp/Non-Appr Must Be:</v>
      </c>
      <c r="H28" s="665"/>
      <c r="I28" s="666"/>
      <c r="J28" s="667">
        <f>IF(J26&gt;0,IF(E37&lt;E21,IF(J26=G39,E37,((J26-G39)*(1-D39))+E21),E37+(J26-G39)),0)</f>
        <v>0</v>
      </c>
    </row>
    <row r="29" spans="2:10">
      <c r="B29" s="329"/>
      <c r="C29" s="325"/>
      <c r="D29" s="325"/>
      <c r="E29" s="137"/>
      <c r="G29" s="668" t="s">
        <v>851</v>
      </c>
      <c r="H29" s="669"/>
      <c r="I29" s="669"/>
      <c r="J29" s="670">
        <f>IF(J26&gt;0,J28-E37,0)</f>
        <v>0</v>
      </c>
    </row>
    <row r="30" spans="2:10">
      <c r="B30" s="339" t="s">
        <v>13</v>
      </c>
      <c r="C30" s="325"/>
      <c r="D30" s="325"/>
      <c r="E30" s="151" t="str">
        <f>nhood!E13</f>
        <v/>
      </c>
      <c r="J30" s="3"/>
    </row>
    <row r="31" spans="2:10">
      <c r="B31" s="339" t="s">
        <v>14</v>
      </c>
      <c r="C31" s="325"/>
      <c r="D31" s="325"/>
      <c r="E31" s="137"/>
      <c r="G31" s="895" t="str">
        <f>CONCATENATE("Projected Carryover Into ",E1+1,"")</f>
        <v>Projected Carryover Into 2015</v>
      </c>
      <c r="H31" s="897"/>
      <c r="I31" s="897"/>
      <c r="J31" s="899"/>
    </row>
    <row r="32" spans="2:10">
      <c r="B32" s="339" t="s">
        <v>773</v>
      </c>
      <c r="C32" s="333" t="str">
        <f>IF(C33*0.1&lt;C31,"Exceed 10% Rule","")</f>
        <v/>
      </c>
      <c r="D32" s="333" t="str">
        <f>IF(D33*0.1&lt;D31,"Exceed 10% Rule","")</f>
        <v/>
      </c>
      <c r="E32" s="340" t="str">
        <f>IF(E33*0.1&lt;E31,"Exceed 10% Rule","")</f>
        <v/>
      </c>
      <c r="G32" s="657"/>
      <c r="H32" s="659"/>
      <c r="I32" s="659"/>
      <c r="J32" s="770"/>
    </row>
    <row r="33" spans="2:11">
      <c r="B33" s="335" t="s">
        <v>121</v>
      </c>
      <c r="C33" s="337">
        <f>SUM(C23:C31)</f>
        <v>0</v>
      </c>
      <c r="D33" s="337">
        <f>SUM(D23:D31)</f>
        <v>0</v>
      </c>
      <c r="E33" s="338">
        <f>SUM(E23:E31)</f>
        <v>0</v>
      </c>
      <c r="G33" s="697">
        <f>D34</f>
        <v>0</v>
      </c>
      <c r="H33" s="683" t="str">
        <f>CONCATENATE("",E1-1," Ending Cash Balance (est.)")</f>
        <v>2013 Ending Cash Balance (est.)</v>
      </c>
      <c r="I33" s="698"/>
      <c r="J33" s="770"/>
    </row>
    <row r="34" spans="2:11">
      <c r="B34" s="177" t="s">
        <v>229</v>
      </c>
      <c r="C34" s="341">
        <f>C21-C33</f>
        <v>0</v>
      </c>
      <c r="D34" s="341">
        <f>D21-D33</f>
        <v>0</v>
      </c>
      <c r="E34" s="354" t="s">
        <v>94</v>
      </c>
      <c r="G34" s="697">
        <f>E20</f>
        <v>0</v>
      </c>
      <c r="H34" s="659" t="str">
        <f>CONCATENATE("",E1," Non-AV Receipts (est.)")</f>
        <v>2014 Non-AV Receipts (est.)</v>
      </c>
      <c r="I34" s="698"/>
      <c r="J34" s="770"/>
    </row>
    <row r="35" spans="2:11">
      <c r="B35" s="119" t="str">
        <f>CONCATENATE("",E1-2,"/",E1-1," Budget Authority Amount:")</f>
        <v>2012/2013 Budget Authority Amount:</v>
      </c>
      <c r="C35" s="280">
        <f>inputOth!B68</f>
        <v>0</v>
      </c>
      <c r="D35" s="280">
        <f>inputPrYr!D25</f>
        <v>0</v>
      </c>
      <c r="E35" s="354" t="s">
        <v>94</v>
      </c>
      <c r="F35" s="356"/>
      <c r="G35" s="699">
        <f>IF(E39&gt;0,E38,E40)</f>
        <v>0</v>
      </c>
      <c r="H35" s="659" t="str">
        <f>CONCATENATE("",E1," Ad Valorem Tax (est.)")</f>
        <v>2014 Ad Valorem Tax (est.)</v>
      </c>
      <c r="I35" s="698"/>
      <c r="J35" s="771"/>
      <c r="K35" s="768" t="str">
        <f>IF(G35=E40,"","Note: Does not include Delinquent Taxes")</f>
        <v/>
      </c>
    </row>
    <row r="36" spans="2:11">
      <c r="B36" s="119"/>
      <c r="C36" s="886" t="s">
        <v>778</v>
      </c>
      <c r="D36" s="887"/>
      <c r="E36" s="137"/>
      <c r="F36" s="785" t="str">
        <f>IF(E33/0.95-E33&lt;E36,"Exceeds 5%","")</f>
        <v/>
      </c>
      <c r="G36" s="697">
        <f>SUM(G33:G35)</f>
        <v>0</v>
      </c>
      <c r="H36" s="659" t="str">
        <f>CONCATENATE("Total ",E1," Resources Available")</f>
        <v>Total 2014 Resources Available</v>
      </c>
      <c r="I36" s="698"/>
      <c r="J36" s="770"/>
    </row>
    <row r="37" spans="2:11">
      <c r="B37" s="603" t="str">
        <f>CONCATENATE(C90,"     ",D90)</f>
        <v xml:space="preserve">     </v>
      </c>
      <c r="C37" s="888" t="s">
        <v>779</v>
      </c>
      <c r="D37" s="889"/>
      <c r="E37" s="327">
        <f>E33+E36</f>
        <v>0</v>
      </c>
      <c r="G37" s="772"/>
      <c r="H37" s="659"/>
      <c r="I37" s="659"/>
      <c r="J37" s="770"/>
    </row>
    <row r="38" spans="2:11">
      <c r="B38" s="603" t="str">
        <f>CONCATENATE(C91,"      ",D91)</f>
        <v xml:space="preserve">      </v>
      </c>
      <c r="C38" s="342"/>
      <c r="D38" s="118" t="s">
        <v>122</v>
      </c>
      <c r="E38" s="151">
        <f>IF(E37-E21&gt;0,E37-E21,0)</f>
        <v>0</v>
      </c>
      <c r="G38" s="699">
        <f>ROUND(C33*0.05+C33,0)</f>
        <v>0</v>
      </c>
      <c r="H38" s="659" t="str">
        <f>CONCATENATE("Less ",E1-2," Expenditures + 5%")</f>
        <v>Less 2012 Expenditures + 5%</v>
      </c>
      <c r="I38" s="698"/>
      <c r="J38" s="770"/>
    </row>
    <row r="39" spans="2:11">
      <c r="B39" s="118"/>
      <c r="C39" s="599" t="s">
        <v>780</v>
      </c>
      <c r="D39" s="678">
        <f>inputOth!$E$48</f>
        <v>2.5000000000000001E-2</v>
      </c>
      <c r="E39" s="327">
        <f>ROUND(IF(D39&gt;0,(E38*D39),0),0)</f>
        <v>0</v>
      </c>
      <c r="G39" s="773">
        <f>G36-G38</f>
        <v>0</v>
      </c>
      <c r="H39" s="774" t="str">
        <f>CONCATENATE("Projected ",E1+1," carryover (est.)")</f>
        <v>Projected 2015 carryover (est.)</v>
      </c>
      <c r="I39" s="775"/>
      <c r="J39" s="707"/>
    </row>
    <row r="40" spans="2:11" ht="16.5" thickBot="1">
      <c r="B40" s="166"/>
      <c r="C40" s="884" t="str">
        <f>CONCATENATE("Amount of  ",$E$1-1," Ad Valorem Tax")</f>
        <v>Amount of  2013 Ad Valorem Tax</v>
      </c>
      <c r="D40" s="885"/>
      <c r="E40" s="681">
        <f>E38+E39</f>
        <v>0</v>
      </c>
      <c r="G40" s="3"/>
      <c r="H40" s="3"/>
      <c r="I40" s="3"/>
      <c r="J40" s="3"/>
    </row>
    <row r="41" spans="2:11" ht="16.5" thickTop="1">
      <c r="B41" s="85"/>
      <c r="C41" s="166"/>
      <c r="D41" s="166"/>
      <c r="E41" s="85"/>
      <c r="G41" s="881" t="s">
        <v>853</v>
      </c>
      <c r="H41" s="882"/>
      <c r="I41" s="882"/>
      <c r="J41" s="883"/>
    </row>
    <row r="42" spans="2:11">
      <c r="B42" s="103"/>
      <c r="C42" s="90"/>
      <c r="D42" s="90"/>
      <c r="E42" s="90"/>
      <c r="G42" s="682"/>
      <c r="H42" s="683"/>
      <c r="I42" s="684"/>
      <c r="J42" s="685"/>
    </row>
    <row r="43" spans="2:11">
      <c r="B43" s="103" t="s">
        <v>105</v>
      </c>
      <c r="C43" s="321" t="s">
        <v>848</v>
      </c>
      <c r="D43" s="322" t="s">
        <v>854</v>
      </c>
      <c r="E43" s="96" t="s">
        <v>850</v>
      </c>
      <c r="G43" s="686" t="str">
        <f>summ!H22</f>
        <v xml:space="preserve">  </v>
      </c>
      <c r="H43" s="683" t="str">
        <f>CONCATENATE("",E1," Fund Mill Rate")</f>
        <v>2014 Fund Mill Rate</v>
      </c>
      <c r="I43" s="684"/>
      <c r="J43" s="685"/>
    </row>
    <row r="44" spans="2:11">
      <c r="B44" s="560">
        <f>inputPrYr!B26</f>
        <v>0</v>
      </c>
      <c r="C44" s="323" t="str">
        <f>C5</f>
        <v>Actual for 2012</v>
      </c>
      <c r="D44" s="323" t="str">
        <f>D5</f>
        <v>Estimate for 2013</v>
      </c>
      <c r="E44" s="324" t="str">
        <f>E5</f>
        <v>Year for 2014</v>
      </c>
      <c r="G44" s="688" t="str">
        <f>summ!E22</f>
        <v xml:space="preserve">  </v>
      </c>
      <c r="H44" s="683" t="str">
        <f>CONCATENATE("",E1-1," Fund Mill Rate")</f>
        <v>2013 Fund Mill Rate</v>
      </c>
      <c r="I44" s="684"/>
      <c r="J44" s="685"/>
    </row>
    <row r="45" spans="2:11">
      <c r="B45" s="274" t="s">
        <v>228</v>
      </c>
      <c r="C45" s="325"/>
      <c r="D45" s="326">
        <f>C74</f>
        <v>0</v>
      </c>
      <c r="E45" s="327">
        <f>D74</f>
        <v>0</v>
      </c>
      <c r="G45" s="689">
        <f>summ!H48</f>
        <v>45.787999999999997</v>
      </c>
      <c r="H45" s="683" t="str">
        <f>CONCATENATE("Total ",E1," Mill Rate")</f>
        <v>Total 2014 Mill Rate</v>
      </c>
      <c r="I45" s="684"/>
      <c r="J45" s="685"/>
    </row>
    <row r="46" spans="2:11">
      <c r="B46" s="346" t="s">
        <v>230</v>
      </c>
      <c r="C46" s="217"/>
      <c r="D46" s="217"/>
      <c r="E46" s="100"/>
      <c r="G46" s="688">
        <f>summ!E48</f>
        <v>47.76</v>
      </c>
      <c r="H46" s="690" t="str">
        <f>CONCATENATE("Total ",E1-1," Mill Rate")</f>
        <v>Total 2013 Mill Rate</v>
      </c>
      <c r="I46" s="691"/>
      <c r="J46" s="692"/>
    </row>
    <row r="47" spans="2:11">
      <c r="B47" s="177" t="s">
        <v>106</v>
      </c>
      <c r="C47" s="325"/>
      <c r="D47" s="326">
        <f>IF(inputPrYr!H16&gt;0,inputPrYr!G26,inputPrYr!E26)</f>
        <v>0</v>
      </c>
      <c r="E47" s="354" t="s">
        <v>94</v>
      </c>
    </row>
    <row r="48" spans="2:11">
      <c r="B48" s="177" t="s">
        <v>107</v>
      </c>
      <c r="C48" s="325"/>
      <c r="D48" s="325"/>
      <c r="E48" s="137"/>
      <c r="G48" s="820" t="s">
        <v>1031</v>
      </c>
      <c r="H48" s="819"/>
      <c r="I48" s="818" t="str">
        <f>cert!F54</f>
        <v>Yes</v>
      </c>
    </row>
    <row r="49" spans="2:10">
      <c r="B49" s="177" t="s">
        <v>108</v>
      </c>
      <c r="C49" s="325"/>
      <c r="D49" s="325"/>
      <c r="E49" s="327" t="str">
        <f>mvalloc!D15</f>
        <v xml:space="preserve">  </v>
      </c>
    </row>
    <row r="50" spans="2:10">
      <c r="B50" s="177" t="s">
        <v>109</v>
      </c>
      <c r="C50" s="325"/>
      <c r="D50" s="325"/>
      <c r="E50" s="327" t="str">
        <f>mvalloc!E15</f>
        <v xml:space="preserve"> </v>
      </c>
    </row>
    <row r="51" spans="2:10">
      <c r="B51" s="217" t="s">
        <v>205</v>
      </c>
      <c r="C51" s="325"/>
      <c r="D51" s="325"/>
      <c r="E51" s="327" t="str">
        <f>mvalloc!F15</f>
        <v xml:space="preserve"> </v>
      </c>
    </row>
    <row r="52" spans="2:10">
      <c r="B52" s="329"/>
      <c r="C52" s="325"/>
      <c r="D52" s="325"/>
      <c r="E52" s="137"/>
    </row>
    <row r="53" spans="2:10">
      <c r="B53" s="329"/>
      <c r="C53" s="325"/>
      <c r="D53" s="325"/>
      <c r="E53" s="137"/>
    </row>
    <row r="54" spans="2:10">
      <c r="B54" s="329"/>
      <c r="C54" s="325"/>
      <c r="D54" s="325"/>
      <c r="E54" s="137"/>
    </row>
    <row r="55" spans="2:10">
      <c r="B55" s="329"/>
      <c r="C55" s="325"/>
      <c r="D55" s="325"/>
      <c r="E55" s="137"/>
    </row>
    <row r="56" spans="2:10">
      <c r="B56" s="329"/>
      <c r="C56" s="325"/>
      <c r="D56" s="325"/>
      <c r="E56" s="137"/>
    </row>
    <row r="57" spans="2:10">
      <c r="B57" s="347" t="s">
        <v>113</v>
      </c>
      <c r="C57" s="325"/>
      <c r="D57" s="325"/>
      <c r="E57" s="137"/>
    </row>
    <row r="58" spans="2:10">
      <c r="B58" s="217" t="s">
        <v>14</v>
      </c>
      <c r="C58" s="325"/>
      <c r="D58" s="325"/>
      <c r="E58" s="137"/>
    </row>
    <row r="59" spans="2:10">
      <c r="B59" s="274" t="s">
        <v>774</v>
      </c>
      <c r="C59" s="333" t="str">
        <f>IF(C60*0.1&lt;C58,"Exceed 10% Rule","")</f>
        <v/>
      </c>
      <c r="D59" s="333" t="str">
        <f>IF(D60*0.1&lt;D58,"Exceed 10% Rule","")</f>
        <v/>
      </c>
      <c r="E59" s="340" t="str">
        <f>IF(E60*0.1+E80&lt;E58,"Exceed 10% Rule","")</f>
        <v/>
      </c>
    </row>
    <row r="60" spans="2:10">
      <c r="B60" s="335" t="s">
        <v>114</v>
      </c>
      <c r="C60" s="337">
        <f>SUM(C47:C58)</f>
        <v>0</v>
      </c>
      <c r="D60" s="337">
        <f>SUM(D47:D58)</f>
        <v>0</v>
      </c>
      <c r="E60" s="338">
        <f>SUM(E47:E58)</f>
        <v>0</v>
      </c>
    </row>
    <row r="61" spans="2:10">
      <c r="B61" s="335" t="s">
        <v>115</v>
      </c>
      <c r="C61" s="337">
        <f>C45+C60</f>
        <v>0</v>
      </c>
      <c r="D61" s="337">
        <f>D45+D60</f>
        <v>0</v>
      </c>
      <c r="E61" s="338">
        <f>E45+E60</f>
        <v>0</v>
      </c>
    </row>
    <row r="62" spans="2:10">
      <c r="B62" s="177" t="s">
        <v>117</v>
      </c>
      <c r="C62" s="339"/>
      <c r="D62" s="339"/>
      <c r="E62" s="102"/>
    </row>
    <row r="63" spans="2:10">
      <c r="B63" s="329"/>
      <c r="C63" s="325"/>
      <c r="D63" s="325"/>
      <c r="E63" s="137"/>
    </row>
    <row r="64" spans="2:10">
      <c r="B64" s="329"/>
      <c r="C64" s="325"/>
      <c r="D64" s="325"/>
      <c r="E64" s="137"/>
      <c r="G64" s="895" t="str">
        <f>CONCATENATE("Desired Carryover Into ",E1+1,"")</f>
        <v>Desired Carryover Into 2015</v>
      </c>
      <c r="H64" s="893"/>
      <c r="I64" s="893"/>
      <c r="J64" s="894"/>
    </row>
    <row r="65" spans="2:11">
      <c r="B65" s="329"/>
      <c r="C65" s="325"/>
      <c r="D65" s="325"/>
      <c r="E65" s="137"/>
      <c r="G65" s="657"/>
      <c r="H65" s="658"/>
      <c r="I65" s="659"/>
      <c r="J65" s="660"/>
    </row>
    <row r="66" spans="2:11">
      <c r="B66" s="329"/>
      <c r="C66" s="325"/>
      <c r="D66" s="325"/>
      <c r="E66" s="137"/>
      <c r="G66" s="661" t="s">
        <v>782</v>
      </c>
      <c r="H66" s="659"/>
      <c r="I66" s="659"/>
      <c r="J66" s="662">
        <v>0</v>
      </c>
    </row>
    <row r="67" spans="2:11">
      <c r="B67" s="329"/>
      <c r="C67" s="325"/>
      <c r="D67" s="325"/>
      <c r="E67" s="137"/>
      <c r="G67" s="657" t="s">
        <v>783</v>
      </c>
      <c r="H67" s="658"/>
      <c r="I67" s="658"/>
      <c r="J67" s="693" t="str">
        <f>IF(J66=0,"",ROUND((J66+E80-G79)/summ!F53*1000,3)-G84)</f>
        <v/>
      </c>
    </row>
    <row r="68" spans="2:11">
      <c r="B68" s="329"/>
      <c r="C68" s="325"/>
      <c r="D68" s="325"/>
      <c r="E68" s="137"/>
      <c r="G68" s="664" t="str">
        <f>CONCATENATE("",E1," Tot Exp/Non-Appr Must Be:")</f>
        <v>2014 Tot Exp/Non-Appr Must Be:</v>
      </c>
      <c r="H68" s="665"/>
      <c r="I68" s="666"/>
      <c r="J68" s="667">
        <f>IF(J66&gt;0,IF(E77&lt;E61,IF(J66=G79,E77,((J66-G79)*(1-D79))+E61),E77+(J66-G79)),0)</f>
        <v>0</v>
      </c>
    </row>
    <row r="69" spans="2:11">
      <c r="B69" s="329"/>
      <c r="C69" s="325"/>
      <c r="D69" s="325"/>
      <c r="E69" s="557"/>
      <c r="G69" s="668" t="s">
        <v>851</v>
      </c>
      <c r="H69" s="669"/>
      <c r="I69" s="669"/>
      <c r="J69" s="670">
        <f>IF(J66&gt;0,J68-E77,0)</f>
        <v>0</v>
      </c>
    </row>
    <row r="70" spans="2:11">
      <c r="B70" s="339" t="s">
        <v>13</v>
      </c>
      <c r="C70" s="325"/>
      <c r="D70" s="325"/>
      <c r="E70" s="151" t="str">
        <f>nhood!E14</f>
        <v/>
      </c>
      <c r="J70" s="3"/>
    </row>
    <row r="71" spans="2:11">
      <c r="B71" s="339" t="s">
        <v>14</v>
      </c>
      <c r="C71" s="325"/>
      <c r="D71" s="325"/>
      <c r="E71" s="137"/>
      <c r="G71" s="895" t="str">
        <f>CONCATENATE("Projected Carryover Into ",E1+1,"")</f>
        <v>Projected Carryover Into 2015</v>
      </c>
      <c r="H71" s="898"/>
      <c r="I71" s="898"/>
      <c r="J71" s="899"/>
    </row>
    <row r="72" spans="2:11">
      <c r="B72" s="339" t="s">
        <v>773</v>
      </c>
      <c r="C72" s="333" t="str">
        <f>IF(C73*0.1&lt;C71,"Exceed 10% Rule","")</f>
        <v/>
      </c>
      <c r="D72" s="333" t="str">
        <f>IF(D73*0.1&lt;D71,"Exceed 10% Rule","")</f>
        <v/>
      </c>
      <c r="E72" s="340" t="str">
        <f>IF(E73*0.1&lt;E71,"Exceed 10% Rule","")</f>
        <v/>
      </c>
      <c r="G72" s="694"/>
      <c r="H72" s="658"/>
      <c r="I72" s="658"/>
      <c r="J72" s="695"/>
    </row>
    <row r="73" spans="2:11">
      <c r="B73" s="335" t="s">
        <v>121</v>
      </c>
      <c r="C73" s="337">
        <f>SUM(C63:C71)</f>
        <v>0</v>
      </c>
      <c r="D73" s="337">
        <f>SUM(D63:D71)</f>
        <v>0</v>
      </c>
      <c r="E73" s="338">
        <f>SUM(E63:E71)</f>
        <v>0</v>
      </c>
      <c r="G73" s="697">
        <f>D74</f>
        <v>0</v>
      </c>
      <c r="H73" s="683" t="str">
        <f>CONCATENATE("",E1-1," Ending Cash Balance (est.)")</f>
        <v>2013 Ending Cash Balance (est.)</v>
      </c>
      <c r="I73" s="698"/>
      <c r="J73" s="695"/>
    </row>
    <row r="74" spans="2:11">
      <c r="B74" s="177" t="s">
        <v>229</v>
      </c>
      <c r="C74" s="341">
        <f>C61-C73</f>
        <v>0</v>
      </c>
      <c r="D74" s="341">
        <f>D61-D73</f>
        <v>0</v>
      </c>
      <c r="E74" s="354" t="s">
        <v>94</v>
      </c>
      <c r="G74" s="697">
        <f>E60</f>
        <v>0</v>
      </c>
      <c r="H74" s="659" t="str">
        <f>CONCATENATE("",E1," Non-AV Receipts (est.)")</f>
        <v>2014 Non-AV Receipts (est.)</v>
      </c>
      <c r="I74" s="698"/>
      <c r="J74" s="695"/>
    </row>
    <row r="75" spans="2:11">
      <c r="B75" s="119" t="str">
        <f>CONCATENATE("",E1-2,"/",E1-1," Budget Authority Amount:")</f>
        <v>2012/2013 Budget Authority Amount:</v>
      </c>
      <c r="C75" s="280">
        <f>inputOth!B69</f>
        <v>0</v>
      </c>
      <c r="D75" s="280">
        <f>inputPrYr!D26</f>
        <v>0</v>
      </c>
      <c r="E75" s="354" t="s">
        <v>94</v>
      </c>
      <c r="F75" s="356"/>
      <c r="G75" s="699">
        <f>IF(D79&gt;0,E78,E80)</f>
        <v>0</v>
      </c>
      <c r="H75" s="659" t="str">
        <f>CONCATENATE("",E1," Ad Valorem Tax (est.)")</f>
        <v>2014 Ad Valorem Tax (est.)</v>
      </c>
      <c r="I75" s="698"/>
      <c r="J75" s="695"/>
      <c r="K75" s="768" t="str">
        <f>IF(G75=E80,"","Note: Does not include Delinquent Taxes")</f>
        <v/>
      </c>
    </row>
    <row r="76" spans="2:11">
      <c r="B76" s="119"/>
      <c r="C76" s="886" t="s">
        <v>778</v>
      </c>
      <c r="D76" s="887"/>
      <c r="E76" s="137"/>
      <c r="F76" s="785" t="str">
        <f>IF(E73/0.95-E73&lt;E76,"Exceeds 5%","")</f>
        <v/>
      </c>
      <c r="G76" s="700">
        <f>SUM(G73:G75)</f>
        <v>0</v>
      </c>
      <c r="H76" s="659" t="str">
        <f>CONCATENATE("Total ",E1," Resources Available")</f>
        <v>Total 2014 Resources Available</v>
      </c>
      <c r="I76" s="695"/>
      <c r="J76" s="695"/>
    </row>
    <row r="77" spans="2:11">
      <c r="B77" s="603" t="str">
        <f>CONCATENATE(C92,"     ",D92)</f>
        <v xml:space="preserve">     </v>
      </c>
      <c r="C77" s="888" t="s">
        <v>779</v>
      </c>
      <c r="D77" s="889"/>
      <c r="E77" s="327">
        <f>E73+E76</f>
        <v>0</v>
      </c>
      <c r="G77" s="701"/>
      <c r="H77" s="702"/>
      <c r="I77" s="658"/>
      <c r="J77" s="695"/>
    </row>
    <row r="78" spans="2:11">
      <c r="B78" s="603" t="str">
        <f>CONCATENATE(C93,"     ",D93)</f>
        <v xml:space="preserve">     </v>
      </c>
      <c r="C78" s="342"/>
      <c r="D78" s="118" t="s">
        <v>122</v>
      </c>
      <c r="E78" s="151">
        <f>IF(E77-E61&gt;0,E77-E61,0)</f>
        <v>0</v>
      </c>
      <c r="G78" s="703">
        <f>ROUND(C73*0.05+C73,0)</f>
        <v>0</v>
      </c>
      <c r="H78" s="659" t="str">
        <f>CONCATENATE("Less ",E1-2," Expenditures + 5%")</f>
        <v>Less 2012 Expenditures + 5%</v>
      </c>
      <c r="I78" s="695"/>
      <c r="J78" s="695"/>
    </row>
    <row r="79" spans="2:11">
      <c r="B79" s="118"/>
      <c r="C79" s="599" t="s">
        <v>780</v>
      </c>
      <c r="D79" s="678">
        <f>inputOth!$E$48</f>
        <v>2.5000000000000001E-2</v>
      </c>
      <c r="E79" s="327">
        <f>ROUND(IF(D79&gt;0,(E78*D79),0),0)</f>
        <v>0</v>
      </c>
      <c r="G79" s="704">
        <f>G76-G78</f>
        <v>0</v>
      </c>
      <c r="H79" s="774" t="str">
        <f>CONCATENATE("Projected ",E1+1," carryover (est.)")</f>
        <v>Projected 2015 carryover (est.)</v>
      </c>
      <c r="I79" s="706"/>
      <c r="J79" s="707"/>
    </row>
    <row r="80" spans="2:11" ht="16.5" thickBot="1">
      <c r="B80" s="85"/>
      <c r="C80" s="884" t="str">
        <f>CONCATENATE("Amount of  ",$E$1-1," Ad Valorem Tax")</f>
        <v>Amount of  2013 Ad Valorem Tax</v>
      </c>
      <c r="D80" s="885"/>
      <c r="E80" s="681">
        <f>E78+E79</f>
        <v>0</v>
      </c>
      <c r="G80" s="3"/>
      <c r="H80" s="3"/>
      <c r="I80" s="3"/>
    </row>
    <row r="81" spans="2:10" ht="16.5" thickTop="1">
      <c r="B81" s="85"/>
      <c r="C81" s="85"/>
      <c r="D81" s="85"/>
      <c r="E81" s="85"/>
      <c r="G81" s="881" t="s">
        <v>853</v>
      </c>
      <c r="H81" s="882"/>
      <c r="I81" s="882"/>
      <c r="J81" s="883"/>
    </row>
    <row r="82" spans="2:10">
      <c r="B82" s="118" t="s">
        <v>124</v>
      </c>
      <c r="C82" s="120"/>
      <c r="D82" s="85"/>
      <c r="E82" s="85"/>
      <c r="G82" s="682"/>
      <c r="H82" s="683"/>
      <c r="I82" s="684"/>
      <c r="J82" s="685"/>
    </row>
    <row r="83" spans="2:10">
      <c r="G83" s="686" t="str">
        <f>summ!H23</f>
        <v xml:space="preserve">  </v>
      </c>
      <c r="H83" s="683" t="str">
        <f>CONCATENATE("",E1," Fund Mill Rate")</f>
        <v>2014 Fund Mill Rate</v>
      </c>
      <c r="I83" s="684"/>
      <c r="J83" s="685"/>
    </row>
    <row r="84" spans="2:10">
      <c r="G84" s="688" t="str">
        <f>summ!E23</f>
        <v xml:space="preserve">  </v>
      </c>
      <c r="H84" s="683" t="str">
        <f>CONCATENATE("",E1-1," Fund Mill Rate")</f>
        <v>2013 Fund Mill Rate</v>
      </c>
      <c r="I84" s="684"/>
      <c r="J84" s="685"/>
    </row>
    <row r="85" spans="2:10">
      <c r="G85" s="689">
        <f>summ!H48</f>
        <v>45.787999999999997</v>
      </c>
      <c r="H85" s="683" t="str">
        <f>CONCATENATE("Total ",E1," Mill Rate")</f>
        <v>Total 2014 Mill Rate</v>
      </c>
      <c r="I85" s="684"/>
      <c r="J85" s="685"/>
    </row>
    <row r="86" spans="2:10">
      <c r="G86" s="688">
        <f>summ!E48</f>
        <v>47.76</v>
      </c>
      <c r="H86" s="690" t="str">
        <f>CONCATENATE("Total ",E1-1," Mill Rate")</f>
        <v>Total 2013 Mill Rate</v>
      </c>
      <c r="I86" s="691"/>
      <c r="J86" s="692"/>
    </row>
    <row r="88" spans="2:10">
      <c r="G88" s="823" t="s">
        <v>1031</v>
      </c>
      <c r="H88" s="822"/>
      <c r="I88" s="821" t="str">
        <f>cert!F54</f>
        <v>Yes</v>
      </c>
    </row>
    <row r="90" spans="2:10" hidden="1">
      <c r="C90" s="121" t="str">
        <f>IF(C33&gt;C35,"See Tab A","")</f>
        <v/>
      </c>
      <c r="D90" s="121" t="str">
        <f>IF(D33&gt;D35,"See Tab C","")</f>
        <v/>
      </c>
    </row>
    <row r="91" spans="2:10" hidden="1">
      <c r="C91" s="121" t="str">
        <f>IF(C34&lt;0,"See Tab B","")</f>
        <v/>
      </c>
      <c r="D91" s="121" t="str">
        <f>IF(D34&lt;0,"See Tab D","")</f>
        <v/>
      </c>
    </row>
    <row r="92" spans="2:10" hidden="1">
      <c r="C92" s="121" t="str">
        <f>IF(C73&gt;C75,"See Tab A","")</f>
        <v/>
      </c>
      <c r="D92" s="121" t="str">
        <f>IF(D73&gt;D75,"See Tab C","")</f>
        <v/>
      </c>
    </row>
    <row r="93" spans="2:10" hidden="1">
      <c r="C93" s="121" t="str">
        <f>IF(C74&lt;0,"See Tab B","")</f>
        <v/>
      </c>
      <c r="D93" s="121"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31">
    <cfRule type="cellIs" dxfId="212" priority="4" stopIfTrue="1" operator="greaterThan">
      <formula>$E$33*0.1</formula>
    </cfRule>
  </conditionalFormatting>
  <conditionalFormatting sqref="E36">
    <cfRule type="cellIs" dxfId="211" priority="5" stopIfTrue="1" operator="greaterThan">
      <formula>$E$33/0.95-$E$33</formula>
    </cfRule>
  </conditionalFormatting>
  <conditionalFormatting sqref="E71">
    <cfRule type="cellIs" dxfId="210" priority="6" stopIfTrue="1" operator="greaterThan">
      <formula>$E$73*0.1</formula>
    </cfRule>
  </conditionalFormatting>
  <conditionalFormatting sqref="E76">
    <cfRule type="cellIs" dxfId="209" priority="7" stopIfTrue="1" operator="greaterThan">
      <formula>$E$73/0.95-$E$73</formula>
    </cfRule>
  </conditionalFormatting>
  <conditionalFormatting sqref="C31">
    <cfRule type="cellIs" dxfId="208" priority="8" stopIfTrue="1" operator="greaterThan">
      <formula>$C$33*0.1</formula>
    </cfRule>
  </conditionalFormatting>
  <conditionalFormatting sqref="D31">
    <cfRule type="cellIs" dxfId="207" priority="9" stopIfTrue="1" operator="greaterThan">
      <formula>$D$33*0.1</formula>
    </cfRule>
  </conditionalFormatting>
  <conditionalFormatting sqref="D33">
    <cfRule type="cellIs" dxfId="206" priority="10" stopIfTrue="1" operator="greaterThan">
      <formula>$D$35</formula>
    </cfRule>
  </conditionalFormatting>
  <conditionalFormatting sqref="C33">
    <cfRule type="cellIs" dxfId="205" priority="11" stopIfTrue="1" operator="greaterThan">
      <formula>$C$35</formula>
    </cfRule>
  </conditionalFormatting>
  <conditionalFormatting sqref="C34 C74">
    <cfRule type="cellIs" dxfId="204" priority="12" stopIfTrue="1" operator="lessThan">
      <formula>0</formula>
    </cfRule>
  </conditionalFormatting>
  <conditionalFormatting sqref="C71">
    <cfRule type="cellIs" dxfId="203" priority="13" stopIfTrue="1" operator="greaterThan">
      <formula>$C$73*0.1</formula>
    </cfRule>
  </conditionalFormatting>
  <conditionalFormatting sqref="D71">
    <cfRule type="cellIs" dxfId="202" priority="14" stopIfTrue="1" operator="greaterThan">
      <formula>$D$73*0.1</formula>
    </cfRule>
  </conditionalFormatting>
  <conditionalFormatting sqref="D73">
    <cfRule type="cellIs" dxfId="201" priority="15" stopIfTrue="1" operator="greaterThan">
      <formula>$D$75</formula>
    </cfRule>
  </conditionalFormatting>
  <conditionalFormatting sqref="C73">
    <cfRule type="cellIs" dxfId="200" priority="16" stopIfTrue="1" operator="greaterThan">
      <formula>$C$75</formula>
    </cfRule>
  </conditionalFormatting>
  <conditionalFormatting sqref="D18">
    <cfRule type="cellIs" dxfId="199" priority="17" stopIfTrue="1" operator="greaterThan">
      <formula>$D$20*0.1</formula>
    </cfRule>
  </conditionalFormatting>
  <conditionalFormatting sqref="C18">
    <cfRule type="cellIs" dxfId="198" priority="18" stopIfTrue="1" operator="greaterThan">
      <formula>$C$20*0.1</formula>
    </cfRule>
  </conditionalFormatting>
  <conditionalFormatting sqref="D58">
    <cfRule type="cellIs" dxfId="197" priority="19" stopIfTrue="1" operator="greaterThan">
      <formula>$D$60*0.1</formula>
    </cfRule>
  </conditionalFormatting>
  <conditionalFormatting sqref="C58">
    <cfRule type="cellIs" dxfId="196" priority="20" stopIfTrue="1" operator="greaterThan">
      <formula>$C$60*0.1</formula>
    </cfRule>
  </conditionalFormatting>
  <conditionalFormatting sqref="E18">
    <cfRule type="cellIs" dxfId="195" priority="21" stopIfTrue="1" operator="greaterThan">
      <formula>$E$20*0.1+E40</formula>
    </cfRule>
  </conditionalFormatting>
  <conditionalFormatting sqref="D74 D34">
    <cfRule type="cellIs" dxfId="194" priority="3" stopIfTrue="1" operator="lessThan">
      <formula>0</formula>
    </cfRule>
  </conditionalFormatting>
  <conditionalFormatting sqref="E58">
    <cfRule type="cellIs" dxfId="193" priority="1" stopIfTrue="1" operator="greaterThan">
      <formula>$E$60*0.1+$E$80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3"/>
  <sheetViews>
    <sheetView zoomScaleNormal="100" workbookViewId="0">
      <selection activeCell="K4" sqref="K4"/>
    </sheetView>
  </sheetViews>
  <sheetFormatPr defaultColWidth="8.88671875" defaultRowHeight="15.75"/>
  <cols>
    <col min="1" max="1" width="2.44140625" style="121" customWidth="1"/>
    <col min="2" max="2" width="31.109375" style="121" customWidth="1"/>
    <col min="3" max="4" width="15.77734375" style="121" customWidth="1"/>
    <col min="5" max="5" width="16.109375" style="121" customWidth="1"/>
    <col min="6" max="6" width="8.109375" style="121" customWidth="1"/>
    <col min="7" max="7" width="10.21875" style="121" customWidth="1"/>
    <col min="8" max="8" width="8.88671875" style="121"/>
    <col min="9" max="9" width="5" style="121" customWidth="1"/>
    <col min="10" max="10" width="10" style="121" customWidth="1"/>
    <col min="11" max="16384" width="8.88671875" style="121"/>
  </cols>
  <sheetData>
    <row r="1" spans="2:5">
      <c r="B1" s="105" t="str">
        <f>(inputPrYr!D2)</f>
        <v>City of Hiawatha</v>
      </c>
      <c r="C1" s="85"/>
      <c r="D1" s="85"/>
      <c r="E1" s="343">
        <f>inputPrYr!C5</f>
        <v>2014</v>
      </c>
    </row>
    <row r="2" spans="2:5">
      <c r="B2" s="85"/>
      <c r="C2" s="85"/>
      <c r="D2" s="85"/>
      <c r="E2" s="118"/>
    </row>
    <row r="3" spans="2:5">
      <c r="B3" s="318" t="s">
        <v>173</v>
      </c>
      <c r="C3" s="107"/>
      <c r="D3" s="107"/>
      <c r="E3" s="352"/>
    </row>
    <row r="4" spans="2:5">
      <c r="B4" s="103" t="s">
        <v>105</v>
      </c>
      <c r="C4" s="321" t="s">
        <v>848</v>
      </c>
      <c r="D4" s="322" t="s">
        <v>849</v>
      </c>
      <c r="E4" s="96" t="s">
        <v>850</v>
      </c>
    </row>
    <row r="5" spans="2:5">
      <c r="B5" s="560">
        <f>inputPrYr!B27</f>
        <v>0</v>
      </c>
      <c r="C5" s="323" t="str">
        <f>CONCATENATE("Actual for ",E1-2,"")</f>
        <v>Actual for 2012</v>
      </c>
      <c r="D5" s="323" t="str">
        <f>CONCATENATE("Estimate for ",E1-1,"")</f>
        <v>Estimate for 2013</v>
      </c>
      <c r="E5" s="324" t="str">
        <f>CONCATENATE("Year for ",E1,"")</f>
        <v>Year for 2014</v>
      </c>
    </row>
    <row r="6" spans="2:5">
      <c r="B6" s="274" t="s">
        <v>228</v>
      </c>
      <c r="C6" s="325"/>
      <c r="D6" s="326">
        <f>C34</f>
        <v>0</v>
      </c>
      <c r="E6" s="327">
        <f>D34</f>
        <v>0</v>
      </c>
    </row>
    <row r="7" spans="2:5">
      <c r="B7" s="346" t="s">
        <v>230</v>
      </c>
      <c r="C7" s="217"/>
      <c r="D7" s="217"/>
      <c r="E7" s="100"/>
    </row>
    <row r="8" spans="2:5">
      <c r="B8" s="177" t="s">
        <v>106</v>
      </c>
      <c r="C8" s="325"/>
      <c r="D8" s="326">
        <f>IF(inputPrYr!H16&gt;0,inputPrYr!G27,inputPrYr!E27)</f>
        <v>0</v>
      </c>
      <c r="E8" s="354" t="s">
        <v>94</v>
      </c>
    </row>
    <row r="9" spans="2:5">
      <c r="B9" s="177" t="s">
        <v>107</v>
      </c>
      <c r="C9" s="325"/>
      <c r="D9" s="325"/>
      <c r="E9" s="137"/>
    </row>
    <row r="10" spans="2:5">
      <c r="B10" s="177" t="s">
        <v>108</v>
      </c>
      <c r="C10" s="325"/>
      <c r="D10" s="325"/>
      <c r="E10" s="327" t="str">
        <f>mvalloc!D16</f>
        <v xml:space="preserve">  </v>
      </c>
    </row>
    <row r="11" spans="2:5">
      <c r="B11" s="177" t="s">
        <v>109</v>
      </c>
      <c r="C11" s="325"/>
      <c r="D11" s="325"/>
      <c r="E11" s="327" t="str">
        <f>mvalloc!E16</f>
        <v xml:space="preserve"> </v>
      </c>
    </row>
    <row r="12" spans="2:5">
      <c r="B12" s="217" t="s">
        <v>205</v>
      </c>
      <c r="C12" s="325"/>
      <c r="D12" s="325"/>
      <c r="E12" s="327" t="str">
        <f>mvalloc!F16</f>
        <v xml:space="preserve"> </v>
      </c>
    </row>
    <row r="13" spans="2:5">
      <c r="B13" s="329"/>
      <c r="C13" s="325"/>
      <c r="D13" s="325"/>
      <c r="E13" s="137"/>
    </row>
    <row r="14" spans="2:5">
      <c r="B14" s="329"/>
      <c r="C14" s="325"/>
      <c r="D14" s="325"/>
      <c r="E14" s="137"/>
    </row>
    <row r="15" spans="2:5">
      <c r="B15" s="329"/>
      <c r="C15" s="325"/>
      <c r="D15" s="325"/>
      <c r="E15" s="137"/>
    </row>
    <row r="16" spans="2:5">
      <c r="B16" s="329"/>
      <c r="C16" s="325"/>
      <c r="D16" s="325"/>
      <c r="E16" s="137"/>
    </row>
    <row r="17" spans="2:10">
      <c r="B17" s="347" t="s">
        <v>113</v>
      </c>
      <c r="C17" s="325"/>
      <c r="D17" s="325"/>
      <c r="E17" s="137"/>
    </row>
    <row r="18" spans="2:10">
      <c r="B18" s="217" t="s">
        <v>14</v>
      </c>
      <c r="C18" s="325"/>
      <c r="D18" s="325"/>
      <c r="E18" s="137"/>
    </row>
    <row r="19" spans="2:10">
      <c r="B19" s="274" t="s">
        <v>774</v>
      </c>
      <c r="C19" s="333" t="str">
        <f>IF(C20*0.1&lt;C18,"Exceed 10% Rule","")</f>
        <v/>
      </c>
      <c r="D19" s="333" t="str">
        <f>IF(D20*0.1&lt;D18,"Exceed 10% Rule","")</f>
        <v/>
      </c>
      <c r="E19" s="340" t="str">
        <f>IF(E20*0.1+E40&lt;E18,"Exceed 10% Rule","")</f>
        <v/>
      </c>
    </row>
    <row r="20" spans="2:10">
      <c r="B20" s="335" t="s">
        <v>114</v>
      </c>
      <c r="C20" s="337">
        <f>SUM(C8:C18)</f>
        <v>0</v>
      </c>
      <c r="D20" s="337">
        <f>SUM(D8:D18)</f>
        <v>0</v>
      </c>
      <c r="E20" s="338">
        <f>SUM(E8:E18)</f>
        <v>0</v>
      </c>
    </row>
    <row r="21" spans="2:10">
      <c r="B21" s="335" t="s">
        <v>115</v>
      </c>
      <c r="C21" s="337">
        <f>C6+C20</f>
        <v>0</v>
      </c>
      <c r="D21" s="337">
        <f>D6+D20</f>
        <v>0</v>
      </c>
      <c r="E21" s="338">
        <f>E6+E20</f>
        <v>0</v>
      </c>
    </row>
    <row r="22" spans="2:10">
      <c r="B22" s="177" t="s">
        <v>117</v>
      </c>
      <c r="C22" s="339"/>
      <c r="D22" s="339"/>
      <c r="E22" s="102"/>
    </row>
    <row r="23" spans="2:10">
      <c r="B23" s="329"/>
      <c r="C23" s="325"/>
      <c r="D23" s="325"/>
      <c r="E23" s="137"/>
    </row>
    <row r="24" spans="2:10">
      <c r="B24" s="329"/>
      <c r="C24" s="325"/>
      <c r="D24" s="325"/>
      <c r="E24" s="137"/>
      <c r="G24" s="895" t="str">
        <f>CONCATENATE("Desired Carryover Into ",E1+1,"")</f>
        <v>Desired Carryover Into 2015</v>
      </c>
      <c r="H24" s="893"/>
      <c r="I24" s="893"/>
      <c r="J24" s="894"/>
    </row>
    <row r="25" spans="2:10">
      <c r="B25" s="329"/>
      <c r="C25" s="325"/>
      <c r="D25" s="325"/>
      <c r="E25" s="137"/>
      <c r="G25" s="657"/>
      <c r="H25" s="658"/>
      <c r="I25" s="659"/>
      <c r="J25" s="660"/>
    </row>
    <row r="26" spans="2:10">
      <c r="B26" s="329"/>
      <c r="C26" s="325"/>
      <c r="D26" s="325"/>
      <c r="E26" s="137"/>
      <c r="G26" s="661" t="s">
        <v>782</v>
      </c>
      <c r="H26" s="659"/>
      <c r="I26" s="659"/>
      <c r="J26" s="662">
        <v>0</v>
      </c>
    </row>
    <row r="27" spans="2:10">
      <c r="B27" s="329"/>
      <c r="C27" s="325"/>
      <c r="D27" s="325"/>
      <c r="E27" s="137"/>
      <c r="G27" s="657" t="s">
        <v>783</v>
      </c>
      <c r="H27" s="658"/>
      <c r="I27" s="658"/>
      <c r="J27" s="693" t="str">
        <f>IF(J26=0,"",ROUND((J26+E40-G39)/summ!F53*1000,3)-G44)</f>
        <v/>
      </c>
    </row>
    <row r="28" spans="2:10">
      <c r="B28" s="329"/>
      <c r="C28" s="325"/>
      <c r="D28" s="325"/>
      <c r="E28" s="137"/>
      <c r="G28" s="664" t="str">
        <f>CONCATENATE("",E1," Tot Exp/Non-Appr Must Be:")</f>
        <v>2014 Tot Exp/Non-Appr Must Be:</v>
      </c>
      <c r="H28" s="665"/>
      <c r="I28" s="666"/>
      <c r="J28" s="667">
        <f>IF(J26&gt;0,IF(E37&lt;E21,IF(J26=G39,E37,((J26-G39)*(1-D39))+E21),E37+(J26-G39)),0)</f>
        <v>0</v>
      </c>
    </row>
    <row r="29" spans="2:10">
      <c r="B29" s="329"/>
      <c r="C29" s="325"/>
      <c r="D29" s="325"/>
      <c r="E29" s="137"/>
      <c r="G29" s="668" t="s">
        <v>851</v>
      </c>
      <c r="H29" s="669"/>
      <c r="I29" s="669"/>
      <c r="J29" s="670">
        <f>IF(J26&gt;0,J28-E37,0)</f>
        <v>0</v>
      </c>
    </row>
    <row r="30" spans="2:10">
      <c r="B30" s="339" t="s">
        <v>13</v>
      </c>
      <c r="C30" s="325"/>
      <c r="D30" s="325"/>
      <c r="E30" s="151" t="str">
        <f>nhood!E15</f>
        <v/>
      </c>
      <c r="J30" s="3"/>
    </row>
    <row r="31" spans="2:10">
      <c r="B31" s="339" t="s">
        <v>14</v>
      </c>
      <c r="C31" s="325"/>
      <c r="D31" s="325"/>
      <c r="E31" s="137"/>
      <c r="G31" s="895" t="str">
        <f>CONCATENATE("Projected Carryover Into ",E1+1,"")</f>
        <v>Projected Carryover Into 2015</v>
      </c>
      <c r="H31" s="897"/>
      <c r="I31" s="897"/>
      <c r="J31" s="899"/>
    </row>
    <row r="32" spans="2:10">
      <c r="B32" s="339" t="s">
        <v>773</v>
      </c>
      <c r="C32" s="333" t="str">
        <f>IF(C33*0.1&lt;C31,"Exceed 10% Rule","")</f>
        <v/>
      </c>
      <c r="D32" s="333" t="str">
        <f>IF(D33*0.1&lt;D31,"Exceed 10% Rule","")</f>
        <v/>
      </c>
      <c r="E32" s="340" t="str">
        <f>IF(E33*0.1&lt;E31,"Exceed 10% Rule","")</f>
        <v/>
      </c>
      <c r="G32" s="657"/>
      <c r="H32" s="659"/>
      <c r="I32" s="659"/>
      <c r="J32" s="770"/>
    </row>
    <row r="33" spans="2:11">
      <c r="B33" s="335" t="s">
        <v>121</v>
      </c>
      <c r="C33" s="337">
        <f>SUM(C23:C31)</f>
        <v>0</v>
      </c>
      <c r="D33" s="337">
        <f>SUM(D23:D31)</f>
        <v>0</v>
      </c>
      <c r="E33" s="338">
        <f>SUM(E23:E31)</f>
        <v>0</v>
      </c>
      <c r="G33" s="697">
        <f>D34</f>
        <v>0</v>
      </c>
      <c r="H33" s="683" t="str">
        <f>CONCATENATE("",E1-1," Ending Cash Balance (est.)")</f>
        <v>2013 Ending Cash Balance (est.)</v>
      </c>
      <c r="I33" s="698"/>
      <c r="J33" s="770"/>
    </row>
    <row r="34" spans="2:11">
      <c r="B34" s="177" t="s">
        <v>229</v>
      </c>
      <c r="C34" s="341">
        <f>C21-C33</f>
        <v>0</v>
      </c>
      <c r="D34" s="341">
        <f>D21-D33</f>
        <v>0</v>
      </c>
      <c r="E34" s="354" t="s">
        <v>94</v>
      </c>
      <c r="G34" s="697">
        <f>E20</f>
        <v>0</v>
      </c>
      <c r="H34" s="659" t="str">
        <f>CONCATENATE("",E1," Non-AV Receipts (est.)")</f>
        <v>2014 Non-AV Receipts (est.)</v>
      </c>
      <c r="I34" s="698"/>
      <c r="J34" s="770"/>
    </row>
    <row r="35" spans="2:11">
      <c r="B35" s="119" t="str">
        <f>CONCATENATE("",E1-2,"/",E1-1," Budget Authority Amount:")</f>
        <v>2012/2013 Budget Authority Amount:</v>
      </c>
      <c r="C35" s="280">
        <f>inputOth!B70</f>
        <v>0</v>
      </c>
      <c r="D35" s="280">
        <f>inputPrYr!D27</f>
        <v>0</v>
      </c>
      <c r="E35" s="354" t="s">
        <v>94</v>
      </c>
      <c r="F35" s="356"/>
      <c r="G35" s="699">
        <f>IF(E39&gt;0,E38,E40)</f>
        <v>0</v>
      </c>
      <c r="H35" s="659" t="str">
        <f>CONCATENATE("",E1," Ad Valorem Tax (est.)")</f>
        <v>2014 Ad Valorem Tax (est.)</v>
      </c>
      <c r="I35" s="698"/>
      <c r="J35" s="771"/>
      <c r="K35" s="768" t="str">
        <f>IF(G35=E40,"","Note: Does not include Delinquent Taxes")</f>
        <v/>
      </c>
    </row>
    <row r="36" spans="2:11">
      <c r="B36" s="119"/>
      <c r="C36" s="886" t="s">
        <v>778</v>
      </c>
      <c r="D36" s="887"/>
      <c r="E36" s="137"/>
      <c r="F36" s="785" t="str">
        <f>IF(E33/0.95-E33&lt;E36,"Exceeds 5%","")</f>
        <v/>
      </c>
      <c r="G36" s="697">
        <f>SUM(G33:G35)</f>
        <v>0</v>
      </c>
      <c r="H36" s="659" t="str">
        <f>CONCATENATE("Total ",E1," Resources Available")</f>
        <v>Total 2014 Resources Available</v>
      </c>
      <c r="I36" s="698"/>
      <c r="J36" s="770"/>
    </row>
    <row r="37" spans="2:11">
      <c r="B37" s="603" t="str">
        <f>CONCATENATE(C90,"     ",D90)</f>
        <v xml:space="preserve">     </v>
      </c>
      <c r="C37" s="888" t="s">
        <v>779</v>
      </c>
      <c r="D37" s="889"/>
      <c r="E37" s="327">
        <f>E33+E36</f>
        <v>0</v>
      </c>
      <c r="G37" s="772"/>
      <c r="H37" s="659"/>
      <c r="I37" s="659"/>
      <c r="J37" s="770"/>
    </row>
    <row r="38" spans="2:11">
      <c r="B38" s="603" t="str">
        <f>CONCATENATE(C91,"      ",D91)</f>
        <v xml:space="preserve">      </v>
      </c>
      <c r="C38" s="342"/>
      <c r="D38" s="118" t="s">
        <v>122</v>
      </c>
      <c r="E38" s="151">
        <f>IF(E37-E21&gt;0,E37-E21,0)</f>
        <v>0</v>
      </c>
      <c r="G38" s="699">
        <f>ROUND(C33*0.05+C33,0)</f>
        <v>0</v>
      </c>
      <c r="H38" s="659" t="str">
        <f>CONCATENATE("Less ",E1-2," Expenditures + 5%")</f>
        <v>Less 2012 Expenditures + 5%</v>
      </c>
      <c r="I38" s="698"/>
      <c r="J38" s="770"/>
    </row>
    <row r="39" spans="2:11">
      <c r="B39" s="118"/>
      <c r="C39" s="599" t="s">
        <v>780</v>
      </c>
      <c r="D39" s="678">
        <f>inputOth!$E$48</f>
        <v>2.5000000000000001E-2</v>
      </c>
      <c r="E39" s="327">
        <f>ROUND(IF(D39&gt;0,(E38*D39),0),0)</f>
        <v>0</v>
      </c>
      <c r="G39" s="773">
        <f>G36-G38</f>
        <v>0</v>
      </c>
      <c r="H39" s="774" t="str">
        <f>CONCATENATE("Projected ",E1+1," carryover (est.)")</f>
        <v>Projected 2015 carryover (est.)</v>
      </c>
      <c r="I39" s="775"/>
      <c r="J39" s="707"/>
    </row>
    <row r="40" spans="2:11" ht="16.5" thickBot="1">
      <c r="B40" s="85"/>
      <c r="C40" s="884" t="str">
        <f>CONCATENATE("Amount of  ",$E$1-1," Ad Valorem Tax")</f>
        <v>Amount of  2013 Ad Valorem Tax</v>
      </c>
      <c r="D40" s="885"/>
      <c r="E40" s="681">
        <f>E38+E39</f>
        <v>0</v>
      </c>
      <c r="G40" s="3"/>
      <c r="H40" s="3"/>
      <c r="I40" s="3"/>
      <c r="J40" s="3"/>
    </row>
    <row r="41" spans="2:11" ht="16.5" thickTop="1">
      <c r="B41" s="85"/>
      <c r="C41" s="85"/>
      <c r="D41" s="85"/>
      <c r="E41" s="85"/>
      <c r="G41" s="881" t="s">
        <v>853</v>
      </c>
      <c r="H41" s="882"/>
      <c r="I41" s="882"/>
      <c r="J41" s="883"/>
    </row>
    <row r="42" spans="2:11">
      <c r="B42" s="103"/>
      <c r="C42" s="116"/>
      <c r="D42" s="116"/>
      <c r="E42" s="116"/>
      <c r="G42" s="682"/>
      <c r="H42" s="683"/>
      <c r="I42" s="684"/>
      <c r="J42" s="685"/>
    </row>
    <row r="43" spans="2:11">
      <c r="B43" s="103" t="s">
        <v>105</v>
      </c>
      <c r="C43" s="321" t="s">
        <v>848</v>
      </c>
      <c r="D43" s="322" t="s">
        <v>854</v>
      </c>
      <c r="E43" s="96" t="s">
        <v>850</v>
      </c>
      <c r="G43" s="686" t="str">
        <f>summ!H24</f>
        <v xml:space="preserve">  </v>
      </c>
      <c r="H43" s="683" t="str">
        <f>CONCATENATE("",E1," Fund Mill Rate")</f>
        <v>2014 Fund Mill Rate</v>
      </c>
      <c r="I43" s="684"/>
      <c r="J43" s="685"/>
    </row>
    <row r="44" spans="2:11">
      <c r="B44" s="560">
        <f>inputPrYr!B28</f>
        <v>0</v>
      </c>
      <c r="C44" s="323" t="str">
        <f>C5</f>
        <v>Actual for 2012</v>
      </c>
      <c r="D44" s="323" t="str">
        <f>D5</f>
        <v>Estimate for 2013</v>
      </c>
      <c r="E44" s="324" t="str">
        <f>E5</f>
        <v>Year for 2014</v>
      </c>
      <c r="G44" s="688" t="str">
        <f>summ!E24</f>
        <v xml:space="preserve">  </v>
      </c>
      <c r="H44" s="683" t="str">
        <f>CONCATENATE("",E1-1," Fund Mill Rate")</f>
        <v>2013 Fund Mill Rate</v>
      </c>
      <c r="I44" s="684"/>
      <c r="J44" s="685"/>
    </row>
    <row r="45" spans="2:11">
      <c r="B45" s="274" t="s">
        <v>228</v>
      </c>
      <c r="C45" s="325"/>
      <c r="D45" s="326">
        <f>C74</f>
        <v>0</v>
      </c>
      <c r="E45" s="327">
        <f>D74</f>
        <v>0</v>
      </c>
      <c r="G45" s="689">
        <f>summ!H48</f>
        <v>45.787999999999997</v>
      </c>
      <c r="H45" s="683" t="str">
        <f>CONCATENATE("Total ",E1," Mill Rate")</f>
        <v>Total 2014 Mill Rate</v>
      </c>
      <c r="I45" s="684"/>
      <c r="J45" s="685"/>
    </row>
    <row r="46" spans="2:11">
      <c r="B46" s="346" t="s">
        <v>230</v>
      </c>
      <c r="C46" s="217"/>
      <c r="D46" s="217"/>
      <c r="E46" s="100"/>
      <c r="G46" s="688">
        <f>summ!E48</f>
        <v>47.76</v>
      </c>
      <c r="H46" s="690" t="str">
        <f>CONCATENATE("Total ",E1-1," Mill Rate")</f>
        <v>Total 2013 Mill Rate</v>
      </c>
      <c r="I46" s="691"/>
      <c r="J46" s="692"/>
    </row>
    <row r="47" spans="2:11">
      <c r="B47" s="177" t="s">
        <v>106</v>
      </c>
      <c r="C47" s="325"/>
      <c r="D47" s="326">
        <f>IF(inputPrYr!H16&gt;0,inputPrYr!G28,inputPrYr!E28)</f>
        <v>0</v>
      </c>
      <c r="E47" s="354" t="s">
        <v>94</v>
      </c>
    </row>
    <row r="48" spans="2:11">
      <c r="B48" s="177" t="s">
        <v>107</v>
      </c>
      <c r="C48" s="325"/>
      <c r="D48" s="325"/>
      <c r="E48" s="137"/>
      <c r="G48" s="826" t="s">
        <v>1031</v>
      </c>
      <c r="H48" s="825"/>
      <c r="I48" s="824" t="str">
        <f>cert!F54</f>
        <v>Yes</v>
      </c>
    </row>
    <row r="49" spans="2:10">
      <c r="B49" s="177" t="s">
        <v>108</v>
      </c>
      <c r="C49" s="325"/>
      <c r="D49" s="325"/>
      <c r="E49" s="327" t="str">
        <f>mvalloc!D17</f>
        <v xml:space="preserve">  </v>
      </c>
    </row>
    <row r="50" spans="2:10">
      <c r="B50" s="177" t="s">
        <v>109</v>
      </c>
      <c r="C50" s="325"/>
      <c r="D50" s="325"/>
      <c r="E50" s="327" t="str">
        <f>mvalloc!E17</f>
        <v xml:space="preserve"> </v>
      </c>
    </row>
    <row r="51" spans="2:10">
      <c r="B51" s="217" t="s">
        <v>205</v>
      </c>
      <c r="C51" s="325"/>
      <c r="D51" s="325"/>
      <c r="E51" s="327" t="str">
        <f>mvalloc!F17</f>
        <v xml:space="preserve"> </v>
      </c>
    </row>
    <row r="52" spans="2:10">
      <c r="B52" s="329"/>
      <c r="C52" s="325"/>
      <c r="D52" s="325"/>
      <c r="E52" s="137"/>
    </row>
    <row r="53" spans="2:10">
      <c r="B53" s="329"/>
      <c r="C53" s="325"/>
      <c r="D53" s="325"/>
      <c r="E53" s="137"/>
    </row>
    <row r="54" spans="2:10">
      <c r="B54" s="329"/>
      <c r="C54" s="325"/>
      <c r="D54" s="325"/>
      <c r="E54" s="137"/>
    </row>
    <row r="55" spans="2:10">
      <c r="B55" s="329"/>
      <c r="C55" s="325"/>
      <c r="D55" s="325"/>
      <c r="E55" s="137"/>
    </row>
    <row r="56" spans="2:10">
      <c r="B56" s="329"/>
      <c r="C56" s="325"/>
      <c r="D56" s="325"/>
      <c r="E56" s="137"/>
    </row>
    <row r="57" spans="2:10">
      <c r="B57" s="347" t="s">
        <v>113</v>
      </c>
      <c r="C57" s="325"/>
      <c r="D57" s="325"/>
      <c r="E57" s="137"/>
    </row>
    <row r="58" spans="2:10">
      <c r="B58" s="217" t="s">
        <v>14</v>
      </c>
      <c r="C58" s="325"/>
      <c r="D58" s="325"/>
      <c r="E58" s="137"/>
    </row>
    <row r="59" spans="2:10">
      <c r="B59" s="274" t="s">
        <v>774</v>
      </c>
      <c r="C59" s="333" t="str">
        <f>IF(C60*0.1&lt;C58,"Exceed 10% Rule","")</f>
        <v/>
      </c>
      <c r="D59" s="333" t="str">
        <f>IF(D60*0.1&lt;D58,"Exceed 10% Rule","")</f>
        <v/>
      </c>
      <c r="E59" s="340" t="str">
        <f>IF(E60*0.1+E80&lt;E58,"Exceed 10% Rule","")</f>
        <v/>
      </c>
    </row>
    <row r="60" spans="2:10">
      <c r="B60" s="335" t="s">
        <v>114</v>
      </c>
      <c r="C60" s="337">
        <f>SUM(C47:C58)</f>
        <v>0</v>
      </c>
      <c r="D60" s="337">
        <f>SUM(D47:D58)</f>
        <v>0</v>
      </c>
      <c r="E60" s="338">
        <f>SUM(E47:E58)</f>
        <v>0</v>
      </c>
    </row>
    <row r="61" spans="2:10">
      <c r="B61" s="335" t="s">
        <v>115</v>
      </c>
      <c r="C61" s="337">
        <f>C45+C60</f>
        <v>0</v>
      </c>
      <c r="D61" s="337">
        <f>D45+D60</f>
        <v>0</v>
      </c>
      <c r="E61" s="338">
        <f>E45+E60</f>
        <v>0</v>
      </c>
    </row>
    <row r="62" spans="2:10">
      <c r="B62" s="177" t="s">
        <v>117</v>
      </c>
      <c r="C62" s="339"/>
      <c r="D62" s="339"/>
      <c r="E62" s="102"/>
    </row>
    <row r="63" spans="2:10">
      <c r="B63" s="329"/>
      <c r="C63" s="325"/>
      <c r="D63" s="325"/>
      <c r="E63" s="137"/>
    </row>
    <row r="64" spans="2:10">
      <c r="B64" s="329"/>
      <c r="C64" s="325"/>
      <c r="D64" s="325"/>
      <c r="E64" s="137"/>
      <c r="G64" s="895" t="str">
        <f>CONCATENATE("Desired Carryover Into ",E1+1,"")</f>
        <v>Desired Carryover Into 2015</v>
      </c>
      <c r="H64" s="893"/>
      <c r="I64" s="893"/>
      <c r="J64" s="894"/>
    </row>
    <row r="65" spans="2:11">
      <c r="B65" s="329"/>
      <c r="C65" s="325"/>
      <c r="D65" s="325"/>
      <c r="E65" s="137"/>
      <c r="G65" s="657"/>
      <c r="H65" s="658"/>
      <c r="I65" s="659"/>
      <c r="J65" s="660"/>
    </row>
    <row r="66" spans="2:11">
      <c r="B66" s="329"/>
      <c r="C66" s="325"/>
      <c r="D66" s="325"/>
      <c r="E66" s="137"/>
      <c r="G66" s="661" t="s">
        <v>782</v>
      </c>
      <c r="H66" s="659"/>
      <c r="I66" s="659"/>
      <c r="J66" s="662">
        <v>0</v>
      </c>
    </row>
    <row r="67" spans="2:11">
      <c r="B67" s="329"/>
      <c r="C67" s="325"/>
      <c r="D67" s="325"/>
      <c r="E67" s="137"/>
      <c r="G67" s="657" t="s">
        <v>783</v>
      </c>
      <c r="H67" s="658"/>
      <c r="I67" s="658"/>
      <c r="J67" s="693" t="str">
        <f>IF(J66=0,"",ROUND((J66+E80-G79)/summ!F53*1000,3)-G84)</f>
        <v/>
      </c>
    </row>
    <row r="68" spans="2:11">
      <c r="B68" s="329"/>
      <c r="C68" s="325"/>
      <c r="D68" s="325"/>
      <c r="E68" s="137"/>
      <c r="G68" s="664" t="str">
        <f>CONCATENATE("",E1," Tot Exp/Non-Appr Must Be:")</f>
        <v>2014 Tot Exp/Non-Appr Must Be:</v>
      </c>
      <c r="H68" s="665"/>
      <c r="I68" s="666"/>
      <c r="J68" s="667">
        <f>IF(J66&gt;0,IF(E77&lt;E61,IF(J66=G79,E77,((J66-G79)*(1-D79))+E61),E77+(J66-G79)),0)</f>
        <v>0</v>
      </c>
    </row>
    <row r="69" spans="2:11">
      <c r="B69" s="329"/>
      <c r="C69" s="325"/>
      <c r="D69" s="325"/>
      <c r="E69" s="137"/>
      <c r="G69" s="668" t="s">
        <v>851</v>
      </c>
      <c r="H69" s="669"/>
      <c r="I69" s="669"/>
      <c r="J69" s="670">
        <f>IF(J66&gt;0,J68-E77,0)</f>
        <v>0</v>
      </c>
    </row>
    <row r="70" spans="2:11">
      <c r="B70" s="339" t="s">
        <v>13</v>
      </c>
      <c r="C70" s="325"/>
      <c r="D70" s="325"/>
      <c r="E70" s="151" t="str">
        <f>nhood!E16</f>
        <v/>
      </c>
      <c r="J70" s="3"/>
    </row>
    <row r="71" spans="2:11">
      <c r="B71" s="339" t="s">
        <v>14</v>
      </c>
      <c r="C71" s="325"/>
      <c r="D71" s="325"/>
      <c r="E71" s="137"/>
      <c r="G71" s="895" t="str">
        <f>CONCATENATE("Projected Carryover Into ",E1+1,"")</f>
        <v>Projected Carryover Into 2015</v>
      </c>
      <c r="H71" s="898"/>
      <c r="I71" s="898"/>
      <c r="J71" s="899"/>
    </row>
    <row r="72" spans="2:11">
      <c r="B72" s="339" t="s">
        <v>773</v>
      </c>
      <c r="C72" s="333" t="str">
        <f>IF(C73*0.1&lt;C71,"Exceed 10% Rule","")</f>
        <v/>
      </c>
      <c r="D72" s="333" t="str">
        <f>IF(D73*0.1&lt;D71,"Exceed 10% Rule","")</f>
        <v/>
      </c>
      <c r="E72" s="340" t="str">
        <f>IF(E73*0.1&lt;E71,"Exceed 10% Rule","")</f>
        <v/>
      </c>
      <c r="G72" s="694"/>
      <c r="H72" s="658"/>
      <c r="I72" s="658"/>
      <c r="J72" s="695"/>
    </row>
    <row r="73" spans="2:11">
      <c r="B73" s="335" t="s">
        <v>121</v>
      </c>
      <c r="C73" s="337">
        <f>SUM(C63:C71)</f>
        <v>0</v>
      </c>
      <c r="D73" s="337">
        <f>SUM(D63:D71)</f>
        <v>0</v>
      </c>
      <c r="E73" s="338">
        <f>SUM(E63:E71)</f>
        <v>0</v>
      </c>
      <c r="G73" s="697">
        <f>D74</f>
        <v>0</v>
      </c>
      <c r="H73" s="683" t="str">
        <f>CONCATENATE("",E1-1," Ending Cash Balance (est.)")</f>
        <v>2013 Ending Cash Balance (est.)</v>
      </c>
      <c r="I73" s="698"/>
      <c r="J73" s="695"/>
    </row>
    <row r="74" spans="2:11">
      <c r="B74" s="177" t="s">
        <v>229</v>
      </c>
      <c r="C74" s="341">
        <f>C61-C73</f>
        <v>0</v>
      </c>
      <c r="D74" s="341">
        <f>D61-D73</f>
        <v>0</v>
      </c>
      <c r="E74" s="354" t="s">
        <v>94</v>
      </c>
      <c r="G74" s="697">
        <f>E60</f>
        <v>0</v>
      </c>
      <c r="H74" s="659" t="str">
        <f>CONCATENATE("",E1," Non-AV Receipts (est.)")</f>
        <v>2014 Non-AV Receipts (est.)</v>
      </c>
      <c r="I74" s="698"/>
      <c r="J74" s="695"/>
    </row>
    <row r="75" spans="2:11">
      <c r="B75" s="119" t="str">
        <f>CONCATENATE("",E1-2,"/",E1-1," Budget Authority Amount:")</f>
        <v>2012/2013 Budget Authority Amount:</v>
      </c>
      <c r="C75" s="280">
        <f>inputOth!B71</f>
        <v>0</v>
      </c>
      <c r="D75" s="280">
        <f>inputPrYr!D28</f>
        <v>0</v>
      </c>
      <c r="E75" s="354" t="s">
        <v>94</v>
      </c>
      <c r="F75" s="356"/>
      <c r="G75" s="699">
        <f>IF(D79&gt;0,E78,E80)</f>
        <v>0</v>
      </c>
      <c r="H75" s="659" t="str">
        <f>CONCATENATE("",E1," Ad Valorem Tax (est.)")</f>
        <v>2014 Ad Valorem Tax (est.)</v>
      </c>
      <c r="I75" s="698"/>
      <c r="J75" s="695"/>
      <c r="K75" s="768" t="str">
        <f>IF(G75=E80,"","Note: Does not include Delinquent Taxes")</f>
        <v/>
      </c>
    </row>
    <row r="76" spans="2:11">
      <c r="B76" s="119"/>
      <c r="C76" s="886" t="s">
        <v>778</v>
      </c>
      <c r="D76" s="887"/>
      <c r="E76" s="171"/>
      <c r="F76" s="785" t="str">
        <f>IF(E73/0.95-E73&lt;E76,"Exceeds 5%","")</f>
        <v/>
      </c>
      <c r="G76" s="700">
        <f>SUM(G73:G75)</f>
        <v>0</v>
      </c>
      <c r="H76" s="659" t="str">
        <f>CONCATENATE("Total ",E1," Resources Available")</f>
        <v>Total 2014 Resources Available</v>
      </c>
      <c r="I76" s="695"/>
      <c r="J76" s="695"/>
    </row>
    <row r="77" spans="2:11">
      <c r="B77" s="603" t="str">
        <f>CONCATENATE(C92,"     ",D92)</f>
        <v xml:space="preserve">     </v>
      </c>
      <c r="C77" s="888" t="s">
        <v>779</v>
      </c>
      <c r="D77" s="889"/>
      <c r="E77" s="327">
        <f>E73+E76</f>
        <v>0</v>
      </c>
      <c r="G77" s="701"/>
      <c r="H77" s="702"/>
      <c r="I77" s="658"/>
      <c r="J77" s="695"/>
    </row>
    <row r="78" spans="2:11">
      <c r="B78" s="603" t="str">
        <f>CONCATENATE(C93,"     ",D93)</f>
        <v xml:space="preserve">     </v>
      </c>
      <c r="C78" s="342"/>
      <c r="D78" s="118" t="s">
        <v>122</v>
      </c>
      <c r="E78" s="151">
        <f>IF(E77-E61&gt;0,E77-E61,0)</f>
        <v>0</v>
      </c>
      <c r="G78" s="703">
        <f>ROUND(C73*0.05+C73,0)</f>
        <v>0</v>
      </c>
      <c r="H78" s="659" t="str">
        <f>CONCATENATE("Less ",E1-2," Expenditures + 5%")</f>
        <v>Less 2012 Expenditures + 5%</v>
      </c>
      <c r="I78" s="695"/>
      <c r="J78" s="695"/>
    </row>
    <row r="79" spans="2:11">
      <c r="B79" s="118"/>
      <c r="C79" s="599" t="s">
        <v>780</v>
      </c>
      <c r="D79" s="678">
        <f>inputOth!$E$48</f>
        <v>2.5000000000000001E-2</v>
      </c>
      <c r="E79" s="327">
        <f>ROUND(IF(D79&gt;0,(E78*D79),0),0)</f>
        <v>0</v>
      </c>
      <c r="G79" s="704">
        <f>G76-G78</f>
        <v>0</v>
      </c>
      <c r="H79" s="774" t="str">
        <f>CONCATENATE("Projected ",E1+1," carryover (est.)")</f>
        <v>Projected 2015 carryover (est.)</v>
      </c>
      <c r="I79" s="706"/>
      <c r="J79" s="707"/>
    </row>
    <row r="80" spans="2:11" ht="16.5" thickBot="1">
      <c r="B80" s="85"/>
      <c r="C80" s="884" t="str">
        <f>CONCATENATE("Amount of  ",$E$1-1," Ad Valorem Tax")</f>
        <v>Amount of  2013 Ad Valorem Tax</v>
      </c>
      <c r="D80" s="885"/>
      <c r="E80" s="681">
        <f>E78+E79</f>
        <v>0</v>
      </c>
      <c r="G80" s="3"/>
      <c r="H80" s="3"/>
      <c r="I80" s="3"/>
    </row>
    <row r="81" spans="2:10" ht="16.5" thickTop="1">
      <c r="B81" s="85"/>
      <c r="C81" s="85"/>
      <c r="D81" s="85"/>
      <c r="E81" s="85"/>
      <c r="G81" s="881" t="s">
        <v>853</v>
      </c>
      <c r="H81" s="882"/>
      <c r="I81" s="882"/>
      <c r="J81" s="883"/>
    </row>
    <row r="82" spans="2:10">
      <c r="B82" s="118" t="s">
        <v>124</v>
      </c>
      <c r="C82" s="120"/>
      <c r="D82" s="85"/>
      <c r="E82" s="85"/>
      <c r="G82" s="682"/>
      <c r="H82" s="683"/>
      <c r="I82" s="684"/>
      <c r="J82" s="685"/>
    </row>
    <row r="83" spans="2:10">
      <c r="G83" s="686" t="str">
        <f>summ!H25</f>
        <v xml:space="preserve">  </v>
      </c>
      <c r="H83" s="683" t="str">
        <f>CONCATENATE("",E1," Fund Mill Rate")</f>
        <v>2014 Fund Mill Rate</v>
      </c>
      <c r="I83" s="684"/>
      <c r="J83" s="685"/>
    </row>
    <row r="84" spans="2:10">
      <c r="G84" s="688" t="str">
        <f>summ!E25</f>
        <v xml:space="preserve">  </v>
      </c>
      <c r="H84" s="683" t="str">
        <f>CONCATENATE("",E1-1," Fund Mill Rate")</f>
        <v>2013 Fund Mill Rate</v>
      </c>
      <c r="I84" s="684"/>
      <c r="J84" s="685"/>
    </row>
    <row r="85" spans="2:10">
      <c r="G85" s="689">
        <f>summ!H48</f>
        <v>45.787999999999997</v>
      </c>
      <c r="H85" s="683" t="str">
        <f>CONCATENATE("Total ",E1," Mill Rate")</f>
        <v>Total 2014 Mill Rate</v>
      </c>
      <c r="I85" s="684"/>
      <c r="J85" s="685"/>
    </row>
    <row r="86" spans="2:10">
      <c r="G86" s="688">
        <f>summ!E48</f>
        <v>47.76</v>
      </c>
      <c r="H86" s="690" t="str">
        <f>CONCATENATE("Total ",E1-1," Mill Rate")</f>
        <v>Total 2013 Mill Rate</v>
      </c>
      <c r="I86" s="691"/>
      <c r="J86" s="692"/>
    </row>
    <row r="88" spans="2:10">
      <c r="G88" s="829" t="s">
        <v>1031</v>
      </c>
      <c r="H88" s="828"/>
      <c r="I88" s="827" t="str">
        <f>cert!F54</f>
        <v>Yes</v>
      </c>
    </row>
    <row r="90" spans="2:10" hidden="1">
      <c r="C90" s="121" t="str">
        <f>IF(C33&gt;C35,"See Tab A","")</f>
        <v/>
      </c>
      <c r="D90" s="121" t="str">
        <f>IF(D33&gt;D35,"See Tab C","")</f>
        <v/>
      </c>
    </row>
    <row r="91" spans="2:10" hidden="1">
      <c r="C91" s="121" t="str">
        <f>IF(C34&lt;0,"See Tab B","")</f>
        <v/>
      </c>
      <c r="D91" s="121" t="str">
        <f>IF(D34&lt;0,"See Tab D","")</f>
        <v/>
      </c>
    </row>
    <row r="92" spans="2:10" hidden="1">
      <c r="C92" s="121" t="str">
        <f>IF(C73&gt;C75,"See Tab A","")</f>
        <v/>
      </c>
      <c r="D92" s="121" t="str">
        <f>IF(D73&gt;D75,"See Tab C","")</f>
        <v/>
      </c>
    </row>
    <row r="93" spans="2:10" hidden="1">
      <c r="C93" s="121" t="str">
        <f>IF(C74&lt;0,"See Tab B","")</f>
        <v/>
      </c>
      <c r="D93" s="121"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31">
    <cfRule type="cellIs" dxfId="192" priority="3" stopIfTrue="1" operator="greaterThan">
      <formula>$E$33*0.1</formula>
    </cfRule>
  </conditionalFormatting>
  <conditionalFormatting sqref="E36">
    <cfRule type="cellIs" dxfId="191" priority="4" stopIfTrue="1" operator="greaterThan">
      <formula>$E$33/0.95-$E$33</formula>
    </cfRule>
  </conditionalFormatting>
  <conditionalFormatting sqref="E71">
    <cfRule type="cellIs" dxfId="190" priority="5" stopIfTrue="1" operator="greaterThan">
      <formula>$E$73*0.1</formula>
    </cfRule>
  </conditionalFormatting>
  <conditionalFormatting sqref="E76">
    <cfRule type="cellIs" dxfId="189" priority="6" stopIfTrue="1" operator="greaterThan">
      <formula>$E$73/0.95-$E$73</formula>
    </cfRule>
  </conditionalFormatting>
  <conditionalFormatting sqref="C31">
    <cfRule type="cellIs" dxfId="188" priority="7" stopIfTrue="1" operator="greaterThan">
      <formula>$C$33*0.1</formula>
    </cfRule>
  </conditionalFormatting>
  <conditionalFormatting sqref="D31">
    <cfRule type="cellIs" dxfId="187" priority="8" stopIfTrue="1" operator="greaterThan">
      <formula>$D$33*0.1</formula>
    </cfRule>
  </conditionalFormatting>
  <conditionalFormatting sqref="D33">
    <cfRule type="cellIs" dxfId="186" priority="9" stopIfTrue="1" operator="greaterThan">
      <formula>$D$35</formula>
    </cfRule>
  </conditionalFormatting>
  <conditionalFormatting sqref="C33">
    <cfRule type="cellIs" dxfId="185" priority="10" stopIfTrue="1" operator="greaterThan">
      <formula>$C$35</formula>
    </cfRule>
  </conditionalFormatting>
  <conditionalFormatting sqref="C34 C74">
    <cfRule type="cellIs" dxfId="184" priority="11" stopIfTrue="1" operator="lessThan">
      <formula>0</formula>
    </cfRule>
  </conditionalFormatting>
  <conditionalFormatting sqref="C71">
    <cfRule type="cellIs" dxfId="183" priority="12" stopIfTrue="1" operator="greaterThan">
      <formula>$C$73*0.1</formula>
    </cfRule>
  </conditionalFormatting>
  <conditionalFormatting sqref="D73">
    <cfRule type="cellIs" dxfId="182" priority="13" stopIfTrue="1" operator="greaterThan">
      <formula>$D$75</formula>
    </cfRule>
  </conditionalFormatting>
  <conditionalFormatting sqref="C73">
    <cfRule type="cellIs" dxfId="181" priority="14" stopIfTrue="1" operator="greaterThan">
      <formula>$C$75</formula>
    </cfRule>
  </conditionalFormatting>
  <conditionalFormatting sqref="D71">
    <cfRule type="cellIs" dxfId="180" priority="15" stopIfTrue="1" operator="greaterThan">
      <formula>$D$73*0.1</formula>
    </cfRule>
  </conditionalFormatting>
  <conditionalFormatting sqref="D18">
    <cfRule type="cellIs" dxfId="179" priority="16" stopIfTrue="1" operator="greaterThan">
      <formula>$D$20*0.1</formula>
    </cfRule>
  </conditionalFormatting>
  <conditionalFormatting sqref="C18">
    <cfRule type="cellIs" dxfId="178" priority="17" stopIfTrue="1" operator="greaterThan">
      <formula>$C$20*0.1</formula>
    </cfRule>
  </conditionalFormatting>
  <conditionalFormatting sqref="D58">
    <cfRule type="cellIs" dxfId="177" priority="18" stopIfTrue="1" operator="greaterThan">
      <formula>$D$60*0.1</formula>
    </cfRule>
  </conditionalFormatting>
  <conditionalFormatting sqref="C58">
    <cfRule type="cellIs" dxfId="176" priority="19" stopIfTrue="1" operator="greaterThan">
      <formula>$C$60*0.1</formula>
    </cfRule>
  </conditionalFormatting>
  <conditionalFormatting sqref="E58">
    <cfRule type="cellIs" dxfId="175" priority="20" stopIfTrue="1" operator="greaterThan">
      <formula>$E$60*0.1+E80</formula>
    </cfRule>
  </conditionalFormatting>
  <conditionalFormatting sqref="E18">
    <cfRule type="cellIs" dxfId="174" priority="21" stopIfTrue="1" operator="greaterThan">
      <formula>$E$20*0.1+E40</formula>
    </cfRule>
  </conditionalFormatting>
  <conditionalFormatting sqref="D74 D34">
    <cfRule type="cellIs" dxfId="173"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1"/>
  <sheetViews>
    <sheetView workbookViewId="0">
      <selection activeCell="C6" sqref="C6"/>
    </sheetView>
  </sheetViews>
  <sheetFormatPr defaultColWidth="8.88671875" defaultRowHeight="15.75"/>
  <cols>
    <col min="1" max="1" width="15.77734375" style="121" customWidth="1"/>
    <col min="2" max="2" width="20.77734375" style="121" customWidth="1"/>
    <col min="3" max="3" width="9.77734375" style="121" customWidth="1"/>
    <col min="4" max="4" width="15.109375" style="121" customWidth="1"/>
    <col min="5" max="5" width="15.77734375" style="121" customWidth="1"/>
    <col min="6" max="6" width="1.88671875" style="121" customWidth="1"/>
    <col min="7" max="7" width="18.6640625" style="121" customWidth="1"/>
    <col min="8" max="16384" width="8.88671875" style="121"/>
  </cols>
  <sheetData>
    <row r="1" spans="1:8">
      <c r="A1" s="838" t="s">
        <v>639</v>
      </c>
      <c r="B1" s="839"/>
      <c r="C1" s="839"/>
      <c r="D1" s="839"/>
      <c r="E1" s="839"/>
    </row>
    <row r="2" spans="1:8">
      <c r="A2" s="122" t="s">
        <v>20</v>
      </c>
      <c r="B2" s="85"/>
      <c r="C2" s="85"/>
      <c r="D2" s="123" t="s">
        <v>1078</v>
      </c>
      <c r="E2" s="124"/>
    </row>
    <row r="3" spans="1:8">
      <c r="A3" s="122" t="s">
        <v>21</v>
      </c>
      <c r="B3" s="85"/>
      <c r="C3" s="85"/>
      <c r="D3" s="125" t="s">
        <v>1079</v>
      </c>
      <c r="E3" s="126"/>
    </row>
    <row r="4" spans="1:8">
      <c r="A4" s="103"/>
      <c r="B4" s="85"/>
      <c r="C4" s="85"/>
      <c r="D4" s="127"/>
      <c r="E4" s="85"/>
    </row>
    <row r="5" spans="1:8">
      <c r="A5" s="122" t="s">
        <v>268</v>
      </c>
      <c r="B5" s="85"/>
      <c r="C5" s="128">
        <v>2014</v>
      </c>
      <c r="D5" s="127"/>
      <c r="E5" s="85"/>
    </row>
    <row r="6" spans="1:8">
      <c r="A6" s="85"/>
      <c r="B6" s="85"/>
      <c r="C6" s="85"/>
      <c r="D6" s="85"/>
      <c r="E6" s="85"/>
    </row>
    <row r="7" spans="1:8">
      <c r="A7" s="122" t="s">
        <v>389</v>
      </c>
      <c r="B7" s="88"/>
      <c r="C7" s="88"/>
      <c r="D7" s="88"/>
      <c r="E7" s="88"/>
    </row>
    <row r="8" spans="1:8">
      <c r="A8" s="87" t="s">
        <v>390</v>
      </c>
      <c r="B8" s="88"/>
      <c r="C8" s="88"/>
      <c r="D8" s="88"/>
      <c r="E8" s="88"/>
      <c r="F8" s="85"/>
      <c r="G8" s="840" t="s">
        <v>912</v>
      </c>
      <c r="H8" s="841"/>
    </row>
    <row r="9" spans="1:8">
      <c r="A9" s="87"/>
      <c r="B9" s="88"/>
      <c r="C9" s="88"/>
      <c r="D9" s="88"/>
      <c r="E9" s="88"/>
      <c r="F9" s="85"/>
      <c r="G9" s="842"/>
      <c r="H9" s="841"/>
    </row>
    <row r="10" spans="1:8">
      <c r="A10" s="836" t="s">
        <v>329</v>
      </c>
      <c r="B10" s="837"/>
      <c r="C10" s="837"/>
      <c r="D10" s="837"/>
      <c r="E10" s="837"/>
      <c r="F10" s="85"/>
      <c r="G10" s="842"/>
      <c r="H10" s="841"/>
    </row>
    <row r="11" spans="1:8">
      <c r="A11" s="85"/>
      <c r="B11" s="85"/>
      <c r="C11" s="85"/>
      <c r="D11" s="85"/>
      <c r="E11" s="85"/>
      <c r="F11" s="85"/>
      <c r="G11" s="842"/>
      <c r="H11" s="841"/>
    </row>
    <row r="12" spans="1:8">
      <c r="A12" s="129" t="s">
        <v>330</v>
      </c>
      <c r="B12" s="130"/>
      <c r="C12" s="85"/>
      <c r="D12" s="85"/>
      <c r="E12" s="85"/>
      <c r="F12" s="85"/>
      <c r="G12" s="842"/>
      <c r="H12" s="841"/>
    </row>
    <row r="13" spans="1:8">
      <c r="A13" s="131" t="str">
        <f>CONCATENATE("the ",C5-1," Budget, Certificate Page:")</f>
        <v>the 2013 Budget, Certificate Page:</v>
      </c>
      <c r="B13" s="132"/>
      <c r="C13" s="85"/>
      <c r="D13" s="85"/>
      <c r="E13" s="85"/>
      <c r="F13" s="85"/>
      <c r="G13" s="842"/>
      <c r="H13" s="841"/>
    </row>
    <row r="14" spans="1:8">
      <c r="A14" s="131" t="s">
        <v>365</v>
      </c>
      <c r="B14" s="132"/>
      <c r="C14" s="85"/>
      <c r="D14" s="85"/>
      <c r="E14" s="85"/>
      <c r="F14" s="85"/>
      <c r="G14" s="108"/>
      <c r="H14" s="736"/>
    </row>
    <row r="15" spans="1:8">
      <c r="A15" s="85"/>
      <c r="B15" s="85"/>
      <c r="C15" s="85"/>
      <c r="D15" s="133">
        <f>C5-1</f>
        <v>2013</v>
      </c>
      <c r="E15" s="133">
        <f>C5-2</f>
        <v>2012</v>
      </c>
      <c r="G15" s="380" t="s">
        <v>913</v>
      </c>
      <c r="H15" s="214" t="s">
        <v>123</v>
      </c>
    </row>
    <row r="16" spans="1:8">
      <c r="A16" s="103" t="s">
        <v>73</v>
      </c>
      <c r="B16" s="85"/>
      <c r="C16" s="134" t="s">
        <v>74</v>
      </c>
      <c r="D16" s="135" t="s">
        <v>364</v>
      </c>
      <c r="E16" s="135" t="s">
        <v>66</v>
      </c>
      <c r="G16" s="382" t="str">
        <f>CONCATENATE("",E15," Ad Valorem Tax")</f>
        <v>2012 Ad Valorem Tax</v>
      </c>
      <c r="H16" s="737">
        <v>0</v>
      </c>
    </row>
    <row r="17" spans="1:7">
      <c r="A17" s="85"/>
      <c r="B17" s="97" t="s">
        <v>75</v>
      </c>
      <c r="C17" s="214" t="s">
        <v>232</v>
      </c>
      <c r="D17" s="136">
        <v>1296061</v>
      </c>
      <c r="E17" s="136">
        <v>217908</v>
      </c>
      <c r="G17" s="327">
        <f>IF(H16&gt;0,ROUND(E17-(E17*H16),0),0)</f>
        <v>0</v>
      </c>
    </row>
    <row r="18" spans="1:7">
      <c r="A18" s="85"/>
      <c r="B18" s="97" t="s">
        <v>48</v>
      </c>
      <c r="C18" s="214" t="s">
        <v>269</v>
      </c>
      <c r="D18" s="137">
        <v>765238</v>
      </c>
      <c r="E18" s="137">
        <v>318016</v>
      </c>
      <c r="G18" s="327">
        <f>IF(H16&gt;0,ROUND(E18-(E18*H16),0),0)</f>
        <v>0</v>
      </c>
    </row>
    <row r="19" spans="1:7">
      <c r="A19" s="85"/>
      <c r="B19" s="97" t="s">
        <v>911</v>
      </c>
      <c r="C19" s="214" t="s">
        <v>910</v>
      </c>
      <c r="D19" s="137">
        <v>129200</v>
      </c>
      <c r="E19" s="137">
        <v>114353</v>
      </c>
      <c r="G19" s="327">
        <f>IF(H16&gt;0,ROUND(E19-(E19*H16),0),0)</f>
        <v>0</v>
      </c>
    </row>
    <row r="20" spans="1:7">
      <c r="A20" s="103" t="s">
        <v>76</v>
      </c>
      <c r="B20" s="85"/>
      <c r="C20" s="85"/>
      <c r="D20" s="85"/>
      <c r="E20" s="138"/>
    </row>
    <row r="21" spans="1:7">
      <c r="A21" s="85"/>
      <c r="B21" s="139" t="s">
        <v>1040</v>
      </c>
      <c r="C21" s="735"/>
      <c r="D21" s="137">
        <v>204360</v>
      </c>
      <c r="E21" s="137">
        <v>0</v>
      </c>
      <c r="G21" s="327">
        <f>IF(H16&gt;0,ROUND(E21-(E21*H16),0),0)</f>
        <v>0</v>
      </c>
    </row>
    <row r="22" spans="1:7">
      <c r="A22" s="85"/>
      <c r="B22" s="139" t="s">
        <v>1041</v>
      </c>
      <c r="C22" s="735"/>
      <c r="D22" s="137">
        <v>46100</v>
      </c>
      <c r="E22" s="137">
        <v>33817</v>
      </c>
      <c r="G22" s="327">
        <f>IF(H16&gt;0,ROUND(E22-(E22*H16),0),0)</f>
        <v>0</v>
      </c>
    </row>
    <row r="23" spans="1:7">
      <c r="A23" s="85"/>
      <c r="B23" s="139" t="s">
        <v>24</v>
      </c>
      <c r="C23" s="735"/>
      <c r="D23" s="137">
        <v>407401</v>
      </c>
      <c r="E23" s="137">
        <v>291077</v>
      </c>
      <c r="G23" s="327">
        <f>IF(H16&gt;0,ROUND(E23-(E23*H16),0),0)</f>
        <v>0</v>
      </c>
    </row>
    <row r="24" spans="1:7">
      <c r="A24" s="85"/>
      <c r="B24" s="139"/>
      <c r="C24" s="735"/>
      <c r="D24" s="137"/>
      <c r="E24" s="137"/>
      <c r="G24" s="327">
        <f>IF(H16&gt;0,ROUND(E24-(E24*H16),0),0)</f>
        <v>0</v>
      </c>
    </row>
    <row r="25" spans="1:7">
      <c r="A25" s="85"/>
      <c r="B25" s="139"/>
      <c r="C25" s="735"/>
      <c r="D25" s="137"/>
      <c r="E25" s="137"/>
      <c r="G25" s="327">
        <f>IF(H16&gt;0,ROUND(E25-(E25*H16),0),0)</f>
        <v>0</v>
      </c>
    </row>
    <row r="26" spans="1:7">
      <c r="A26" s="85"/>
      <c r="B26" s="139"/>
      <c r="C26" s="735"/>
      <c r="D26" s="137"/>
      <c r="E26" s="137"/>
      <c r="G26" s="327">
        <f>IF(H16&gt;0,ROUND(E26-(E26*H16),0),0)</f>
        <v>0</v>
      </c>
    </row>
    <row r="27" spans="1:7">
      <c r="A27" s="85"/>
      <c r="B27" s="139"/>
      <c r="C27" s="735"/>
      <c r="D27" s="137"/>
      <c r="E27" s="137"/>
      <c r="G27" s="327">
        <f>IF(H16&gt;0,ROUND(E27-(E27*H16),0),0)</f>
        <v>0</v>
      </c>
    </row>
    <row r="28" spans="1:7">
      <c r="A28" s="85"/>
      <c r="B28" s="139"/>
      <c r="C28" s="735"/>
      <c r="D28" s="137"/>
      <c r="E28" s="137"/>
      <c r="G28" s="327">
        <f>IF(H16&gt;0,ROUND(E28-(E28*H16),0),0)</f>
        <v>0</v>
      </c>
    </row>
    <row r="29" spans="1:7">
      <c r="A29" s="85"/>
      <c r="B29" s="139"/>
      <c r="C29" s="735"/>
      <c r="D29" s="137"/>
      <c r="E29" s="137"/>
      <c r="G29" s="327">
        <f>IF(H16&gt;0,ROUND(E29-(E29*H16),0),0)</f>
        <v>0</v>
      </c>
    </row>
    <row r="30" spans="1:7">
      <c r="A30" s="85"/>
      <c r="B30" s="139"/>
      <c r="C30" s="735"/>
      <c r="D30" s="137"/>
      <c r="E30" s="137"/>
      <c r="G30" s="327">
        <f>IF(H16&gt;0,ROUND(E30-(E30*H16),0),0)</f>
        <v>0</v>
      </c>
    </row>
    <row r="31" spans="1:7">
      <c r="A31" s="140" t="str">
        <f>CONCATENATE("Total Tax Levy Funds for ",C5-1," Budgeted Year")</f>
        <v>Total Tax Levy Funds for 2013 Budgeted Year</v>
      </c>
      <c r="B31" s="117"/>
      <c r="C31" s="141"/>
      <c r="D31" s="142"/>
      <c r="E31" s="143">
        <f>SUM(E17:E30)</f>
        <v>975171</v>
      </c>
    </row>
    <row r="32" spans="1:7">
      <c r="A32" s="144"/>
      <c r="B32" s="108"/>
      <c r="C32" s="108"/>
      <c r="D32" s="145"/>
      <c r="E32" s="138"/>
    </row>
    <row r="33" spans="1:5">
      <c r="A33" s="103" t="s">
        <v>274</v>
      </c>
      <c r="B33" s="85"/>
      <c r="C33" s="85"/>
      <c r="D33" s="85"/>
      <c r="E33" s="85"/>
    </row>
    <row r="34" spans="1:5">
      <c r="A34" s="85"/>
      <c r="B34" s="102" t="s">
        <v>207</v>
      </c>
      <c r="C34" s="85"/>
      <c r="D34" s="137">
        <v>473125</v>
      </c>
      <c r="E34" s="85"/>
    </row>
    <row r="35" spans="1:5">
      <c r="A35" s="85"/>
      <c r="B35" s="146" t="s">
        <v>366</v>
      </c>
      <c r="C35" s="85"/>
      <c r="D35" s="137">
        <v>0</v>
      </c>
      <c r="E35" s="85"/>
    </row>
    <row r="36" spans="1:5">
      <c r="A36" s="85"/>
      <c r="B36" s="139" t="s">
        <v>1042</v>
      </c>
      <c r="C36" s="85"/>
      <c r="D36" s="137">
        <v>15000</v>
      </c>
      <c r="E36" s="85"/>
    </row>
    <row r="37" spans="1:5">
      <c r="A37" s="85"/>
      <c r="B37" s="139" t="s">
        <v>1043</v>
      </c>
      <c r="C37" s="85"/>
      <c r="D37" s="137">
        <v>116025</v>
      </c>
      <c r="E37" s="85"/>
    </row>
    <row r="38" spans="1:5">
      <c r="A38" s="85"/>
      <c r="B38" s="139" t="s">
        <v>1044</v>
      </c>
      <c r="C38" s="85"/>
      <c r="D38" s="137">
        <v>808366</v>
      </c>
      <c r="E38" s="85"/>
    </row>
    <row r="39" spans="1:5">
      <c r="A39" s="85"/>
      <c r="B39" s="139" t="s">
        <v>1045</v>
      </c>
      <c r="C39" s="85"/>
      <c r="D39" s="137">
        <v>546250</v>
      </c>
      <c r="E39" s="85"/>
    </row>
    <row r="40" spans="1:5">
      <c r="A40" s="85"/>
      <c r="B40" s="139" t="s">
        <v>1046</v>
      </c>
      <c r="C40" s="85"/>
      <c r="D40" s="137">
        <v>5500</v>
      </c>
      <c r="E40" s="85"/>
    </row>
    <row r="41" spans="1:5">
      <c r="A41" s="85"/>
      <c r="B41" s="139" t="s">
        <v>1047</v>
      </c>
      <c r="C41" s="85"/>
      <c r="D41" s="137">
        <v>128829</v>
      </c>
      <c r="E41" s="85"/>
    </row>
    <row r="42" spans="1:5">
      <c r="A42" s="85"/>
      <c r="B42" s="139" t="s">
        <v>1048</v>
      </c>
      <c r="C42" s="85"/>
      <c r="D42" s="137">
        <v>120500</v>
      </c>
      <c r="E42" s="85"/>
    </row>
    <row r="43" spans="1:5">
      <c r="A43" s="85"/>
      <c r="B43" s="139"/>
      <c r="C43" s="85"/>
      <c r="D43" s="137"/>
      <c r="E43" s="85"/>
    </row>
    <row r="44" spans="1:5">
      <c r="A44" s="85"/>
      <c r="B44" s="147"/>
      <c r="C44" s="85"/>
      <c r="D44" s="137"/>
      <c r="E44" s="85"/>
    </row>
    <row r="45" spans="1:5">
      <c r="A45" s="85"/>
      <c r="B45" s="147"/>
      <c r="C45" s="85"/>
      <c r="D45" s="137"/>
      <c r="E45" s="85"/>
    </row>
    <row r="46" spans="1:5">
      <c r="A46" s="85" t="s">
        <v>302</v>
      </c>
      <c r="B46" s="148"/>
      <c r="C46" s="85"/>
      <c r="D46" s="85"/>
      <c r="E46" s="85"/>
    </row>
    <row r="47" spans="1:5">
      <c r="A47" s="85">
        <v>1</v>
      </c>
      <c r="B47" s="147"/>
      <c r="C47" s="85"/>
      <c r="D47" s="137"/>
      <c r="E47" s="85"/>
    </row>
    <row r="48" spans="1:5">
      <c r="A48" s="85">
        <v>2</v>
      </c>
      <c r="B48" s="147"/>
      <c r="C48" s="85"/>
      <c r="D48" s="137"/>
      <c r="E48" s="85"/>
    </row>
    <row r="49" spans="1:5">
      <c r="A49" s="85">
        <v>3</v>
      </c>
      <c r="B49" s="147"/>
      <c r="C49" s="85"/>
      <c r="D49" s="137"/>
      <c r="E49" s="85"/>
    </row>
    <row r="50" spans="1:5">
      <c r="A50" s="85">
        <v>4</v>
      </c>
      <c r="B50" s="147"/>
      <c r="C50" s="85"/>
      <c r="D50" s="137"/>
      <c r="E50" s="85"/>
    </row>
    <row r="51" spans="1:5">
      <c r="A51" s="140" t="str">
        <f>CONCATENATE("Total Expenditures for ",C5-1," Budgeted Year")</f>
        <v>Total Expenditures for 2013 Budgeted Year</v>
      </c>
      <c r="B51" s="149"/>
      <c r="C51" s="150"/>
      <c r="D51" s="151">
        <f>SUM(D17:D19,D21:D30,D34:D45,D47:D50)</f>
        <v>5061955</v>
      </c>
      <c r="E51" s="85"/>
    </row>
    <row r="52" spans="1:5">
      <c r="A52" s="85" t="s">
        <v>303</v>
      </c>
      <c r="B52" s="152"/>
      <c r="C52" s="85"/>
      <c r="D52" s="85"/>
      <c r="E52" s="85"/>
    </row>
    <row r="53" spans="1:5">
      <c r="A53" s="85">
        <v>1</v>
      </c>
      <c r="B53" s="147"/>
      <c r="C53" s="85"/>
      <c r="D53" s="85"/>
      <c r="E53" s="85"/>
    </row>
    <row r="54" spans="1:5">
      <c r="A54" s="85">
        <v>2</v>
      </c>
      <c r="B54" s="147"/>
      <c r="C54" s="85"/>
      <c r="D54" s="85"/>
      <c r="E54" s="85"/>
    </row>
    <row r="55" spans="1:5">
      <c r="A55" s="85">
        <v>3</v>
      </c>
      <c r="B55" s="147"/>
      <c r="C55" s="85"/>
      <c r="D55" s="85"/>
      <c r="E55" s="85"/>
    </row>
    <row r="56" spans="1:5">
      <c r="A56" s="85">
        <v>4</v>
      </c>
      <c r="B56" s="147"/>
      <c r="C56" s="85"/>
      <c r="D56" s="85"/>
      <c r="E56" s="85"/>
    </row>
    <row r="57" spans="1:5">
      <c r="A57" s="85">
        <v>5</v>
      </c>
      <c r="B57" s="147"/>
      <c r="C57" s="85"/>
      <c r="D57" s="85"/>
      <c r="E57" s="85"/>
    </row>
    <row r="58" spans="1:5">
      <c r="A58" s="85" t="s">
        <v>304</v>
      </c>
      <c r="B58" s="148"/>
      <c r="C58" s="85"/>
      <c r="D58" s="85"/>
      <c r="E58" s="85"/>
    </row>
    <row r="59" spans="1:5">
      <c r="A59" s="85">
        <v>1</v>
      </c>
      <c r="B59" s="147"/>
      <c r="C59" s="85"/>
      <c r="D59" s="85"/>
      <c r="E59" s="85"/>
    </row>
    <row r="60" spans="1:5">
      <c r="A60" s="85">
        <v>2</v>
      </c>
      <c r="B60" s="147"/>
      <c r="C60" s="85"/>
      <c r="D60" s="85"/>
      <c r="E60" s="85"/>
    </row>
    <row r="61" spans="1:5">
      <c r="A61" s="85">
        <v>3</v>
      </c>
      <c r="B61" s="147"/>
      <c r="C61" s="85"/>
      <c r="D61" s="85"/>
      <c r="E61" s="85"/>
    </row>
    <row r="62" spans="1:5">
      <c r="A62" s="85">
        <v>4</v>
      </c>
      <c r="B62" s="147"/>
      <c r="C62" s="85"/>
      <c r="D62" s="85"/>
      <c r="E62" s="85"/>
    </row>
    <row r="63" spans="1:5">
      <c r="A63" s="85">
        <v>5</v>
      </c>
      <c r="B63" s="147"/>
      <c r="C63" s="85"/>
      <c r="D63" s="85"/>
      <c r="E63" s="85"/>
    </row>
    <row r="64" spans="1:5">
      <c r="A64" s="85" t="s">
        <v>305</v>
      </c>
      <c r="B64" s="148"/>
      <c r="C64" s="85"/>
      <c r="D64" s="85"/>
      <c r="E64" s="85"/>
    </row>
    <row r="65" spans="1:5">
      <c r="A65" s="85">
        <v>1</v>
      </c>
      <c r="B65" s="147"/>
      <c r="C65" s="85"/>
      <c r="D65" s="85"/>
      <c r="E65" s="85"/>
    </row>
    <row r="66" spans="1:5">
      <c r="A66" s="85">
        <v>2</v>
      </c>
      <c r="B66" s="147"/>
      <c r="C66" s="85"/>
      <c r="D66" s="85"/>
      <c r="E66" s="85"/>
    </row>
    <row r="67" spans="1:5">
      <c r="A67" s="85">
        <v>3</v>
      </c>
      <c r="B67" s="147"/>
      <c r="C67" s="85"/>
      <c r="D67" s="85"/>
      <c r="E67" s="85"/>
    </row>
    <row r="68" spans="1:5">
      <c r="A68" s="85">
        <v>4</v>
      </c>
      <c r="B68" s="147"/>
      <c r="C68" s="85"/>
      <c r="D68" s="85"/>
      <c r="E68" s="85"/>
    </row>
    <row r="69" spans="1:5">
      <c r="A69" s="85">
        <v>5</v>
      </c>
      <c r="B69" s="147"/>
      <c r="C69" s="85"/>
      <c r="D69" s="85"/>
      <c r="E69" s="85"/>
    </row>
    <row r="70" spans="1:5">
      <c r="A70" s="85" t="s">
        <v>306</v>
      </c>
      <c r="B70" s="148"/>
      <c r="C70" s="85"/>
      <c r="D70" s="85"/>
      <c r="E70" s="85"/>
    </row>
    <row r="71" spans="1:5">
      <c r="A71" s="85">
        <v>1</v>
      </c>
      <c r="B71" s="147"/>
      <c r="C71" s="85"/>
      <c r="D71" s="85"/>
      <c r="E71" s="85"/>
    </row>
    <row r="72" spans="1:5">
      <c r="A72" s="85">
        <v>2</v>
      </c>
      <c r="B72" s="147"/>
      <c r="C72" s="85"/>
      <c r="D72" s="85"/>
      <c r="E72" s="85"/>
    </row>
    <row r="73" spans="1:5">
      <c r="A73" s="85">
        <v>3</v>
      </c>
      <c r="B73" s="147"/>
      <c r="C73" s="85"/>
      <c r="D73" s="85"/>
      <c r="E73" s="85"/>
    </row>
    <row r="74" spans="1:5">
      <c r="A74" s="85">
        <v>4</v>
      </c>
      <c r="B74" s="147"/>
      <c r="C74" s="85"/>
      <c r="D74" s="85"/>
      <c r="E74" s="85"/>
    </row>
    <row r="75" spans="1:5">
      <c r="A75" s="85">
        <v>5</v>
      </c>
      <c r="B75" s="147"/>
      <c r="C75" s="85"/>
      <c r="D75" s="85"/>
      <c r="E75" s="85"/>
    </row>
    <row r="76" spans="1:5">
      <c r="A76" s="144"/>
      <c r="B76" s="108"/>
      <c r="C76" s="108"/>
      <c r="D76" s="108"/>
      <c r="E76" s="153"/>
    </row>
    <row r="77" spans="1:5">
      <c r="A77" s="85"/>
      <c r="B77" s="85"/>
      <c r="C77" s="85"/>
      <c r="D77" s="85"/>
      <c r="E77" s="85"/>
    </row>
    <row r="78" spans="1:5">
      <c r="A78" s="85"/>
      <c r="B78" s="85"/>
      <c r="C78" s="85"/>
      <c r="D78" s="154" t="str">
        <f>CONCATENATE("",C5-3," Tax Rate")</f>
        <v>2011 Tax Rate</v>
      </c>
      <c r="E78" s="85"/>
    </row>
    <row r="79" spans="1:5">
      <c r="A79" s="131" t="str">
        <f>CONCATENATE("From the ",C5-1," Budget, Budget Summary Page")</f>
        <v>From the 2013 Budget, Budget Summary Page</v>
      </c>
      <c r="B79" s="132"/>
      <c r="C79" s="85"/>
      <c r="D79" s="155" t="str">
        <f>CONCATENATE("(",C5-2," Column)")</f>
        <v>(2012 Column)</v>
      </c>
      <c r="E79" s="85"/>
    </row>
    <row r="80" spans="1:5">
      <c r="A80" s="85"/>
      <c r="B80" s="100" t="str">
        <f>B17</f>
        <v>General</v>
      </c>
      <c r="C80" s="85"/>
      <c r="D80" s="147">
        <v>17.675000000000001</v>
      </c>
      <c r="E80" s="85"/>
    </row>
    <row r="81" spans="1:5">
      <c r="A81" s="85"/>
      <c r="B81" s="100" t="str">
        <f>B18</f>
        <v>Debt Service</v>
      </c>
      <c r="C81" s="85"/>
      <c r="D81" s="147">
        <v>8.1219999999999999</v>
      </c>
      <c r="E81" s="85"/>
    </row>
    <row r="82" spans="1:5">
      <c r="A82" s="85"/>
      <c r="B82" s="100" t="str">
        <f>B19</f>
        <v>Library</v>
      </c>
      <c r="C82" s="85"/>
      <c r="D82" s="147">
        <v>5.56</v>
      </c>
      <c r="E82" s="85"/>
    </row>
    <row r="83" spans="1:5">
      <c r="A83" s="85"/>
      <c r="B83" s="100" t="str">
        <f t="shared" ref="B83:B92" si="0">B21</f>
        <v>Industrial</v>
      </c>
      <c r="C83" s="85"/>
      <c r="D83" s="147">
        <v>0.73799999999999999</v>
      </c>
      <c r="E83" s="85"/>
    </row>
    <row r="84" spans="1:5">
      <c r="A84" s="85"/>
      <c r="B84" s="100" t="str">
        <f t="shared" si="0"/>
        <v>Recreation</v>
      </c>
      <c r="C84" s="85"/>
      <c r="D84" s="147">
        <v>1.8049999999999999</v>
      </c>
      <c r="E84" s="85"/>
    </row>
    <row r="85" spans="1:5">
      <c r="A85" s="85"/>
      <c r="B85" s="100" t="str">
        <f t="shared" si="0"/>
        <v>Employee Benefits</v>
      </c>
      <c r="C85" s="85"/>
      <c r="D85" s="147">
        <v>14.016999999999999</v>
      </c>
      <c r="E85" s="85"/>
    </row>
    <row r="86" spans="1:5">
      <c r="A86" s="85"/>
      <c r="B86" s="100">
        <f t="shared" si="0"/>
        <v>0</v>
      </c>
      <c r="C86" s="85"/>
      <c r="D86" s="147"/>
      <c r="E86" s="85"/>
    </row>
    <row r="87" spans="1:5">
      <c r="A87" s="85"/>
      <c r="B87" s="100">
        <f t="shared" si="0"/>
        <v>0</v>
      </c>
      <c r="C87" s="85"/>
      <c r="D87" s="147"/>
      <c r="E87" s="85"/>
    </row>
    <row r="88" spans="1:5">
      <c r="A88" s="85"/>
      <c r="B88" s="100">
        <f t="shared" si="0"/>
        <v>0</v>
      </c>
      <c r="C88" s="85"/>
      <c r="D88" s="147"/>
      <c r="E88" s="85"/>
    </row>
    <row r="89" spans="1:5">
      <c r="A89" s="85"/>
      <c r="B89" s="100">
        <f t="shared" si="0"/>
        <v>0</v>
      </c>
      <c r="C89" s="85"/>
      <c r="D89" s="147"/>
      <c r="E89" s="85"/>
    </row>
    <row r="90" spans="1:5">
      <c r="A90" s="85"/>
      <c r="B90" s="100">
        <f t="shared" si="0"/>
        <v>0</v>
      </c>
      <c r="C90" s="85"/>
      <c r="D90" s="147"/>
      <c r="E90" s="85"/>
    </row>
    <row r="91" spans="1:5">
      <c r="A91" s="85"/>
      <c r="B91" s="100">
        <f t="shared" si="0"/>
        <v>0</v>
      </c>
      <c r="C91" s="85"/>
      <c r="D91" s="147"/>
      <c r="E91" s="85"/>
    </row>
    <row r="92" spans="1:5">
      <c r="A92" s="85"/>
      <c r="B92" s="100">
        <f t="shared" si="0"/>
        <v>0</v>
      </c>
      <c r="C92" s="85"/>
      <c r="D92" s="147"/>
      <c r="E92" s="85"/>
    </row>
    <row r="93" spans="1:5">
      <c r="A93" s="140" t="s">
        <v>77</v>
      </c>
      <c r="B93" s="117"/>
      <c r="C93" s="150"/>
      <c r="D93" s="156">
        <f>SUM(D80:D92)</f>
        <v>47.917000000000002</v>
      </c>
      <c r="E93" s="85"/>
    </row>
    <row r="94" spans="1:5">
      <c r="A94" s="85"/>
      <c r="B94" s="85"/>
      <c r="C94" s="85"/>
      <c r="D94" s="85"/>
      <c r="E94" s="85"/>
    </row>
    <row r="95" spans="1:5">
      <c r="A95" s="157" t="str">
        <f>CONCATENATE("Total Tax Levied (",C5-2," budget column)")</f>
        <v>Total Tax Levied (2012 budget column)</v>
      </c>
      <c r="B95" s="158"/>
      <c r="C95" s="117"/>
      <c r="D95" s="150"/>
      <c r="E95" s="137">
        <v>969680</v>
      </c>
    </row>
    <row r="96" spans="1:5">
      <c r="A96" s="159" t="str">
        <f>CONCATENATE("Assessed Valuation  (",C5-2," budget column)")</f>
        <v>Assessed Valuation  (2012 budget column)</v>
      </c>
      <c r="B96" s="160"/>
      <c r="C96" s="141"/>
      <c r="D96" s="161"/>
      <c r="E96" s="137">
        <v>20236744</v>
      </c>
    </row>
    <row r="97" spans="1:5">
      <c r="A97" s="144"/>
      <c r="B97" s="108"/>
      <c r="C97" s="108"/>
      <c r="D97" s="108"/>
      <c r="E97" s="153"/>
    </row>
    <row r="98" spans="1:5">
      <c r="A98" s="162" t="str">
        <f>CONCATENATE("From the ",C5-1," Budget, Budget Summary Page")</f>
        <v>From the 2013 Budget, Budget Summary Page</v>
      </c>
      <c r="B98" s="163"/>
      <c r="C98" s="85"/>
      <c r="D98" s="164"/>
      <c r="E98" s="165"/>
    </row>
    <row r="99" spans="1:5">
      <c r="A99" s="130" t="s">
        <v>3</v>
      </c>
      <c r="B99" s="130"/>
      <c r="C99" s="166"/>
      <c r="D99" s="167">
        <f>C5-3</f>
        <v>2011</v>
      </c>
      <c r="E99" s="168">
        <f>C5-2</f>
        <v>2012</v>
      </c>
    </row>
    <row r="100" spans="1:5">
      <c r="A100" s="169" t="s">
        <v>270</v>
      </c>
      <c r="B100" s="169"/>
      <c r="C100" s="170"/>
      <c r="D100" s="171">
        <v>8814112</v>
      </c>
      <c r="E100" s="171">
        <v>8498220</v>
      </c>
    </row>
    <row r="101" spans="1:5">
      <c r="A101" s="172" t="s">
        <v>271</v>
      </c>
      <c r="B101" s="172"/>
      <c r="C101" s="173"/>
      <c r="D101" s="171">
        <v>0</v>
      </c>
      <c r="E101" s="171">
        <v>0</v>
      </c>
    </row>
    <row r="102" spans="1:5">
      <c r="A102" s="172" t="s">
        <v>272</v>
      </c>
      <c r="B102" s="172"/>
      <c r="C102" s="173"/>
      <c r="D102" s="171">
        <v>507747</v>
      </c>
      <c r="E102" s="171">
        <v>0</v>
      </c>
    </row>
    <row r="103" spans="1:5">
      <c r="A103" s="172" t="s">
        <v>273</v>
      </c>
      <c r="B103" s="172"/>
      <c r="C103" s="173"/>
      <c r="D103" s="171">
        <v>12915</v>
      </c>
      <c r="E103" s="171">
        <v>0</v>
      </c>
    </row>
    <row r="104" spans="1:5">
      <c r="A104" s="47"/>
      <c r="B104" s="47"/>
      <c r="C104" s="47"/>
      <c r="D104" s="47"/>
      <c r="E104" s="47"/>
    </row>
    <row r="105" spans="1:5">
      <c r="A105" s="47"/>
      <c r="B105" s="47"/>
      <c r="C105" s="47"/>
      <c r="D105" s="47"/>
      <c r="E105" s="47"/>
    </row>
    <row r="106" spans="1:5">
      <c r="A106" s="47"/>
      <c r="B106" s="47"/>
      <c r="C106" s="47"/>
      <c r="D106" s="47"/>
      <c r="E106" s="47"/>
    </row>
    <row r="107" spans="1:5">
      <c r="A107" s="47"/>
      <c r="B107" s="47"/>
      <c r="C107" s="47"/>
      <c r="D107" s="47"/>
      <c r="E107" s="47"/>
    </row>
    <row r="108" spans="1:5">
      <c r="A108" s="47"/>
      <c r="B108" s="47"/>
      <c r="C108" s="47"/>
      <c r="D108" s="47"/>
      <c r="E108" s="47"/>
    </row>
    <row r="109" spans="1:5">
      <c r="A109" s="47"/>
      <c r="B109" s="47"/>
      <c r="C109" s="47"/>
      <c r="D109" s="47"/>
      <c r="E109" s="47"/>
    </row>
    <row r="110" spans="1:5" s="47" customFormat="1" ht="15"/>
    <row r="111" spans="1:5">
      <c r="A111" s="47"/>
      <c r="B111" s="47"/>
      <c r="C111" s="47"/>
      <c r="D111" s="47"/>
      <c r="E111" s="47"/>
    </row>
    <row r="112" spans="1:5">
      <c r="A112" s="47"/>
      <c r="B112" s="47"/>
      <c r="C112" s="47"/>
      <c r="D112" s="47"/>
      <c r="E112" s="47"/>
    </row>
    <row r="113" spans="1:5">
      <c r="A113" s="47"/>
      <c r="B113" s="47"/>
      <c r="C113" s="47"/>
      <c r="D113" s="47"/>
      <c r="E113" s="47"/>
    </row>
    <row r="114" spans="1:5">
      <c r="A114" s="47"/>
      <c r="B114" s="47"/>
      <c r="C114" s="47"/>
      <c r="D114" s="47"/>
      <c r="E114" s="47"/>
    </row>
    <row r="115" spans="1:5">
      <c r="A115" s="47"/>
      <c r="B115" s="47"/>
      <c r="C115" s="47"/>
      <c r="D115" s="47"/>
      <c r="E115" s="47"/>
    </row>
    <row r="116" spans="1:5">
      <c r="A116" s="47"/>
      <c r="B116" s="47"/>
      <c r="C116" s="47"/>
      <c r="D116" s="47"/>
      <c r="E116" s="47"/>
    </row>
    <row r="117" spans="1:5">
      <c r="A117" s="47"/>
      <c r="B117" s="47"/>
      <c r="C117" s="47"/>
      <c r="D117" s="47"/>
      <c r="E117" s="47"/>
    </row>
    <row r="118" spans="1:5">
      <c r="A118" s="47"/>
      <c r="B118" s="47"/>
      <c r="C118" s="47"/>
      <c r="D118" s="47"/>
      <c r="E118" s="47"/>
    </row>
    <row r="119" spans="1:5">
      <c r="A119" s="47"/>
      <c r="B119" s="47"/>
      <c r="C119" s="47"/>
      <c r="D119" s="47"/>
      <c r="E119" s="47"/>
    </row>
    <row r="120" spans="1:5">
      <c r="A120" s="47"/>
      <c r="B120" s="47"/>
      <c r="C120" s="47"/>
      <c r="D120" s="47"/>
      <c r="E120" s="47"/>
    </row>
    <row r="121" spans="1:5">
      <c r="A121" s="47"/>
      <c r="B121" s="47"/>
      <c r="C121" s="47"/>
      <c r="D121" s="47"/>
      <c r="E121" s="47"/>
    </row>
  </sheetData>
  <sheetProtection sheet="1"/>
  <mergeCells count="3">
    <mergeCell ref="A10:E10"/>
    <mergeCell ref="A1:E1"/>
    <mergeCell ref="G8:H13"/>
  </mergeCells>
  <phoneticPr fontId="0" type="noConversion"/>
  <pageMargins left="0.5" right="0.5" top="1" bottom="0.5" header="0.5" footer="0.25"/>
  <pageSetup scale="72" fitToHeight="2" orientation="portrait" blackAndWhite="1"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K93"/>
  <sheetViews>
    <sheetView zoomScaleNormal="100" workbookViewId="0">
      <selection activeCell="K7" sqref="K7"/>
    </sheetView>
  </sheetViews>
  <sheetFormatPr defaultColWidth="8.88671875" defaultRowHeight="15.75"/>
  <cols>
    <col min="1" max="1" width="2.44140625" style="121" customWidth="1"/>
    <col min="2" max="2" width="31.109375" style="121" customWidth="1"/>
    <col min="3" max="4" width="15.77734375" style="121" customWidth="1"/>
    <col min="5" max="5" width="16.21875" style="121" customWidth="1"/>
    <col min="6" max="6" width="8.109375" style="121" customWidth="1"/>
    <col min="7" max="7" width="10.21875" style="121" customWidth="1"/>
    <col min="8" max="8" width="8.88671875" style="121"/>
    <col min="9" max="9" width="5" style="121" customWidth="1"/>
    <col min="10" max="10" width="10" style="121" customWidth="1"/>
    <col min="11" max="16384" width="8.88671875" style="121"/>
  </cols>
  <sheetData>
    <row r="1" spans="2:5">
      <c r="B1" s="105" t="str">
        <f>(inputPrYr!D2)</f>
        <v>City of Hiawatha</v>
      </c>
      <c r="C1" s="85"/>
      <c r="D1" s="85"/>
      <c r="E1" s="343">
        <f>inputPrYr!C5</f>
        <v>2014</v>
      </c>
    </row>
    <row r="2" spans="2:5">
      <c r="B2" s="85"/>
      <c r="C2" s="85"/>
      <c r="D2" s="85"/>
      <c r="E2" s="118"/>
    </row>
    <row r="3" spans="2:5">
      <c r="B3" s="318" t="s">
        <v>173</v>
      </c>
      <c r="C3" s="107"/>
      <c r="D3" s="107"/>
      <c r="E3" s="352"/>
    </row>
    <row r="4" spans="2:5">
      <c r="B4" s="103" t="s">
        <v>105</v>
      </c>
      <c r="C4" s="321" t="s">
        <v>848</v>
      </c>
      <c r="D4" s="322" t="s">
        <v>849</v>
      </c>
      <c r="E4" s="96" t="s">
        <v>850</v>
      </c>
    </row>
    <row r="5" spans="2:5">
      <c r="B5" s="560">
        <f>inputPrYr!B29</f>
        <v>0</v>
      </c>
      <c r="C5" s="323" t="str">
        <f>CONCATENATE("Actual for ",E1-2,"")</f>
        <v>Actual for 2012</v>
      </c>
      <c r="D5" s="323" t="str">
        <f>CONCATENATE("Estimate for ",E1-1,"")</f>
        <v>Estimate for 2013</v>
      </c>
      <c r="E5" s="324" t="str">
        <f>CONCATENATE("Year for ",E1,"")</f>
        <v>Year for 2014</v>
      </c>
    </row>
    <row r="6" spans="2:5">
      <c r="B6" s="274" t="s">
        <v>228</v>
      </c>
      <c r="C6" s="325"/>
      <c r="D6" s="326">
        <f>C34</f>
        <v>0</v>
      </c>
      <c r="E6" s="327">
        <f>D34</f>
        <v>0</v>
      </c>
    </row>
    <row r="7" spans="2:5">
      <c r="B7" s="346" t="s">
        <v>230</v>
      </c>
      <c r="C7" s="217"/>
      <c r="D7" s="217"/>
      <c r="E7" s="100"/>
    </row>
    <row r="8" spans="2:5">
      <c r="B8" s="177" t="s">
        <v>106</v>
      </c>
      <c r="C8" s="325"/>
      <c r="D8" s="326">
        <f>IF(inputPrYr!H16&gt;0,inputPrYr!G29,inputPrYr!E29)</f>
        <v>0</v>
      </c>
      <c r="E8" s="354" t="s">
        <v>94</v>
      </c>
    </row>
    <row r="9" spans="2:5">
      <c r="B9" s="177" t="s">
        <v>107</v>
      </c>
      <c r="C9" s="325"/>
      <c r="D9" s="325"/>
      <c r="E9" s="137"/>
    </row>
    <row r="10" spans="2:5">
      <c r="B10" s="177" t="s">
        <v>108</v>
      </c>
      <c r="C10" s="325"/>
      <c r="D10" s="325"/>
      <c r="E10" s="327" t="str">
        <f>mvalloc!D18</f>
        <v xml:space="preserve">  </v>
      </c>
    </row>
    <row r="11" spans="2:5">
      <c r="B11" s="177" t="s">
        <v>109</v>
      </c>
      <c r="C11" s="325"/>
      <c r="D11" s="325"/>
      <c r="E11" s="327" t="str">
        <f>mvalloc!E18</f>
        <v xml:space="preserve"> </v>
      </c>
    </row>
    <row r="12" spans="2:5">
      <c r="B12" s="217" t="s">
        <v>205</v>
      </c>
      <c r="C12" s="325"/>
      <c r="D12" s="325"/>
      <c r="E12" s="327" t="str">
        <f>mvalloc!F18</f>
        <v xml:space="preserve"> </v>
      </c>
    </row>
    <row r="13" spans="2:5">
      <c r="B13" s="329"/>
      <c r="C13" s="325"/>
      <c r="D13" s="325"/>
      <c r="E13" s="137"/>
    </row>
    <row r="14" spans="2:5">
      <c r="B14" s="329"/>
      <c r="C14" s="325"/>
      <c r="D14" s="325"/>
      <c r="E14" s="137"/>
    </row>
    <row r="15" spans="2:5">
      <c r="B15" s="329"/>
      <c r="C15" s="325"/>
      <c r="D15" s="325"/>
      <c r="E15" s="137"/>
    </row>
    <row r="16" spans="2:5">
      <c r="B16" s="329"/>
      <c r="C16" s="325"/>
      <c r="D16" s="325"/>
      <c r="E16" s="137"/>
    </row>
    <row r="17" spans="2:10">
      <c r="B17" s="347" t="s">
        <v>113</v>
      </c>
      <c r="C17" s="325"/>
      <c r="D17" s="325"/>
      <c r="E17" s="137"/>
    </row>
    <row r="18" spans="2:10">
      <c r="B18" s="217" t="s">
        <v>14</v>
      </c>
      <c r="C18" s="325"/>
      <c r="D18" s="325"/>
      <c r="E18" s="137"/>
    </row>
    <row r="19" spans="2:10">
      <c r="B19" s="274" t="s">
        <v>774</v>
      </c>
      <c r="C19" s="333" t="str">
        <f>IF(C20*0.1&lt;C18,"Exceed 10% Rule","")</f>
        <v/>
      </c>
      <c r="D19" s="333" t="str">
        <f>IF(D20*0.1&lt;D18,"Exceed 10% Rule","")</f>
        <v/>
      </c>
      <c r="E19" s="340" t="str">
        <f>IF(E20*0.1+E40&lt;E18,"Exceed 10% Rule","")</f>
        <v/>
      </c>
    </row>
    <row r="20" spans="2:10">
      <c r="B20" s="335" t="s">
        <v>114</v>
      </c>
      <c r="C20" s="337">
        <f>SUM(C8:C18)</f>
        <v>0</v>
      </c>
      <c r="D20" s="337">
        <f>SUM(D8:D18)</f>
        <v>0</v>
      </c>
      <c r="E20" s="338">
        <f>SUM(E8:E18)</f>
        <v>0</v>
      </c>
    </row>
    <row r="21" spans="2:10">
      <c r="B21" s="335" t="s">
        <v>115</v>
      </c>
      <c r="C21" s="337">
        <f>C6+C20</f>
        <v>0</v>
      </c>
      <c r="D21" s="337">
        <f>D6+D20</f>
        <v>0</v>
      </c>
      <c r="E21" s="338">
        <f>E6+E20</f>
        <v>0</v>
      </c>
    </row>
    <row r="22" spans="2:10">
      <c r="B22" s="177" t="s">
        <v>117</v>
      </c>
      <c r="C22" s="339"/>
      <c r="D22" s="339"/>
      <c r="E22" s="102"/>
    </row>
    <row r="23" spans="2:10">
      <c r="B23" s="329"/>
      <c r="C23" s="325"/>
      <c r="D23" s="325"/>
      <c r="E23" s="137"/>
    </row>
    <row r="24" spans="2:10">
      <c r="B24" s="329"/>
      <c r="C24" s="325"/>
      <c r="D24" s="325"/>
      <c r="E24" s="137"/>
      <c r="G24" s="895" t="str">
        <f>CONCATENATE("Desired Carryover Into ",E1+1,"")</f>
        <v>Desired Carryover Into 2015</v>
      </c>
      <c r="H24" s="893"/>
      <c r="I24" s="893"/>
      <c r="J24" s="894"/>
    </row>
    <row r="25" spans="2:10">
      <c r="B25" s="329"/>
      <c r="C25" s="325"/>
      <c r="D25" s="325"/>
      <c r="E25" s="137"/>
      <c r="G25" s="657"/>
      <c r="H25" s="658"/>
      <c r="I25" s="659"/>
      <c r="J25" s="660"/>
    </row>
    <row r="26" spans="2:10">
      <c r="B26" s="329"/>
      <c r="C26" s="325"/>
      <c r="D26" s="325"/>
      <c r="E26" s="137"/>
      <c r="G26" s="661" t="s">
        <v>782</v>
      </c>
      <c r="H26" s="659"/>
      <c r="I26" s="659"/>
      <c r="J26" s="662">
        <v>0</v>
      </c>
    </row>
    <row r="27" spans="2:10">
      <c r="B27" s="329"/>
      <c r="C27" s="325"/>
      <c r="D27" s="325"/>
      <c r="E27" s="137"/>
      <c r="G27" s="657" t="s">
        <v>783</v>
      </c>
      <c r="H27" s="658"/>
      <c r="I27" s="658"/>
      <c r="J27" s="693" t="str">
        <f>IF(J26=0,"",ROUND((J26+E40-G39)/summ!F53*1000,3)-G44)</f>
        <v/>
      </c>
    </row>
    <row r="28" spans="2:10">
      <c r="B28" s="329"/>
      <c r="C28" s="325"/>
      <c r="D28" s="325"/>
      <c r="E28" s="137"/>
      <c r="G28" s="664" t="str">
        <f>CONCATENATE("",E1," Tot Exp/Non-Appr Must Be:")</f>
        <v>2014 Tot Exp/Non-Appr Must Be:</v>
      </c>
      <c r="H28" s="665"/>
      <c r="I28" s="666"/>
      <c r="J28" s="667">
        <f>IF(J26&gt;0,IF(E37&lt;E20,IF(J26=G39,E37,((J26-G39)*(1-D39))+E20),E37+(J26-G39)),0)</f>
        <v>0</v>
      </c>
    </row>
    <row r="29" spans="2:10">
      <c r="B29" s="329"/>
      <c r="C29" s="325"/>
      <c r="D29" s="325"/>
      <c r="E29" s="137"/>
      <c r="G29" s="668" t="s">
        <v>851</v>
      </c>
      <c r="H29" s="669"/>
      <c r="I29" s="669"/>
      <c r="J29" s="670">
        <f>IF(J26&gt;0,J28-E37,0)</f>
        <v>0</v>
      </c>
    </row>
    <row r="30" spans="2:10">
      <c r="B30" s="339" t="s">
        <v>13</v>
      </c>
      <c r="C30" s="325"/>
      <c r="D30" s="325"/>
      <c r="E30" s="151" t="str">
        <f>nhood!E17</f>
        <v/>
      </c>
      <c r="J30" s="3"/>
    </row>
    <row r="31" spans="2:10">
      <c r="B31" s="339" t="s">
        <v>14</v>
      </c>
      <c r="C31" s="325"/>
      <c r="D31" s="325"/>
      <c r="E31" s="137"/>
      <c r="G31" s="895" t="str">
        <f>CONCATENATE("Projected Carryover Into ",E1+1,"")</f>
        <v>Projected Carryover Into 2015</v>
      </c>
      <c r="H31" s="897"/>
      <c r="I31" s="897"/>
      <c r="J31" s="899"/>
    </row>
    <row r="32" spans="2:10">
      <c r="B32" s="339" t="s">
        <v>773</v>
      </c>
      <c r="C32" s="333" t="str">
        <f>IF(C33*0.1&lt;C31,"Exceed 10% Rule","")</f>
        <v/>
      </c>
      <c r="D32" s="333" t="str">
        <f>IF(D33*0.1&lt;D31,"Exceed 10% Rule","")</f>
        <v/>
      </c>
      <c r="E32" s="340" t="str">
        <f>IF(E33*0.1&lt;E31,"Exceed 10% Rule","")</f>
        <v/>
      </c>
      <c r="G32" s="657"/>
      <c r="H32" s="659"/>
      <c r="I32" s="659"/>
      <c r="J32" s="770"/>
    </row>
    <row r="33" spans="2:11">
      <c r="B33" s="335" t="s">
        <v>121</v>
      </c>
      <c r="C33" s="337">
        <f>SUM(C23:C31)</f>
        <v>0</v>
      </c>
      <c r="D33" s="337">
        <f>SUM(D23:D31)</f>
        <v>0</v>
      </c>
      <c r="E33" s="338">
        <f>SUM(E23:E31)</f>
        <v>0</v>
      </c>
      <c r="G33" s="697">
        <f>D34</f>
        <v>0</v>
      </c>
      <c r="H33" s="683" t="str">
        <f>CONCATENATE("",E1-1," Ending Cash Balance (est.)")</f>
        <v>2013 Ending Cash Balance (est.)</v>
      </c>
      <c r="I33" s="698"/>
      <c r="J33" s="770"/>
    </row>
    <row r="34" spans="2:11">
      <c r="B34" s="177" t="s">
        <v>229</v>
      </c>
      <c r="C34" s="341">
        <f>C21-C33</f>
        <v>0</v>
      </c>
      <c r="D34" s="341">
        <f>D21-D33</f>
        <v>0</v>
      </c>
      <c r="E34" s="354" t="s">
        <v>94</v>
      </c>
      <c r="G34" s="697">
        <f>E20</f>
        <v>0</v>
      </c>
      <c r="H34" s="659" t="str">
        <f>CONCATENATE("",E1," Non-AV Receipts (est.)")</f>
        <v>2014 Non-AV Receipts (est.)</v>
      </c>
      <c r="I34" s="698"/>
      <c r="J34" s="770"/>
    </row>
    <row r="35" spans="2:11">
      <c r="B35" s="119" t="str">
        <f>CONCATENATE("",E1-2,"/",E1-1," Budget Authority Amount:")</f>
        <v>2012/2013 Budget Authority Amount:</v>
      </c>
      <c r="C35" s="280">
        <f>inputOth!B72</f>
        <v>0</v>
      </c>
      <c r="D35" s="280">
        <f>inputPrYr!D29</f>
        <v>0</v>
      </c>
      <c r="E35" s="354" t="s">
        <v>94</v>
      </c>
      <c r="F35" s="356"/>
      <c r="G35" s="699">
        <f>IF(E39&gt;0,E38,E40)</f>
        <v>0</v>
      </c>
      <c r="H35" s="659" t="str">
        <f>CONCATENATE("",E1," Ad Valorem Tax (est.)")</f>
        <v>2014 Ad Valorem Tax (est.)</v>
      </c>
      <c r="I35" s="698"/>
      <c r="J35" s="771"/>
      <c r="K35" s="768" t="str">
        <f>IF(G35=E40,"","Note: Does not include Delinquent Taxes")</f>
        <v/>
      </c>
    </row>
    <row r="36" spans="2:11">
      <c r="B36" s="119"/>
      <c r="C36" s="886" t="s">
        <v>778</v>
      </c>
      <c r="D36" s="887"/>
      <c r="E36" s="137"/>
      <c r="F36" s="785" t="str">
        <f>IF(E33/0.95-E33&lt;E36,"Exceeds 5%","")</f>
        <v/>
      </c>
      <c r="G36" s="697">
        <f>SUM(G33:G35)</f>
        <v>0</v>
      </c>
      <c r="H36" s="659" t="str">
        <f>CONCATENATE("Total ",E1," Resources Available")</f>
        <v>Total 2014 Resources Available</v>
      </c>
      <c r="I36" s="698"/>
      <c r="J36" s="770"/>
    </row>
    <row r="37" spans="2:11">
      <c r="B37" s="603" t="str">
        <f>CONCATENATE(C90,"     ",D90)</f>
        <v xml:space="preserve">     </v>
      </c>
      <c r="C37" s="888" t="s">
        <v>779</v>
      </c>
      <c r="D37" s="889"/>
      <c r="E37" s="327">
        <f>E33+E36</f>
        <v>0</v>
      </c>
      <c r="G37" s="772"/>
      <c r="H37" s="659"/>
      <c r="I37" s="659"/>
      <c r="J37" s="770"/>
    </row>
    <row r="38" spans="2:11">
      <c r="B38" s="603" t="str">
        <f>CONCATENATE(C91,"      ",D91)</f>
        <v xml:space="preserve">      </v>
      </c>
      <c r="C38" s="342"/>
      <c r="D38" s="118" t="s">
        <v>122</v>
      </c>
      <c r="E38" s="151">
        <f>IF(E37-E21&gt;0,E37-E21,0)</f>
        <v>0</v>
      </c>
      <c r="G38" s="699">
        <f>ROUND(C33*0.05+C33,0)</f>
        <v>0</v>
      </c>
      <c r="H38" s="659" t="str">
        <f>CONCATENATE("Less ",E1-2," Expenditures + 5%")</f>
        <v>Less 2012 Expenditures + 5%</v>
      </c>
      <c r="I38" s="698"/>
      <c r="J38" s="770"/>
    </row>
    <row r="39" spans="2:11">
      <c r="B39" s="118"/>
      <c r="C39" s="599" t="s">
        <v>780</v>
      </c>
      <c r="D39" s="678">
        <f>inputOth!$E$48</f>
        <v>2.5000000000000001E-2</v>
      </c>
      <c r="E39" s="327">
        <f>ROUND(IF(D39&gt;0,(E38*D39),0),0)</f>
        <v>0</v>
      </c>
      <c r="G39" s="773">
        <f>G36-G38</f>
        <v>0</v>
      </c>
      <c r="H39" s="774" t="str">
        <f>CONCATENATE("Projected ",E1+1," carryover (est.)")</f>
        <v>Projected 2015 carryover (est.)</v>
      </c>
      <c r="I39" s="775"/>
      <c r="J39" s="707"/>
    </row>
    <row r="40" spans="2:11" ht="16.5" thickBot="1">
      <c r="B40" s="85"/>
      <c r="C40" s="884" t="str">
        <f>CONCATENATE("Amount of  ",$E$1-1," Ad Valorem Tax")</f>
        <v>Amount of  2013 Ad Valorem Tax</v>
      </c>
      <c r="D40" s="885"/>
      <c r="E40" s="681">
        <f>E38+E39</f>
        <v>0</v>
      </c>
      <c r="G40" s="3"/>
      <c r="H40" s="3"/>
      <c r="I40" s="3"/>
      <c r="J40" s="3"/>
    </row>
    <row r="41" spans="2:11" ht="16.5" thickTop="1">
      <c r="B41" s="85"/>
      <c r="C41" s="85"/>
      <c r="D41" s="85"/>
      <c r="E41" s="85"/>
      <c r="G41" s="881" t="s">
        <v>853</v>
      </c>
      <c r="H41" s="882"/>
      <c r="I41" s="882"/>
      <c r="J41" s="883"/>
    </row>
    <row r="42" spans="2:11">
      <c r="B42" s="103"/>
      <c r="C42" s="116"/>
      <c r="D42" s="116"/>
      <c r="E42" s="116"/>
      <c r="G42" s="682"/>
      <c r="H42" s="683"/>
      <c r="I42" s="684"/>
      <c r="J42" s="685"/>
    </row>
    <row r="43" spans="2:11">
      <c r="B43" s="103" t="s">
        <v>105</v>
      </c>
      <c r="C43" s="321" t="s">
        <v>848</v>
      </c>
      <c r="D43" s="322" t="s">
        <v>854</v>
      </c>
      <c r="E43" s="96" t="s">
        <v>850</v>
      </c>
      <c r="G43" s="686" t="str">
        <f>summ!H26</f>
        <v xml:space="preserve">  </v>
      </c>
      <c r="H43" s="683" t="str">
        <f>CONCATENATE("",E1," Fund Mill Rate")</f>
        <v>2014 Fund Mill Rate</v>
      </c>
      <c r="I43" s="684"/>
      <c r="J43" s="685"/>
    </row>
    <row r="44" spans="2:11">
      <c r="B44" s="560">
        <f>inputPrYr!B30</f>
        <v>0</v>
      </c>
      <c r="C44" s="323" t="str">
        <f>C5</f>
        <v>Actual for 2012</v>
      </c>
      <c r="D44" s="323" t="str">
        <f>D5</f>
        <v>Estimate for 2013</v>
      </c>
      <c r="E44" s="324" t="str">
        <f>E5</f>
        <v>Year for 2014</v>
      </c>
      <c r="G44" s="688" t="str">
        <f>summ!E26</f>
        <v xml:space="preserve">  </v>
      </c>
      <c r="H44" s="683" t="str">
        <f>CONCATENATE("",E1-1," Fund Mill Rate")</f>
        <v>2013 Fund Mill Rate</v>
      </c>
      <c r="I44" s="684"/>
      <c r="J44" s="685"/>
    </row>
    <row r="45" spans="2:11">
      <c r="B45" s="274" t="s">
        <v>228</v>
      </c>
      <c r="C45" s="325"/>
      <c r="D45" s="326">
        <f>C74</f>
        <v>0</v>
      </c>
      <c r="E45" s="327">
        <f>D74</f>
        <v>0</v>
      </c>
      <c r="G45" s="689">
        <f>summ!H48</f>
        <v>45.787999999999997</v>
      </c>
      <c r="H45" s="683" t="str">
        <f>CONCATENATE("Total ",E1," Mill Rate")</f>
        <v>Total 2014 Mill Rate</v>
      </c>
      <c r="I45" s="684"/>
      <c r="J45" s="685"/>
    </row>
    <row r="46" spans="2:11">
      <c r="B46" s="346" t="s">
        <v>230</v>
      </c>
      <c r="C46" s="217"/>
      <c r="D46" s="217"/>
      <c r="E46" s="100"/>
      <c r="G46" s="688">
        <f>summ!E48</f>
        <v>47.76</v>
      </c>
      <c r="H46" s="690" t="str">
        <f>CONCATENATE("Total ",E1-1," Mill Rate")</f>
        <v>Total 2013 Mill Rate</v>
      </c>
      <c r="I46" s="691"/>
      <c r="J46" s="692"/>
    </row>
    <row r="47" spans="2:11">
      <c r="B47" s="177" t="s">
        <v>106</v>
      </c>
      <c r="C47" s="325"/>
      <c r="D47" s="326">
        <f>IF(inputPrYr!H16&gt;0,inputPrYr!G30,inputPrYr!E30)</f>
        <v>0</v>
      </c>
      <c r="E47" s="354" t="s">
        <v>94</v>
      </c>
    </row>
    <row r="48" spans="2:11">
      <c r="B48" s="177" t="s">
        <v>107</v>
      </c>
      <c r="C48" s="325"/>
      <c r="D48" s="325"/>
      <c r="E48" s="137"/>
      <c r="G48" s="832" t="s">
        <v>1031</v>
      </c>
      <c r="H48" s="831"/>
      <c r="I48" s="830" t="str">
        <f>cert!F54</f>
        <v>Yes</v>
      </c>
    </row>
    <row r="49" spans="2:10">
      <c r="B49" s="177" t="s">
        <v>108</v>
      </c>
      <c r="C49" s="325"/>
      <c r="D49" s="325"/>
      <c r="E49" s="327" t="str">
        <f>mvalloc!D19</f>
        <v xml:space="preserve">  </v>
      </c>
    </row>
    <row r="50" spans="2:10">
      <c r="B50" s="177" t="s">
        <v>109</v>
      </c>
      <c r="C50" s="325"/>
      <c r="D50" s="325"/>
      <c r="E50" s="327" t="str">
        <f>mvalloc!E19</f>
        <v xml:space="preserve"> </v>
      </c>
    </row>
    <row r="51" spans="2:10">
      <c r="B51" s="217" t="s">
        <v>205</v>
      </c>
      <c r="C51" s="325"/>
      <c r="D51" s="325"/>
      <c r="E51" s="327" t="str">
        <f>mvalloc!F19</f>
        <v xml:space="preserve"> </v>
      </c>
    </row>
    <row r="52" spans="2:10">
      <c r="B52" s="329"/>
      <c r="C52" s="325"/>
      <c r="D52" s="325"/>
      <c r="E52" s="137"/>
    </row>
    <row r="53" spans="2:10">
      <c r="B53" s="329"/>
      <c r="C53" s="325"/>
      <c r="D53" s="325"/>
      <c r="E53" s="137"/>
    </row>
    <row r="54" spans="2:10">
      <c r="B54" s="329"/>
      <c r="C54" s="325"/>
      <c r="D54" s="325"/>
      <c r="E54" s="137"/>
    </row>
    <row r="55" spans="2:10">
      <c r="B55" s="329"/>
      <c r="C55" s="325"/>
      <c r="D55" s="325"/>
      <c r="E55" s="137"/>
    </row>
    <row r="56" spans="2:10">
      <c r="B56" s="329"/>
      <c r="C56" s="325"/>
      <c r="D56" s="325"/>
      <c r="E56" s="137"/>
    </row>
    <row r="57" spans="2:10">
      <c r="B57" s="347" t="s">
        <v>113</v>
      </c>
      <c r="C57" s="325"/>
      <c r="D57" s="325"/>
      <c r="E57" s="137"/>
    </row>
    <row r="58" spans="2:10">
      <c r="B58" s="217" t="s">
        <v>14</v>
      </c>
      <c r="C58" s="325"/>
      <c r="D58" s="325"/>
      <c r="E58" s="137"/>
    </row>
    <row r="59" spans="2:10">
      <c r="B59" s="274" t="s">
        <v>774</v>
      </c>
      <c r="C59" s="333" t="str">
        <f>IF(C60*0.1&lt;C58,"Exceed 10% Rule","")</f>
        <v/>
      </c>
      <c r="D59" s="333" t="str">
        <f>IF(D60*0.1&lt;D58,"Exceed 10% Rule","")</f>
        <v/>
      </c>
      <c r="E59" s="340" t="str">
        <f>IF(E60*0.1+E80&lt;E58,"Exceed 10% Rule","")</f>
        <v/>
      </c>
    </row>
    <row r="60" spans="2:10">
      <c r="B60" s="335" t="s">
        <v>114</v>
      </c>
      <c r="C60" s="337">
        <f>SUM(C47:C58)</f>
        <v>0</v>
      </c>
      <c r="D60" s="337">
        <f>SUM(D47:D58)</f>
        <v>0</v>
      </c>
      <c r="E60" s="338">
        <f>SUM(E47:E58)</f>
        <v>0</v>
      </c>
    </row>
    <row r="61" spans="2:10">
      <c r="B61" s="335" t="s">
        <v>115</v>
      </c>
      <c r="C61" s="337">
        <f>C45+C60</f>
        <v>0</v>
      </c>
      <c r="D61" s="337">
        <f>D45+D60</f>
        <v>0</v>
      </c>
      <c r="E61" s="338">
        <f>E45+E60</f>
        <v>0</v>
      </c>
    </row>
    <row r="62" spans="2:10">
      <c r="B62" s="177" t="s">
        <v>117</v>
      </c>
      <c r="C62" s="339"/>
      <c r="D62" s="339"/>
      <c r="E62" s="102"/>
    </row>
    <row r="63" spans="2:10">
      <c r="B63" s="329"/>
      <c r="C63" s="325"/>
      <c r="D63" s="325"/>
      <c r="E63" s="137"/>
    </row>
    <row r="64" spans="2:10">
      <c r="B64" s="329"/>
      <c r="C64" s="325"/>
      <c r="D64" s="325"/>
      <c r="E64" s="137"/>
      <c r="G64" s="895" t="str">
        <f>CONCATENATE("Desired Carryover Into ",E1+1,"")</f>
        <v>Desired Carryover Into 2015</v>
      </c>
      <c r="H64" s="893"/>
      <c r="I64" s="893"/>
      <c r="J64" s="894"/>
    </row>
    <row r="65" spans="2:11">
      <c r="B65" s="329"/>
      <c r="C65" s="325"/>
      <c r="D65" s="325"/>
      <c r="E65" s="137"/>
      <c r="G65" s="657"/>
      <c r="H65" s="658"/>
      <c r="I65" s="659"/>
      <c r="J65" s="660"/>
    </row>
    <row r="66" spans="2:11">
      <c r="B66" s="329"/>
      <c r="C66" s="325"/>
      <c r="D66" s="325"/>
      <c r="E66" s="137"/>
      <c r="G66" s="661" t="s">
        <v>782</v>
      </c>
      <c r="H66" s="659"/>
      <c r="I66" s="659"/>
      <c r="J66" s="662">
        <v>0</v>
      </c>
    </row>
    <row r="67" spans="2:11">
      <c r="B67" s="329"/>
      <c r="C67" s="325"/>
      <c r="D67" s="325"/>
      <c r="E67" s="137"/>
      <c r="G67" s="657" t="s">
        <v>783</v>
      </c>
      <c r="H67" s="658"/>
      <c r="I67" s="658"/>
      <c r="J67" s="693" t="str">
        <f>IF(J66=0,"",ROUND((J66+E80-G79)/summ!F53*1000,3)-G84)</f>
        <v/>
      </c>
    </row>
    <row r="68" spans="2:11">
      <c r="B68" s="329"/>
      <c r="C68" s="325"/>
      <c r="D68" s="325"/>
      <c r="E68" s="137"/>
      <c r="G68" s="664" t="str">
        <f>CONCATENATE("",E1," Tot Exp/Non-Appr Must Be:")</f>
        <v>2014 Tot Exp/Non-Appr Must Be:</v>
      </c>
      <c r="H68" s="665"/>
      <c r="I68" s="666"/>
      <c r="J68" s="667">
        <f>IF(J66&gt;0,IF(E77&lt;E61,IF(J66=G79,E77,((J66-G79)*(1-D79))+E61),E77+(J66-G79)),0)</f>
        <v>0</v>
      </c>
    </row>
    <row r="69" spans="2:11">
      <c r="B69" s="329"/>
      <c r="C69" s="325"/>
      <c r="D69" s="325"/>
      <c r="E69" s="137"/>
      <c r="G69" s="668" t="s">
        <v>851</v>
      </c>
      <c r="H69" s="669"/>
      <c r="I69" s="669"/>
      <c r="J69" s="670">
        <f>IF(J66&gt;0,J68-E77,0)</f>
        <v>0</v>
      </c>
    </row>
    <row r="70" spans="2:11">
      <c r="B70" s="339" t="s">
        <v>13</v>
      </c>
      <c r="C70" s="325"/>
      <c r="D70" s="325"/>
      <c r="E70" s="151" t="str">
        <f>nhood!E18</f>
        <v/>
      </c>
      <c r="J70" s="3"/>
    </row>
    <row r="71" spans="2:11">
      <c r="B71" s="339" t="s">
        <v>14</v>
      </c>
      <c r="C71" s="325"/>
      <c r="D71" s="325"/>
      <c r="E71" s="137"/>
      <c r="G71" s="895" t="str">
        <f>CONCATENATE("Projected Carryover Into ",E1+1,"")</f>
        <v>Projected Carryover Into 2015</v>
      </c>
      <c r="H71" s="898"/>
      <c r="I71" s="898"/>
      <c r="J71" s="899"/>
    </row>
    <row r="72" spans="2:11">
      <c r="B72" s="339" t="s">
        <v>773</v>
      </c>
      <c r="C72" s="333" t="str">
        <f>IF(C73*0.1&lt;C71,"Exceed 10% Rule","")</f>
        <v/>
      </c>
      <c r="D72" s="333" t="str">
        <f>IF(D73*0.1&lt;D71,"Exceed 10% Rule","")</f>
        <v/>
      </c>
      <c r="E72" s="340" t="str">
        <f>IF(E73*0.1&lt;E71,"Exceed 10% Rule","")</f>
        <v/>
      </c>
      <c r="G72" s="694"/>
      <c r="H72" s="658"/>
      <c r="I72" s="658"/>
      <c r="J72" s="695"/>
    </row>
    <row r="73" spans="2:11">
      <c r="B73" s="335" t="s">
        <v>121</v>
      </c>
      <c r="C73" s="337">
        <f>SUM(C63:C71)</f>
        <v>0</v>
      </c>
      <c r="D73" s="337">
        <f>SUM(D63:D71)</f>
        <v>0</v>
      </c>
      <c r="E73" s="338">
        <f>SUM(E63:E71)</f>
        <v>0</v>
      </c>
      <c r="G73" s="697">
        <f>D74</f>
        <v>0</v>
      </c>
      <c r="H73" s="683" t="str">
        <f>CONCATENATE("",E1-1," Ending Cash Balance (est.)")</f>
        <v>2013 Ending Cash Balance (est.)</v>
      </c>
      <c r="I73" s="698"/>
      <c r="J73" s="695"/>
    </row>
    <row r="74" spans="2:11">
      <c r="B74" s="177" t="s">
        <v>229</v>
      </c>
      <c r="C74" s="341">
        <f>C61-C73</f>
        <v>0</v>
      </c>
      <c r="D74" s="341">
        <f>D61-D73</f>
        <v>0</v>
      </c>
      <c r="E74" s="354" t="s">
        <v>94</v>
      </c>
      <c r="G74" s="697">
        <f>E60</f>
        <v>0</v>
      </c>
      <c r="H74" s="659" t="str">
        <f>CONCATENATE("",E1," Non-AV Receipts (est.)")</f>
        <v>2014 Non-AV Receipts (est.)</v>
      </c>
      <c r="I74" s="698"/>
      <c r="J74" s="695"/>
    </row>
    <row r="75" spans="2:11">
      <c r="B75" s="119" t="str">
        <f>CONCATENATE("",E1-2,"/",E1-1," Budget Authority Amount:")</f>
        <v>2012/2013 Budget Authority Amount:</v>
      </c>
      <c r="C75" s="280">
        <f>inputOth!B73</f>
        <v>0</v>
      </c>
      <c r="D75" s="280">
        <f>inputPrYr!D30</f>
        <v>0</v>
      </c>
      <c r="E75" s="354" t="s">
        <v>94</v>
      </c>
      <c r="F75" s="356"/>
      <c r="G75" s="699">
        <f>IF(D79&gt;0,E78,E80)</f>
        <v>0</v>
      </c>
      <c r="H75" s="659" t="str">
        <f>CONCATENATE("",E1," Ad Valorem Tax (est.)")</f>
        <v>2014 Ad Valorem Tax (est.)</v>
      </c>
      <c r="I75" s="698"/>
      <c r="J75" s="695"/>
      <c r="K75" s="768" t="str">
        <f>IF(G75=E80,"","Note: Does not include Delinquent Taxes")</f>
        <v/>
      </c>
    </row>
    <row r="76" spans="2:11">
      <c r="B76" s="119"/>
      <c r="C76" s="886" t="s">
        <v>778</v>
      </c>
      <c r="D76" s="887"/>
      <c r="E76" s="137"/>
      <c r="F76" s="785" t="str">
        <f>IF(E73/0.95-E73&lt;E76,"Exceeds 5%","")</f>
        <v/>
      </c>
      <c r="G76" s="700">
        <f>SUM(G73:G75)</f>
        <v>0</v>
      </c>
      <c r="H76" s="659" t="str">
        <f>CONCATENATE("Total ",E1," Resources Available")</f>
        <v>Total 2014 Resources Available</v>
      </c>
      <c r="I76" s="695"/>
      <c r="J76" s="695"/>
    </row>
    <row r="77" spans="2:11">
      <c r="B77" s="603" t="str">
        <f>CONCATENATE(C92,"     ",D92)</f>
        <v xml:space="preserve">     </v>
      </c>
      <c r="C77" s="888" t="s">
        <v>779</v>
      </c>
      <c r="D77" s="889"/>
      <c r="E77" s="327">
        <f>E73+E76</f>
        <v>0</v>
      </c>
      <c r="G77" s="701"/>
      <c r="H77" s="702"/>
      <c r="I77" s="658"/>
      <c r="J77" s="695"/>
    </row>
    <row r="78" spans="2:11">
      <c r="B78" s="603" t="str">
        <f>CONCATENATE(C93,"     ",D93)</f>
        <v xml:space="preserve">     </v>
      </c>
      <c r="C78" s="342"/>
      <c r="D78" s="118" t="s">
        <v>122</v>
      </c>
      <c r="E78" s="151">
        <f>IF(E77-E61&gt;0,E77-E61,0)</f>
        <v>0</v>
      </c>
      <c r="G78" s="703">
        <f>ROUND(C73*0.05+C73,0)</f>
        <v>0</v>
      </c>
      <c r="H78" s="659" t="str">
        <f>CONCATENATE("Less ",E1-2," Expenditures + 5%")</f>
        <v>Less 2012 Expenditures + 5%</v>
      </c>
      <c r="I78" s="695"/>
      <c r="J78" s="695"/>
    </row>
    <row r="79" spans="2:11">
      <c r="B79" s="118"/>
      <c r="C79" s="599" t="s">
        <v>780</v>
      </c>
      <c r="D79" s="678">
        <f>inputOth!$E$48</f>
        <v>2.5000000000000001E-2</v>
      </c>
      <c r="E79" s="327">
        <f>ROUND(IF(D79&gt;0,(E78*D79),0),0)</f>
        <v>0</v>
      </c>
      <c r="G79" s="704">
        <f>G76-G78</f>
        <v>0</v>
      </c>
      <c r="H79" s="774" t="str">
        <f>CONCATENATE("Projected ",E1+1," carryover (est.)")</f>
        <v>Projected 2015 carryover (est.)</v>
      </c>
      <c r="I79" s="706"/>
      <c r="J79" s="707"/>
    </row>
    <row r="80" spans="2:11" ht="16.5" thickBot="1">
      <c r="B80" s="85"/>
      <c r="C80" s="884" t="str">
        <f>CONCATENATE("Amount of  ",$E$1-1," Ad Valorem Tax")</f>
        <v>Amount of  2013 Ad Valorem Tax</v>
      </c>
      <c r="D80" s="885"/>
      <c r="E80" s="681">
        <f>E78+E79</f>
        <v>0</v>
      </c>
      <c r="G80" s="3"/>
      <c r="H80" s="3"/>
      <c r="I80" s="3"/>
    </row>
    <row r="81" spans="2:10" ht="16.5" thickTop="1">
      <c r="B81" s="85"/>
      <c r="C81" s="85"/>
      <c r="D81" s="85"/>
      <c r="E81" s="85"/>
      <c r="G81" s="881" t="s">
        <v>853</v>
      </c>
      <c r="H81" s="882"/>
      <c r="I81" s="882"/>
      <c r="J81" s="883"/>
    </row>
    <row r="82" spans="2:10">
      <c r="B82" s="621" t="s">
        <v>124</v>
      </c>
      <c r="C82" s="120"/>
      <c r="D82" s="85"/>
      <c r="E82" s="85"/>
      <c r="G82" s="682"/>
      <c r="H82" s="683"/>
      <c r="I82" s="684"/>
      <c r="J82" s="685"/>
    </row>
    <row r="83" spans="2:10">
      <c r="G83" s="686" t="str">
        <f>summ!H27</f>
        <v xml:space="preserve">  </v>
      </c>
      <c r="H83" s="683" t="str">
        <f>CONCATENATE("",E1," Fund Mill Rate")</f>
        <v>2014 Fund Mill Rate</v>
      </c>
      <c r="I83" s="684"/>
      <c r="J83" s="685"/>
    </row>
    <row r="84" spans="2:10">
      <c r="G84" s="688" t="str">
        <f>summ!E27</f>
        <v xml:space="preserve">  </v>
      </c>
      <c r="H84" s="683" t="str">
        <f>CONCATENATE("",E1-1," Fund Mill Rate")</f>
        <v>2013 Fund Mill Rate</v>
      </c>
      <c r="I84" s="684"/>
      <c r="J84" s="685"/>
    </row>
    <row r="85" spans="2:10">
      <c r="G85" s="689">
        <f>summ!H48</f>
        <v>45.787999999999997</v>
      </c>
      <c r="H85" s="683" t="str">
        <f>CONCATENATE("Total ",E1," Mill Rate")</f>
        <v>Total 2014 Mill Rate</v>
      </c>
      <c r="I85" s="684"/>
      <c r="J85" s="685"/>
    </row>
    <row r="86" spans="2:10">
      <c r="G86" s="688">
        <f>summ!E48</f>
        <v>47.76</v>
      </c>
      <c r="H86" s="690" t="str">
        <f>CONCATENATE("Total ",E1-1," Mill Rate")</f>
        <v>Total 2013 Mill Rate</v>
      </c>
      <c r="I86" s="691"/>
      <c r="J86" s="692"/>
    </row>
    <row r="88" spans="2:10">
      <c r="G88" s="835" t="s">
        <v>1031</v>
      </c>
      <c r="H88" s="834"/>
      <c r="I88" s="833" t="str">
        <f>cert!F54</f>
        <v>Yes</v>
      </c>
    </row>
    <row r="90" spans="2:10" hidden="1">
      <c r="C90" s="121" t="str">
        <f>IF(C33&gt;C35,"See Tab A","")</f>
        <v/>
      </c>
      <c r="D90" s="121" t="str">
        <f>IF(D33&gt;D35,"See Tab C","")</f>
        <v/>
      </c>
    </row>
    <row r="91" spans="2:10" hidden="1">
      <c r="C91" s="121" t="str">
        <f>IF(C34&lt;0,"See Tab B","")</f>
        <v/>
      </c>
      <c r="D91" s="121" t="str">
        <f>IF(D34&lt;0,"See Tab D","")</f>
        <v/>
      </c>
    </row>
    <row r="92" spans="2:10" hidden="1">
      <c r="C92" s="121" t="str">
        <f>IF(C73&gt;C75,"See Tab A","")</f>
        <v/>
      </c>
      <c r="D92" s="121" t="str">
        <f>IF(D73&gt;D75,"See Tab C","")</f>
        <v/>
      </c>
    </row>
    <row r="93" spans="2:10" hidden="1">
      <c r="C93" s="121" t="str">
        <f>IF(C74&lt;0,"See Tab B","")</f>
        <v/>
      </c>
      <c r="D93" s="121"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31">
    <cfRule type="cellIs" dxfId="172" priority="3" stopIfTrue="1" operator="greaterThan">
      <formula>$E$33*0.1</formula>
    </cfRule>
  </conditionalFormatting>
  <conditionalFormatting sqref="E36">
    <cfRule type="cellIs" dxfId="171" priority="4" stopIfTrue="1" operator="greaterThan">
      <formula>$E$33/0.95-$E$33</formula>
    </cfRule>
  </conditionalFormatting>
  <conditionalFormatting sqref="E71">
    <cfRule type="cellIs" dxfId="170" priority="5" stopIfTrue="1" operator="greaterThan">
      <formula>$E$73*0.1</formula>
    </cfRule>
  </conditionalFormatting>
  <conditionalFormatting sqref="E76">
    <cfRule type="cellIs" dxfId="169" priority="6" stopIfTrue="1" operator="greaterThan">
      <formula>$E$73/0.95-$E$73</formula>
    </cfRule>
  </conditionalFormatting>
  <conditionalFormatting sqref="C31">
    <cfRule type="cellIs" dxfId="168" priority="7" stopIfTrue="1" operator="greaterThan">
      <formula>$C$33*0.1</formula>
    </cfRule>
  </conditionalFormatting>
  <conditionalFormatting sqref="D31">
    <cfRule type="cellIs" dxfId="167" priority="8" stopIfTrue="1" operator="greaterThan">
      <formula>$D$33*0.1</formula>
    </cfRule>
  </conditionalFormatting>
  <conditionalFormatting sqref="D33">
    <cfRule type="cellIs" dxfId="166" priority="9" stopIfTrue="1" operator="greaterThan">
      <formula>$D$35</formula>
    </cfRule>
  </conditionalFormatting>
  <conditionalFormatting sqref="C33">
    <cfRule type="cellIs" dxfId="165" priority="10" stopIfTrue="1" operator="greaterThan">
      <formula>$C$35</formula>
    </cfRule>
  </conditionalFormatting>
  <conditionalFormatting sqref="C34 C74">
    <cfRule type="cellIs" dxfId="164" priority="11" stopIfTrue="1" operator="lessThan">
      <formula>0</formula>
    </cfRule>
  </conditionalFormatting>
  <conditionalFormatting sqref="C71">
    <cfRule type="cellIs" dxfId="163" priority="12" stopIfTrue="1" operator="greaterThan">
      <formula>$C$73*0.1</formula>
    </cfRule>
  </conditionalFormatting>
  <conditionalFormatting sqref="D71">
    <cfRule type="cellIs" dxfId="162" priority="13" stopIfTrue="1" operator="greaterThan">
      <formula>$D$73*0.1</formula>
    </cfRule>
  </conditionalFormatting>
  <conditionalFormatting sqref="D73">
    <cfRule type="cellIs" dxfId="161" priority="14" stopIfTrue="1" operator="greaterThan">
      <formula>$D$75</formula>
    </cfRule>
  </conditionalFormatting>
  <conditionalFormatting sqref="C73">
    <cfRule type="cellIs" dxfId="160" priority="15" stopIfTrue="1" operator="greaterThan">
      <formula>$C$75</formula>
    </cfRule>
  </conditionalFormatting>
  <conditionalFormatting sqref="D18">
    <cfRule type="cellIs" dxfId="159" priority="16" stopIfTrue="1" operator="greaterThan">
      <formula>$D$20*0.1</formula>
    </cfRule>
  </conditionalFormatting>
  <conditionalFormatting sqref="C18">
    <cfRule type="cellIs" dxfId="158" priority="17" stopIfTrue="1" operator="greaterThan">
      <formula>$C$20*0.1</formula>
    </cfRule>
  </conditionalFormatting>
  <conditionalFormatting sqref="D58">
    <cfRule type="cellIs" dxfId="157" priority="18" stopIfTrue="1" operator="greaterThan">
      <formula>$D$60*0.1</formula>
    </cfRule>
  </conditionalFormatting>
  <conditionalFormatting sqref="C58">
    <cfRule type="cellIs" dxfId="156" priority="19" stopIfTrue="1" operator="greaterThan">
      <formula>$C$60*0.1</formula>
    </cfRule>
  </conditionalFormatting>
  <conditionalFormatting sqref="E58">
    <cfRule type="cellIs" dxfId="155" priority="20" stopIfTrue="1" operator="greaterThan">
      <formula>$E$60*0.1+E80</formula>
    </cfRule>
  </conditionalFormatting>
  <conditionalFormatting sqref="E18">
    <cfRule type="cellIs" dxfId="154" priority="21" stopIfTrue="1" operator="greaterThan">
      <formula>$E$20*0.1+E40</formula>
    </cfRule>
  </conditionalFormatting>
  <conditionalFormatting sqref="D74 D34">
    <cfRule type="cellIs" dxfId="153"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topLeftCell="A4" zoomScaleNormal="100" workbookViewId="0">
      <selection activeCell="E23" sqref="E23"/>
    </sheetView>
  </sheetViews>
  <sheetFormatPr defaultColWidth="8.88671875" defaultRowHeight="15.75"/>
  <cols>
    <col min="1" max="1" width="2.44140625" style="3" customWidth="1"/>
    <col min="2" max="2" width="31.109375" style="3" customWidth="1"/>
    <col min="3" max="4" width="15.77734375" style="3" customWidth="1"/>
    <col min="5" max="5" width="16.21875" style="3" customWidth="1"/>
    <col min="6" max="16384" width="8.88671875" style="3"/>
  </cols>
  <sheetData>
    <row r="1" spans="2:5">
      <c r="B1" s="15" t="str">
        <f>(inputPrYr!D2)</f>
        <v>City of Hiawatha</v>
      </c>
      <c r="C1" s="5"/>
      <c r="D1" s="5"/>
      <c r="E1" s="24">
        <f>inputPrYr!C5</f>
        <v>2014</v>
      </c>
    </row>
    <row r="2" spans="2:5">
      <c r="B2" s="5"/>
      <c r="C2" s="5"/>
      <c r="D2" s="5"/>
      <c r="E2" s="7"/>
    </row>
    <row r="3" spans="2:5">
      <c r="B3" s="17" t="s">
        <v>174</v>
      </c>
      <c r="C3" s="18"/>
      <c r="D3" s="18"/>
      <c r="E3" s="18"/>
    </row>
    <row r="4" spans="2:5">
      <c r="B4" s="8" t="s">
        <v>105</v>
      </c>
      <c r="C4" s="321" t="s">
        <v>848</v>
      </c>
      <c r="D4" s="322" t="s">
        <v>849</v>
      </c>
      <c r="E4" s="96" t="s">
        <v>850</v>
      </c>
    </row>
    <row r="5" spans="2:5">
      <c r="B5" s="602" t="str">
        <f>(inputPrYr!B34)</f>
        <v>Special Highway</v>
      </c>
      <c r="C5" s="323" t="str">
        <f>CONCATENATE("Actual for ",E1-2,"")</f>
        <v>Actual for 2012</v>
      </c>
      <c r="D5" s="323" t="str">
        <f>CONCATENATE("Estimate for ",E1-1,"")</f>
        <v>Estimate for 2013</v>
      </c>
      <c r="E5" s="324" t="str">
        <f>CONCATENATE("Year for ",E1,"")</f>
        <v>Year for 2014</v>
      </c>
    </row>
    <row r="6" spans="2:5">
      <c r="B6" s="35" t="s">
        <v>228</v>
      </c>
      <c r="C6" s="4">
        <v>470474</v>
      </c>
      <c r="D6" s="16">
        <f>C31</f>
        <v>140627</v>
      </c>
      <c r="E6" s="16">
        <f>D31</f>
        <v>153572</v>
      </c>
    </row>
    <row r="7" spans="2:5">
      <c r="B7" s="38" t="s">
        <v>230</v>
      </c>
      <c r="C7" s="10"/>
      <c r="D7" s="10"/>
      <c r="E7" s="10"/>
    </row>
    <row r="8" spans="2:5">
      <c r="B8" s="39" t="s">
        <v>208</v>
      </c>
      <c r="C8" s="4">
        <v>82294</v>
      </c>
      <c r="D8" s="25">
        <f>inputOth!E53</f>
        <v>82870</v>
      </c>
      <c r="E8" s="16">
        <f>inputOth!E51</f>
        <v>82870</v>
      </c>
    </row>
    <row r="9" spans="2:5">
      <c r="B9" s="40" t="s">
        <v>276</v>
      </c>
      <c r="C9" s="4"/>
      <c r="D9" s="25">
        <f>inputOth!E54</f>
        <v>0</v>
      </c>
      <c r="E9" s="25">
        <f>inputOth!E52</f>
        <v>0</v>
      </c>
    </row>
    <row r="10" spans="2:5">
      <c r="B10" s="34" t="s">
        <v>1111</v>
      </c>
      <c r="C10" s="4">
        <v>318815</v>
      </c>
      <c r="D10" s="4">
        <v>328000</v>
      </c>
      <c r="E10" s="4">
        <v>337500</v>
      </c>
    </row>
    <row r="11" spans="2:5">
      <c r="B11" s="34" t="s">
        <v>1125</v>
      </c>
      <c r="C11" s="4">
        <v>127867</v>
      </c>
      <c r="D11" s="4">
        <v>16600</v>
      </c>
      <c r="E11" s="4">
        <v>150000</v>
      </c>
    </row>
    <row r="12" spans="2:5">
      <c r="B12" s="34" t="s">
        <v>1126</v>
      </c>
      <c r="C12" s="4">
        <v>7288</v>
      </c>
      <c r="D12" s="4"/>
      <c r="E12" s="4">
        <v>0</v>
      </c>
    </row>
    <row r="13" spans="2:5">
      <c r="B13" s="34"/>
      <c r="C13" s="4"/>
      <c r="D13" s="4"/>
      <c r="E13" s="4"/>
    </row>
    <row r="14" spans="2:5">
      <c r="B14" s="36"/>
      <c r="C14" s="4"/>
      <c r="D14" s="4"/>
      <c r="E14" s="4"/>
    </row>
    <row r="15" spans="2:5">
      <c r="B15" s="41" t="s">
        <v>14</v>
      </c>
      <c r="C15" s="4">
        <v>15652</v>
      </c>
      <c r="D15" s="37">
        <v>10000</v>
      </c>
      <c r="E15" s="37">
        <v>10000</v>
      </c>
    </row>
    <row r="16" spans="2:5">
      <c r="B16" s="35" t="s">
        <v>774</v>
      </c>
      <c r="C16" s="604" t="str">
        <f>IF(C17*0.1&lt;C15,"Exceed 10% Rule","")</f>
        <v/>
      </c>
      <c r="D16" s="45" t="str">
        <f>IF(D17*0.1&lt;D15,"Exceed 10% Rule","")</f>
        <v/>
      </c>
      <c r="E16" s="45" t="str">
        <f>IF(E17*0.1&lt;E15,"Exceed 10% Rule","")</f>
        <v/>
      </c>
    </row>
    <row r="17" spans="2:5">
      <c r="B17" s="26" t="s">
        <v>114</v>
      </c>
      <c r="C17" s="33">
        <f>SUM(C8:C15)</f>
        <v>551916</v>
      </c>
      <c r="D17" s="33">
        <f>SUM(D8:D15)</f>
        <v>437470</v>
      </c>
      <c r="E17" s="33">
        <f>SUM(E8:E15)</f>
        <v>580370</v>
      </c>
    </row>
    <row r="18" spans="2:5">
      <c r="B18" s="26" t="s">
        <v>115</v>
      </c>
      <c r="C18" s="33">
        <f>C6+C17</f>
        <v>1022390</v>
      </c>
      <c r="D18" s="33">
        <f>D6+D17</f>
        <v>578097</v>
      </c>
      <c r="E18" s="33">
        <f>E6+E17</f>
        <v>733942</v>
      </c>
    </row>
    <row r="19" spans="2:5">
      <c r="B19" s="9" t="s">
        <v>117</v>
      </c>
      <c r="C19" s="16"/>
      <c r="D19" s="16"/>
      <c r="E19" s="16"/>
    </row>
    <row r="20" spans="2:5">
      <c r="B20" s="34" t="s">
        <v>1112</v>
      </c>
      <c r="C20" s="4">
        <v>104117</v>
      </c>
      <c r="D20" s="4">
        <v>143000</v>
      </c>
      <c r="E20" s="4">
        <v>150500</v>
      </c>
    </row>
    <row r="21" spans="2:5">
      <c r="B21" s="34" t="s">
        <v>1118</v>
      </c>
      <c r="C21" s="4">
        <v>122627</v>
      </c>
      <c r="D21" s="4">
        <v>47575</v>
      </c>
      <c r="E21" s="4">
        <v>60850</v>
      </c>
    </row>
    <row r="22" spans="2:5">
      <c r="B22" s="34" t="s">
        <v>1119</v>
      </c>
      <c r="C22" s="4">
        <v>157204</v>
      </c>
      <c r="D22" s="4">
        <v>228550</v>
      </c>
      <c r="E22" s="4">
        <v>192900</v>
      </c>
    </row>
    <row r="23" spans="2:5">
      <c r="B23" s="34" t="s">
        <v>1115</v>
      </c>
      <c r="C23" s="4">
        <v>432815</v>
      </c>
      <c r="D23" s="4">
        <v>5400</v>
      </c>
      <c r="E23" s="4">
        <v>316000</v>
      </c>
    </row>
    <row r="24" spans="2:5">
      <c r="B24" s="34" t="s">
        <v>1116</v>
      </c>
      <c r="C24" s="4">
        <v>65000</v>
      </c>
      <c r="D24" s="4">
        <v>0</v>
      </c>
      <c r="E24" s="4"/>
    </row>
    <row r="25" spans="2:5">
      <c r="B25" s="34"/>
      <c r="C25" s="4"/>
      <c r="D25" s="4"/>
      <c r="E25" s="4"/>
    </row>
    <row r="26" spans="2:5">
      <c r="B26" s="34"/>
      <c r="C26" s="4"/>
      <c r="D26" s="4"/>
      <c r="E26" s="4"/>
    </row>
    <row r="27" spans="2:5">
      <c r="B27" s="34"/>
      <c r="C27" s="4"/>
      <c r="D27" s="4"/>
      <c r="E27" s="4"/>
    </row>
    <row r="28" spans="2:5">
      <c r="B28" s="39" t="s">
        <v>14</v>
      </c>
      <c r="C28" s="4"/>
      <c r="D28" s="37"/>
      <c r="E28" s="37"/>
    </row>
    <row r="29" spans="2:5">
      <c r="B29" s="39" t="s">
        <v>773</v>
      </c>
      <c r="C29" s="604" t="str">
        <f>IF(C30*0.1&lt;C28,"Exceed 10% Rule","")</f>
        <v/>
      </c>
      <c r="D29" s="45" t="str">
        <f>IF(D30*0.1&lt;D28,"Exceed 10% Rule","")</f>
        <v/>
      </c>
      <c r="E29" s="45" t="str">
        <f>IF(E30*0.1&lt;E28,"Exceed 10% Rule","")</f>
        <v/>
      </c>
    </row>
    <row r="30" spans="2:5">
      <c r="B30" s="26" t="s">
        <v>121</v>
      </c>
      <c r="C30" s="33">
        <f>SUM(C20:C28)</f>
        <v>881763</v>
      </c>
      <c r="D30" s="33">
        <f>SUM(D20:D28)</f>
        <v>424525</v>
      </c>
      <c r="E30" s="33">
        <f>SUM(E20:E28)</f>
        <v>720250</v>
      </c>
    </row>
    <row r="31" spans="2:5">
      <c r="B31" s="9" t="s">
        <v>229</v>
      </c>
      <c r="C31" s="32">
        <f>C18-C30</f>
        <v>140627</v>
      </c>
      <c r="D31" s="32">
        <f>D18-D30</f>
        <v>153572</v>
      </c>
      <c r="E31" s="32">
        <f>E18-E30</f>
        <v>13692</v>
      </c>
    </row>
    <row r="32" spans="2:5">
      <c r="B32" s="6" t="str">
        <f>CONCATENATE("",E1-2,"/",E1-1," Budget Authority Amount:")</f>
        <v>2012/2013 Budget Authority Amount:</v>
      </c>
      <c r="C32" s="28">
        <f>inputOth!B74</f>
        <v>901475</v>
      </c>
      <c r="D32" s="28">
        <f>inputPrYr!D34</f>
        <v>473125</v>
      </c>
      <c r="E32" s="601" t="str">
        <f>IF(E31&lt;0,"See Tab E","")</f>
        <v/>
      </c>
    </row>
    <row r="33" spans="2:5">
      <c r="B33" s="6"/>
      <c r="C33" s="342" t="str">
        <f>IF(C30&gt;C32,"See Tab A","")</f>
        <v/>
      </c>
      <c r="D33" s="342" t="str">
        <f>IF(D30&gt;D32,"See Tab C","")</f>
        <v/>
      </c>
      <c r="E33" s="14"/>
    </row>
    <row r="34" spans="2:5">
      <c r="B34" s="6"/>
      <c r="C34" s="342" t="str">
        <f>IF(C31&lt;0,"See Tab B","")</f>
        <v/>
      </c>
      <c r="D34" s="342" t="str">
        <f>IF(D31&lt;0,"See Tab D","")</f>
        <v/>
      </c>
      <c r="E34" s="14"/>
    </row>
    <row r="35" spans="2:5">
      <c r="B35" s="5"/>
      <c r="C35" s="14"/>
      <c r="D35" s="14"/>
      <c r="E35" s="14"/>
    </row>
    <row r="36" spans="2:5">
      <c r="B36" s="8" t="s">
        <v>105</v>
      </c>
      <c r="C36" s="20"/>
      <c r="D36" s="20"/>
      <c r="E36" s="20"/>
    </row>
    <row r="37" spans="2:5">
      <c r="B37" s="5"/>
      <c r="C37" s="321" t="s">
        <v>848</v>
      </c>
      <c r="D37" s="322" t="s">
        <v>854</v>
      </c>
      <c r="E37" s="96" t="s">
        <v>850</v>
      </c>
    </row>
    <row r="38" spans="2:5">
      <c r="B38" s="602" t="str">
        <f>(inputPrYr!B35)</f>
        <v>TIF</v>
      </c>
      <c r="C38" s="323" t="str">
        <f>C5</f>
        <v>Actual for 2012</v>
      </c>
      <c r="D38" s="323" t="str">
        <f>D5</f>
        <v>Estimate for 2013</v>
      </c>
      <c r="E38" s="324" t="str">
        <f>E5</f>
        <v>Year for 2014</v>
      </c>
    </row>
    <row r="39" spans="2:5">
      <c r="B39" s="35" t="s">
        <v>228</v>
      </c>
      <c r="C39" s="4"/>
      <c r="D39" s="16">
        <f>C62</f>
        <v>0</v>
      </c>
      <c r="E39" s="16">
        <f>D62</f>
        <v>0</v>
      </c>
    </row>
    <row r="40" spans="2:5">
      <c r="B40" s="38" t="s">
        <v>230</v>
      </c>
      <c r="C40" s="10"/>
      <c r="D40" s="10"/>
      <c r="E40" s="10"/>
    </row>
    <row r="41" spans="2:5">
      <c r="B41" s="34" t="s">
        <v>208</v>
      </c>
      <c r="C41" s="4"/>
      <c r="D41" s="4"/>
      <c r="E41" s="16">
        <f>'TIF Comp'!E20</f>
        <v>0</v>
      </c>
    </row>
    <row r="42" spans="2:5">
      <c r="B42" s="34" t="s">
        <v>276</v>
      </c>
      <c r="C42" s="4"/>
      <c r="D42" s="4"/>
      <c r="E42" s="4"/>
    </row>
    <row r="43" spans="2:5">
      <c r="B43" s="34" t="s">
        <v>1111</v>
      </c>
      <c r="C43" s="4"/>
      <c r="D43" s="4"/>
      <c r="E43" s="4"/>
    </row>
    <row r="44" spans="2:5">
      <c r="B44" s="34" t="s">
        <v>1107</v>
      </c>
      <c r="C44" s="4"/>
      <c r="D44" s="4"/>
      <c r="E44" s="4"/>
    </row>
    <row r="45" spans="2:5">
      <c r="B45" s="36" t="s">
        <v>1124</v>
      </c>
      <c r="C45" s="4"/>
      <c r="D45" s="4"/>
      <c r="E45" s="4"/>
    </row>
    <row r="46" spans="2:5">
      <c r="B46" s="41" t="s">
        <v>14</v>
      </c>
      <c r="C46" s="4"/>
      <c r="D46" s="37"/>
      <c r="E46" s="37"/>
    </row>
    <row r="47" spans="2:5">
      <c r="B47" s="35" t="s">
        <v>774</v>
      </c>
      <c r="C47" s="604" t="str">
        <f>IF(C48*0.1&lt;C46,"Exceed 10% Rule","")</f>
        <v/>
      </c>
      <c r="D47" s="45" t="str">
        <f>IF(D48*0.1&lt;D46,"Exceed 10% Rule","")</f>
        <v/>
      </c>
      <c r="E47" s="45" t="str">
        <f>IF(E48*0.1&lt;E46,"Exceed 10% Rule","")</f>
        <v/>
      </c>
    </row>
    <row r="48" spans="2:5">
      <c r="B48" s="26" t="s">
        <v>114</v>
      </c>
      <c r="C48" s="33">
        <f>SUM(C41:C46)</f>
        <v>0</v>
      </c>
      <c r="D48" s="33">
        <f>SUM(D41:D46)</f>
        <v>0</v>
      </c>
      <c r="E48" s="33">
        <f>SUM(E41:E46)</f>
        <v>0</v>
      </c>
    </row>
    <row r="49" spans="2:5">
      <c r="B49" s="26" t="s">
        <v>115</v>
      </c>
      <c r="C49" s="33">
        <f>C39+C48</f>
        <v>0</v>
      </c>
      <c r="D49" s="33">
        <f>D39+D48</f>
        <v>0</v>
      </c>
      <c r="E49" s="33">
        <f>E39+E48</f>
        <v>0</v>
      </c>
    </row>
    <row r="50" spans="2:5">
      <c r="B50" s="9" t="s">
        <v>117</v>
      </c>
      <c r="C50" s="16"/>
      <c r="D50" s="16"/>
      <c r="E50" s="16"/>
    </row>
    <row r="51" spans="2:5">
      <c r="B51" s="34" t="s">
        <v>1112</v>
      </c>
      <c r="C51" s="4"/>
      <c r="D51" s="4"/>
      <c r="E51" s="4"/>
    </row>
    <row r="52" spans="2:5">
      <c r="B52" s="34" t="s">
        <v>1118</v>
      </c>
      <c r="C52" s="4"/>
      <c r="D52" s="4"/>
      <c r="E52" s="4"/>
    </row>
    <row r="53" spans="2:5">
      <c r="B53" s="34" t="s">
        <v>1119</v>
      </c>
      <c r="C53" s="4"/>
      <c r="D53" s="4"/>
      <c r="E53" s="4"/>
    </row>
    <row r="54" spans="2:5">
      <c r="B54" s="34" t="s">
        <v>1115</v>
      </c>
      <c r="C54" s="4"/>
      <c r="D54" s="4"/>
      <c r="E54" s="4"/>
    </row>
    <row r="55" spans="2:5">
      <c r="B55" s="34" t="s">
        <v>1116</v>
      </c>
      <c r="C55" s="4"/>
      <c r="D55" s="4"/>
      <c r="E55" s="4"/>
    </row>
    <row r="56" spans="2:5">
      <c r="B56" s="34"/>
      <c r="C56" s="4"/>
      <c r="D56" s="4"/>
      <c r="E56" s="4"/>
    </row>
    <row r="57" spans="2:5">
      <c r="B57" s="34"/>
      <c r="C57" s="4"/>
      <c r="D57" s="4"/>
      <c r="E57" s="4"/>
    </row>
    <row r="58" spans="2:5">
      <c r="B58" s="34"/>
      <c r="C58" s="4"/>
      <c r="D58" s="4"/>
      <c r="E58" s="4"/>
    </row>
    <row r="59" spans="2:5">
      <c r="B59" s="39" t="s">
        <v>14</v>
      </c>
      <c r="C59" s="4"/>
      <c r="D59" s="37"/>
      <c r="E59" s="37"/>
    </row>
    <row r="60" spans="2:5">
      <c r="B60" s="39" t="s">
        <v>773</v>
      </c>
      <c r="C60" s="604" t="str">
        <f>IF(C61*0.1&lt;C59,"Exceed 10% Rule","")</f>
        <v/>
      </c>
      <c r="D60" s="45" t="str">
        <f>IF(D61*0.1&lt;D59,"Exceed 10% Rule","")</f>
        <v/>
      </c>
      <c r="E60" s="45" t="str">
        <f>IF(E61*0.1&lt;E59,"Exceed 10% Rule","")</f>
        <v/>
      </c>
    </row>
    <row r="61" spans="2:5">
      <c r="B61" s="26" t="s">
        <v>121</v>
      </c>
      <c r="C61" s="33">
        <f>SUM(C51:C59)</f>
        <v>0</v>
      </c>
      <c r="D61" s="33">
        <f>SUM(D51:D59)</f>
        <v>0</v>
      </c>
      <c r="E61" s="33">
        <f>SUM(E51:E59)</f>
        <v>0</v>
      </c>
    </row>
    <row r="62" spans="2:5">
      <c r="B62" s="9" t="s">
        <v>229</v>
      </c>
      <c r="C62" s="32">
        <f>C49-C61</f>
        <v>0</v>
      </c>
      <c r="D62" s="32">
        <f>D49-D61</f>
        <v>0</v>
      </c>
      <c r="E62" s="32">
        <f>E49-E61</f>
        <v>0</v>
      </c>
    </row>
    <row r="63" spans="2:5">
      <c r="B63" s="6" t="str">
        <f>CONCATENATE("",E1-2,"/",E1-1," Budget Authority Amount:")</f>
        <v>2012/2013 Budget Authority Amount:</v>
      </c>
      <c r="C63" s="28">
        <f>inputOth!B75</f>
        <v>0</v>
      </c>
      <c r="D63" s="28">
        <f>inputPrYr!D35</f>
        <v>0</v>
      </c>
      <c r="E63" s="601" t="str">
        <f>IF(E62&lt;0,"See Tab E","")</f>
        <v/>
      </c>
    </row>
    <row r="64" spans="2:5">
      <c r="B64" s="6"/>
      <c r="C64" s="342" t="str">
        <f>IF(C61&gt;C63,"See Tab A","")</f>
        <v/>
      </c>
      <c r="D64" s="342" t="str">
        <f>IF(D61&gt;D63,"See Tab C","")</f>
        <v/>
      </c>
      <c r="E64" s="5"/>
    </row>
    <row r="65" spans="2:5">
      <c r="B65" s="6"/>
      <c r="C65" s="342" t="str">
        <f>IF(C62&lt;0,"See Tab B","")</f>
        <v/>
      </c>
      <c r="D65" s="342" t="str">
        <f>IF(D62&lt;0,"See Tab D","")</f>
        <v/>
      </c>
      <c r="E65" s="5"/>
    </row>
    <row r="66" spans="2:5">
      <c r="B66" s="5"/>
      <c r="C66" s="5"/>
      <c r="D66" s="5"/>
      <c r="E66" s="5"/>
    </row>
    <row r="67" spans="2:5">
      <c r="B67" s="7" t="s">
        <v>124</v>
      </c>
      <c r="C67" s="19">
        <v>12</v>
      </c>
      <c r="D67" s="5"/>
      <c r="E67" s="5"/>
    </row>
  </sheetData>
  <phoneticPr fontId="0" type="noConversion"/>
  <conditionalFormatting sqref="C15">
    <cfRule type="cellIs" dxfId="152" priority="3" stopIfTrue="1" operator="greaterThan">
      <formula>$C$17*0.1</formula>
    </cfRule>
  </conditionalFormatting>
  <conditionalFormatting sqref="D15">
    <cfRule type="cellIs" dxfId="151" priority="4" stopIfTrue="1" operator="greaterThan">
      <formula>$D$17*0.1</formula>
    </cfRule>
  </conditionalFormatting>
  <conditionalFormatting sqref="E15">
    <cfRule type="cellIs" dxfId="150" priority="5" stopIfTrue="1" operator="greaterThan">
      <formula>$E$17*0.1</formula>
    </cfRule>
  </conditionalFormatting>
  <conditionalFormatting sqref="C28">
    <cfRule type="cellIs" dxfId="149" priority="6" stopIfTrue="1" operator="greaterThan">
      <formula>$C$30*0.1</formula>
    </cfRule>
  </conditionalFormatting>
  <conditionalFormatting sqref="D28">
    <cfRule type="cellIs" dxfId="148" priority="7" stopIfTrue="1" operator="greaterThan">
      <formula>$D$30*0.1</formula>
    </cfRule>
  </conditionalFormatting>
  <conditionalFormatting sqref="E28">
    <cfRule type="cellIs" dxfId="147" priority="8" stopIfTrue="1" operator="greaterThan">
      <formula>$E$30*0.1</formula>
    </cfRule>
  </conditionalFormatting>
  <conditionalFormatting sqref="C46">
    <cfRule type="cellIs" dxfId="146" priority="9" stopIfTrue="1" operator="greaterThan">
      <formula>$C$48*0.1</formula>
    </cfRule>
  </conditionalFormatting>
  <conditionalFormatting sqref="D46">
    <cfRule type="cellIs" dxfId="145" priority="10" stopIfTrue="1" operator="greaterThan">
      <formula>$D$48*0.1</formula>
    </cfRule>
  </conditionalFormatting>
  <conditionalFormatting sqref="E46">
    <cfRule type="cellIs" dxfId="144" priority="11" stopIfTrue="1" operator="greaterThan">
      <formula>$E$48*0.1</formula>
    </cfRule>
  </conditionalFormatting>
  <conditionalFormatting sqref="C59">
    <cfRule type="cellIs" dxfId="143" priority="12" stopIfTrue="1" operator="greaterThan">
      <formula>$C$61*0.1</formula>
    </cfRule>
  </conditionalFormatting>
  <conditionalFormatting sqref="D59">
    <cfRule type="cellIs" dxfId="142" priority="13" stopIfTrue="1" operator="greaterThan">
      <formula>$D$61*0.1</formula>
    </cfRule>
  </conditionalFormatting>
  <conditionalFormatting sqref="E59">
    <cfRule type="cellIs" dxfId="141" priority="14" stopIfTrue="1" operator="greaterThan">
      <formula>$E$61*0.1</formula>
    </cfRule>
  </conditionalFormatting>
  <conditionalFormatting sqref="D61">
    <cfRule type="cellIs" dxfId="140" priority="15" stopIfTrue="1" operator="greaterThan">
      <formula>$D$63</formula>
    </cfRule>
  </conditionalFormatting>
  <conditionalFormatting sqref="C61">
    <cfRule type="cellIs" dxfId="139" priority="16" stopIfTrue="1" operator="greaterThan">
      <formula>$C$63</formula>
    </cfRule>
  </conditionalFormatting>
  <conditionalFormatting sqref="C62 E62 C31 E31">
    <cfRule type="cellIs" dxfId="138" priority="17" stopIfTrue="1" operator="lessThan">
      <formula>0</formula>
    </cfRule>
  </conditionalFormatting>
  <conditionalFormatting sqref="D30">
    <cfRule type="cellIs" dxfId="137" priority="18" stopIfTrue="1" operator="greaterThan">
      <formula>$D$32</formula>
    </cfRule>
  </conditionalFormatting>
  <conditionalFormatting sqref="C30">
    <cfRule type="cellIs" dxfId="136" priority="19" stopIfTrue="1" operator="greaterThan">
      <formula>$C$32</formula>
    </cfRule>
  </conditionalFormatting>
  <conditionalFormatting sqref="D31">
    <cfRule type="cellIs" dxfId="135" priority="2" stopIfTrue="1" operator="lessThan">
      <formula>0</formula>
    </cfRule>
  </conditionalFormatting>
  <conditionalFormatting sqref="D62">
    <cfRule type="cellIs" dxfId="134" priority="1" stopIfTrue="1" operator="lessThan">
      <formula>0</formula>
    </cfRule>
  </conditionalFormatting>
  <pageMargins left="0.5" right="0.5" top="1" bottom="0.5" header="0.5" footer="0.5"/>
  <pageSetup scale="65"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topLeftCell="A4" workbookViewId="0">
      <selection activeCell="E10" sqref="E10"/>
    </sheetView>
  </sheetViews>
  <sheetFormatPr defaultColWidth="8.88671875" defaultRowHeight="15.75"/>
  <cols>
    <col min="1" max="1" width="2.44140625" style="3" customWidth="1"/>
    <col min="2" max="2" width="31.109375" style="3" customWidth="1"/>
    <col min="3" max="4" width="15.77734375" style="3" customWidth="1"/>
    <col min="5" max="5" width="16.33203125" style="3" customWidth="1"/>
    <col min="6" max="16384" width="8.88671875" style="3"/>
  </cols>
  <sheetData>
    <row r="1" spans="2:5">
      <c r="B1" s="15" t="str">
        <f>(inputPrYr!D2)</f>
        <v>City of Hiawatha</v>
      </c>
      <c r="C1" s="5"/>
      <c r="D1" s="5"/>
      <c r="E1" s="24">
        <f>inputPrYr!C5</f>
        <v>2014</v>
      </c>
    </row>
    <row r="2" spans="2:5">
      <c r="B2" s="5"/>
      <c r="C2" s="5"/>
      <c r="D2" s="5"/>
      <c r="E2" s="7"/>
    </row>
    <row r="3" spans="2:5">
      <c r="B3" s="17" t="s">
        <v>174</v>
      </c>
      <c r="C3" s="18"/>
      <c r="D3" s="18"/>
      <c r="E3" s="18"/>
    </row>
    <row r="4" spans="2:5">
      <c r="B4" s="8" t="s">
        <v>105</v>
      </c>
      <c r="C4" s="321" t="s">
        <v>848</v>
      </c>
      <c r="D4" s="322" t="s">
        <v>849</v>
      </c>
      <c r="E4" s="96" t="s">
        <v>850</v>
      </c>
    </row>
    <row r="5" spans="2:5">
      <c r="B5" s="602" t="str">
        <f>(inputPrYr!B36)</f>
        <v>Parks and Recreation</v>
      </c>
      <c r="C5" s="323" t="str">
        <f>CONCATENATE("Actual for ",E1-2,"")</f>
        <v>Actual for 2012</v>
      </c>
      <c r="D5" s="323" t="str">
        <f>CONCATENATE("Estimate for ",E1-1,"")</f>
        <v>Estimate for 2013</v>
      </c>
      <c r="E5" s="324" t="str">
        <f>CONCATENATE("Year for ",E1,"")</f>
        <v>Year for 2014</v>
      </c>
    </row>
    <row r="6" spans="2:5">
      <c r="B6" s="35" t="s">
        <v>228</v>
      </c>
      <c r="C6" s="4">
        <v>31980</v>
      </c>
      <c r="D6" s="16">
        <f>C29</f>
        <v>26240</v>
      </c>
      <c r="E6" s="16">
        <f>D29</f>
        <v>20240</v>
      </c>
    </row>
    <row r="7" spans="2:5">
      <c r="B7" s="38" t="s">
        <v>230</v>
      </c>
      <c r="C7" s="10"/>
      <c r="D7" s="10"/>
      <c r="E7" s="10"/>
    </row>
    <row r="8" spans="2:5">
      <c r="B8" s="34" t="s">
        <v>1127</v>
      </c>
      <c r="C8" s="4">
        <v>9260</v>
      </c>
      <c r="D8" s="4">
        <v>9000</v>
      </c>
      <c r="E8" s="4">
        <v>9000</v>
      </c>
    </row>
    <row r="9" spans="2:5">
      <c r="B9" s="34" t="s">
        <v>1129</v>
      </c>
      <c r="C9" s="4"/>
      <c r="D9" s="4"/>
      <c r="E9" s="4">
        <v>5000</v>
      </c>
    </row>
    <row r="10" spans="2:5">
      <c r="B10" s="34"/>
      <c r="C10" s="4"/>
      <c r="D10" s="4"/>
      <c r="E10" s="4"/>
    </row>
    <row r="11" spans="2:5">
      <c r="B11" s="34"/>
      <c r="C11" s="4"/>
      <c r="D11" s="4"/>
      <c r="E11" s="4"/>
    </row>
    <row r="12" spans="2:5">
      <c r="B12" s="36" t="s">
        <v>113</v>
      </c>
      <c r="C12" s="4"/>
      <c r="D12" s="4"/>
      <c r="E12" s="4"/>
    </row>
    <row r="13" spans="2:5">
      <c r="B13" s="41" t="s">
        <v>14</v>
      </c>
      <c r="C13" s="4"/>
      <c r="D13" s="37"/>
      <c r="E13" s="37"/>
    </row>
    <row r="14" spans="2:5">
      <c r="B14" s="35" t="s">
        <v>774</v>
      </c>
      <c r="C14" s="604" t="str">
        <f>IF(C15*0.1&lt;C13,"Exceed 10% Rule","")</f>
        <v/>
      </c>
      <c r="D14" s="45" t="str">
        <f>IF(D15*0.1&lt;D13,"Exceed 10% Rule","")</f>
        <v/>
      </c>
      <c r="E14" s="45" t="str">
        <f>IF(E15*0.1&lt;E13,"Exceed 10% Rule","")</f>
        <v/>
      </c>
    </row>
    <row r="15" spans="2:5">
      <c r="B15" s="26" t="s">
        <v>114</v>
      </c>
      <c r="C15" s="33">
        <f>SUM(C8:C13)</f>
        <v>9260</v>
      </c>
      <c r="D15" s="33">
        <f>SUM(D8:D13)</f>
        <v>9000</v>
      </c>
      <c r="E15" s="33">
        <f>SUM(E8:E13)</f>
        <v>14000</v>
      </c>
    </row>
    <row r="16" spans="2:5">
      <c r="B16" s="26" t="s">
        <v>115</v>
      </c>
      <c r="C16" s="33">
        <f>C6+C15</f>
        <v>41240</v>
      </c>
      <c r="D16" s="33">
        <f>D6+D15</f>
        <v>35240</v>
      </c>
      <c r="E16" s="33">
        <f>E6+E15</f>
        <v>34240</v>
      </c>
    </row>
    <row r="17" spans="2:5">
      <c r="B17" s="9" t="s">
        <v>117</v>
      </c>
      <c r="C17" s="16"/>
      <c r="D17" s="16"/>
      <c r="E17" s="16"/>
    </row>
    <row r="18" spans="2:5">
      <c r="B18" s="34" t="s">
        <v>1115</v>
      </c>
      <c r="C18" s="4">
        <v>354</v>
      </c>
      <c r="D18" s="4">
        <v>15000</v>
      </c>
      <c r="E18" s="4">
        <v>32330</v>
      </c>
    </row>
    <row r="19" spans="2:5">
      <c r="B19" s="34" t="s">
        <v>1116</v>
      </c>
      <c r="C19" s="4">
        <v>14646</v>
      </c>
      <c r="D19" s="4"/>
      <c r="E19" s="4"/>
    </row>
    <row r="20" spans="2:5">
      <c r="B20" s="34"/>
      <c r="C20" s="4"/>
      <c r="D20" s="4"/>
      <c r="E20" s="4"/>
    </row>
    <row r="21" spans="2:5">
      <c r="B21" s="34"/>
      <c r="C21" s="4"/>
      <c r="D21" s="4"/>
      <c r="E21" s="4"/>
    </row>
    <row r="22" spans="2:5">
      <c r="B22" s="34"/>
      <c r="C22" s="4"/>
      <c r="D22" s="4"/>
      <c r="E22" s="4"/>
    </row>
    <row r="23" spans="2:5">
      <c r="B23" s="34"/>
      <c r="C23" s="4"/>
      <c r="D23" s="4"/>
      <c r="E23" s="4"/>
    </row>
    <row r="24" spans="2:5">
      <c r="B24" s="34"/>
      <c r="C24" s="4"/>
      <c r="D24" s="4"/>
      <c r="E24" s="4"/>
    </row>
    <row r="25" spans="2:5">
      <c r="B25" s="34"/>
      <c r="C25" s="4"/>
      <c r="D25" s="4"/>
      <c r="E25" s="4"/>
    </row>
    <row r="26" spans="2:5">
      <c r="B26" s="39" t="s">
        <v>14</v>
      </c>
      <c r="C26" s="4"/>
      <c r="D26" s="37"/>
      <c r="E26" s="37"/>
    </row>
    <row r="27" spans="2:5">
      <c r="B27" s="39" t="s">
        <v>773</v>
      </c>
      <c r="C27" s="604" t="str">
        <f>IF(C28*0.1&lt;C26,"Exceed 10% Rule","")</f>
        <v/>
      </c>
      <c r="D27" s="45" t="str">
        <f>IF(D28*0.1&lt;D26,"Exceed 10% Rule","")</f>
        <v/>
      </c>
      <c r="E27" s="45" t="str">
        <f>IF(E28*0.1&lt;E26,"Exceed 10% Rule","")</f>
        <v/>
      </c>
    </row>
    <row r="28" spans="2:5">
      <c r="B28" s="26" t="s">
        <v>121</v>
      </c>
      <c r="C28" s="33">
        <f>SUM(C18:C26)</f>
        <v>15000</v>
      </c>
      <c r="D28" s="33">
        <f>SUM(D18:D26)</f>
        <v>15000</v>
      </c>
      <c r="E28" s="33">
        <f>SUM(E18:E26)</f>
        <v>32330</v>
      </c>
    </row>
    <row r="29" spans="2:5">
      <c r="B29" s="9" t="s">
        <v>229</v>
      </c>
      <c r="C29" s="32">
        <f>C16-C28</f>
        <v>26240</v>
      </c>
      <c r="D29" s="32">
        <f>D16-D28</f>
        <v>20240</v>
      </c>
      <c r="E29" s="32">
        <f>E16-E28</f>
        <v>1910</v>
      </c>
    </row>
    <row r="30" spans="2:5">
      <c r="B30" s="6" t="str">
        <f>CONCATENATE("",E1-2,"/",E1-1," Budget Authority Amount:")</f>
        <v>2012/2013 Budget Authority Amount:</v>
      </c>
      <c r="C30" s="28">
        <f>inputOth!B76</f>
        <v>15000</v>
      </c>
      <c r="D30" s="28">
        <f>inputPrYr!D36</f>
        <v>15000</v>
      </c>
      <c r="E30" s="601" t="str">
        <f>IF(E29&lt;0,"See Tab E","")</f>
        <v/>
      </c>
    </row>
    <row r="31" spans="2:5">
      <c r="B31" s="6"/>
      <c r="C31" s="342" t="str">
        <f>IF(C28&gt;C30,"See Tab A","")</f>
        <v/>
      </c>
      <c r="D31" s="342" t="str">
        <f>IF(D28&gt;D30,"See Tab C","")</f>
        <v/>
      </c>
      <c r="E31" s="14"/>
    </row>
    <row r="32" spans="2:5">
      <c r="B32" s="6"/>
      <c r="C32" s="342" t="str">
        <f>IF(C29&lt;0,"See Tab B","")</f>
        <v/>
      </c>
      <c r="D32" s="342" t="str">
        <f>IF(D29&lt;0,"See Tab D","")</f>
        <v/>
      </c>
      <c r="E32" s="14"/>
    </row>
    <row r="33" spans="2:5">
      <c r="B33" s="5"/>
      <c r="C33" s="14"/>
      <c r="D33" s="14"/>
      <c r="E33" s="14"/>
    </row>
    <row r="34" spans="2:5">
      <c r="B34" s="8" t="s">
        <v>105</v>
      </c>
      <c r="C34" s="20"/>
      <c r="D34" s="20"/>
      <c r="E34" s="20"/>
    </row>
    <row r="35" spans="2:5">
      <c r="B35" s="5"/>
      <c r="C35" s="321" t="s">
        <v>848</v>
      </c>
      <c r="D35" s="322" t="s">
        <v>854</v>
      </c>
      <c r="E35" s="96" t="s">
        <v>850</v>
      </c>
    </row>
    <row r="36" spans="2:5">
      <c r="B36" s="602" t="str">
        <f>(inputPrYr!B37)</f>
        <v>Pool</v>
      </c>
      <c r="C36" s="323" t="str">
        <f>C5</f>
        <v>Actual for 2012</v>
      </c>
      <c r="D36" s="323" t="str">
        <f>D5</f>
        <v>Estimate for 2013</v>
      </c>
      <c r="E36" s="324" t="str">
        <f>E5</f>
        <v>Year for 2014</v>
      </c>
    </row>
    <row r="37" spans="2:5">
      <c r="B37" s="35" t="s">
        <v>228</v>
      </c>
      <c r="C37" s="4">
        <v>153771</v>
      </c>
      <c r="D37" s="16">
        <f>C60</f>
        <v>169369</v>
      </c>
      <c r="E37" s="16">
        <f>D60</f>
        <v>175444</v>
      </c>
    </row>
    <row r="38" spans="2:5">
      <c r="B38" s="38" t="s">
        <v>230</v>
      </c>
      <c r="C38" s="10"/>
      <c r="D38" s="10"/>
      <c r="E38" s="10"/>
    </row>
    <row r="39" spans="2:5">
      <c r="B39" s="34" t="s">
        <v>1094</v>
      </c>
      <c r="C39" s="4">
        <v>50273</v>
      </c>
      <c r="D39" s="4">
        <v>50000</v>
      </c>
      <c r="E39" s="4">
        <v>55000</v>
      </c>
    </row>
    <row r="40" spans="2:5">
      <c r="B40" s="34" t="s">
        <v>1117</v>
      </c>
      <c r="C40" s="4">
        <v>1597</v>
      </c>
      <c r="D40" s="4">
        <v>1500</v>
      </c>
      <c r="E40" s="4">
        <v>1500</v>
      </c>
    </row>
    <row r="41" spans="2:5">
      <c r="B41" s="34" t="s">
        <v>1128</v>
      </c>
      <c r="C41" s="4">
        <v>1708</v>
      </c>
      <c r="D41" s="4">
        <v>1500</v>
      </c>
      <c r="E41" s="4">
        <v>1500</v>
      </c>
    </row>
    <row r="42" spans="2:5">
      <c r="B42" s="34" t="s">
        <v>1125</v>
      </c>
      <c r="C42" s="4">
        <v>60000</v>
      </c>
      <c r="D42" s="4">
        <v>60000</v>
      </c>
      <c r="E42" s="4">
        <v>60000</v>
      </c>
    </row>
    <row r="43" spans="2:5">
      <c r="B43" s="36" t="s">
        <v>113</v>
      </c>
      <c r="C43" s="4"/>
      <c r="D43" s="4"/>
      <c r="E43" s="4"/>
    </row>
    <row r="44" spans="2:5">
      <c r="B44" s="41" t="s">
        <v>14</v>
      </c>
      <c r="C44" s="4">
        <v>122</v>
      </c>
      <c r="D44" s="37">
        <v>100</v>
      </c>
      <c r="E44" s="37">
        <v>100</v>
      </c>
    </row>
    <row r="45" spans="2:5">
      <c r="B45" s="35" t="s">
        <v>774</v>
      </c>
      <c r="C45" s="604" t="str">
        <f>IF(C46*0.1&lt;C44,"Exceed 10% Rule","")</f>
        <v/>
      </c>
      <c r="D45" s="45" t="str">
        <f>IF(D46*0.1&lt;D44,"Exceed 10% Rule","")</f>
        <v/>
      </c>
      <c r="E45" s="45" t="str">
        <f>IF(E46*0.1&lt;E44,"Exceed 10% Rule","")</f>
        <v/>
      </c>
    </row>
    <row r="46" spans="2:5">
      <c r="B46" s="26" t="s">
        <v>114</v>
      </c>
      <c r="C46" s="33">
        <f>SUM(C39:C44)</f>
        <v>113700</v>
      </c>
      <c r="D46" s="33">
        <f>SUM(D39:D44)</f>
        <v>113100</v>
      </c>
      <c r="E46" s="33">
        <f>SUM(E39:E44)</f>
        <v>118100</v>
      </c>
    </row>
    <row r="47" spans="2:5">
      <c r="B47" s="26" t="s">
        <v>115</v>
      </c>
      <c r="C47" s="33">
        <f>C37+C46</f>
        <v>267471</v>
      </c>
      <c r="D47" s="33">
        <f>D37+D46</f>
        <v>282469</v>
      </c>
      <c r="E47" s="33">
        <f>E37+E46</f>
        <v>293544</v>
      </c>
    </row>
    <row r="48" spans="2:5">
      <c r="B48" s="9" t="s">
        <v>117</v>
      </c>
      <c r="C48" s="16"/>
      <c r="D48" s="16"/>
      <c r="E48" s="16"/>
    </row>
    <row r="49" spans="2:5">
      <c r="B49" s="34" t="s">
        <v>1112</v>
      </c>
      <c r="C49" s="4">
        <v>46847</v>
      </c>
      <c r="D49" s="4">
        <v>61355</v>
      </c>
      <c r="E49" s="4">
        <v>61505</v>
      </c>
    </row>
    <row r="50" spans="2:5">
      <c r="B50" s="34" t="s">
        <v>1118</v>
      </c>
      <c r="C50" s="4">
        <v>14420</v>
      </c>
      <c r="D50" s="4">
        <v>18600</v>
      </c>
      <c r="E50" s="4">
        <v>32500</v>
      </c>
    </row>
    <row r="51" spans="2:5">
      <c r="B51" s="34" t="s">
        <v>1119</v>
      </c>
      <c r="C51" s="4">
        <v>22474</v>
      </c>
      <c r="D51" s="4">
        <v>26070</v>
      </c>
      <c r="E51" s="4">
        <v>28000</v>
      </c>
    </row>
    <row r="52" spans="2:5">
      <c r="B52" s="34" t="s">
        <v>1115</v>
      </c>
      <c r="C52" s="4">
        <v>14361</v>
      </c>
      <c r="D52" s="4">
        <v>1000</v>
      </c>
      <c r="E52" s="4">
        <v>12000</v>
      </c>
    </row>
    <row r="53" spans="2:5">
      <c r="B53" s="34"/>
      <c r="C53" s="4"/>
      <c r="D53" s="4"/>
      <c r="E53" s="4"/>
    </row>
    <row r="54" spans="2:5">
      <c r="B54" s="34"/>
      <c r="C54" s="4"/>
      <c r="D54" s="4"/>
      <c r="E54" s="4"/>
    </row>
    <row r="55" spans="2:5">
      <c r="B55" s="34"/>
      <c r="C55" s="4"/>
      <c r="D55" s="4"/>
      <c r="E55" s="4"/>
    </row>
    <row r="56" spans="2:5">
      <c r="B56" s="34"/>
      <c r="C56" s="4"/>
      <c r="D56" s="4"/>
      <c r="E56" s="4"/>
    </row>
    <row r="57" spans="2:5">
      <c r="B57" s="39" t="s">
        <v>14</v>
      </c>
      <c r="C57" s="4"/>
      <c r="D57" s="37"/>
      <c r="E57" s="37"/>
    </row>
    <row r="58" spans="2:5">
      <c r="B58" s="39" t="s">
        <v>773</v>
      </c>
      <c r="C58" s="604" t="str">
        <f>IF(C59*0.1&lt;C57,"Exceed 10% Rule","")</f>
        <v/>
      </c>
      <c r="D58" s="45" t="str">
        <f>IF(D59*0.1&lt;D57,"Exceed 10% Rule","")</f>
        <v/>
      </c>
      <c r="E58" s="45" t="str">
        <f>IF(E59*0.1&lt;E57,"Exceed 10% Rule","")</f>
        <v/>
      </c>
    </row>
    <row r="59" spans="2:5">
      <c r="B59" s="26" t="s">
        <v>121</v>
      </c>
      <c r="C59" s="33">
        <f>SUM(C49:C57)</f>
        <v>98102</v>
      </c>
      <c r="D59" s="33">
        <f>SUM(D49:D57)</f>
        <v>107025</v>
      </c>
      <c r="E59" s="33">
        <f>SUM(E49:E57)</f>
        <v>134005</v>
      </c>
    </row>
    <row r="60" spans="2:5">
      <c r="B60" s="9" t="s">
        <v>229</v>
      </c>
      <c r="C60" s="32">
        <f>C47-C59</f>
        <v>169369</v>
      </c>
      <c r="D60" s="32">
        <f>D47-D59</f>
        <v>175444</v>
      </c>
      <c r="E60" s="32">
        <f>E47-E59</f>
        <v>159539</v>
      </c>
    </row>
    <row r="61" spans="2:5">
      <c r="B61" s="6" t="str">
        <f>CONCATENATE("",E1-2,"/",E1-1," Budget Authority Amount:")</f>
        <v>2012/2013 Budget Authority Amount:</v>
      </c>
      <c r="C61" s="28">
        <f>inputOth!B77</f>
        <v>127375</v>
      </c>
      <c r="D61" s="28">
        <f>inputPrYr!D37</f>
        <v>116025</v>
      </c>
      <c r="E61" s="601" t="str">
        <f>IF(E60&lt;0,"See Tab E","")</f>
        <v/>
      </c>
    </row>
    <row r="62" spans="2:5">
      <c r="B62" s="6"/>
      <c r="C62" s="342" t="str">
        <f>IF(C59&gt;C61,"See Tab A","")</f>
        <v/>
      </c>
      <c r="D62" s="342" t="str">
        <f>IF(D59&gt;D61,"See Tab C","")</f>
        <v/>
      </c>
      <c r="E62" s="5"/>
    </row>
    <row r="63" spans="2:5">
      <c r="B63" s="6"/>
      <c r="C63" s="342" t="str">
        <f>IF(C60&lt;0,"See Tab B","")</f>
        <v/>
      </c>
      <c r="D63" s="342" t="str">
        <f>IF(D60&lt;0,"See Tab D","")</f>
        <v/>
      </c>
      <c r="E63" s="5"/>
    </row>
    <row r="64" spans="2:5">
      <c r="B64" s="5"/>
      <c r="C64" s="5"/>
      <c r="D64" s="5"/>
      <c r="E64" s="5"/>
    </row>
    <row r="65" spans="2:5">
      <c r="B65" s="7" t="s">
        <v>124</v>
      </c>
      <c r="C65" s="19">
        <v>13</v>
      </c>
      <c r="D65" s="5"/>
      <c r="E65" s="5"/>
    </row>
  </sheetData>
  <sheetProtection sheet="1"/>
  <phoneticPr fontId="0" type="noConversion"/>
  <conditionalFormatting sqref="C13">
    <cfRule type="cellIs" dxfId="133" priority="3" stopIfTrue="1" operator="greaterThan">
      <formula>$C$15*0.1</formula>
    </cfRule>
  </conditionalFormatting>
  <conditionalFormatting sqref="D13">
    <cfRule type="cellIs" dxfId="132" priority="4" stopIfTrue="1" operator="greaterThan">
      <formula>$D$15*0.1</formula>
    </cfRule>
  </conditionalFormatting>
  <conditionalFormatting sqref="E13">
    <cfRule type="cellIs" dxfId="131" priority="5" stopIfTrue="1" operator="greaterThan">
      <formula>$E$15*0.1</formula>
    </cfRule>
  </conditionalFormatting>
  <conditionalFormatting sqref="C26">
    <cfRule type="cellIs" dxfId="130" priority="6" stopIfTrue="1" operator="greaterThan">
      <formula>$C$28*0.1</formula>
    </cfRule>
  </conditionalFormatting>
  <conditionalFormatting sqref="D26">
    <cfRule type="cellIs" dxfId="129" priority="7" stopIfTrue="1" operator="greaterThan">
      <formula>$D$28*0.1</formula>
    </cfRule>
  </conditionalFormatting>
  <conditionalFormatting sqref="E26">
    <cfRule type="cellIs" dxfId="128" priority="8" stopIfTrue="1" operator="greaterThan">
      <formula>$E$28*0.1</formula>
    </cfRule>
  </conditionalFormatting>
  <conditionalFormatting sqref="C44">
    <cfRule type="cellIs" dxfId="127" priority="9" stopIfTrue="1" operator="greaterThan">
      <formula>$C$46*0.1</formula>
    </cfRule>
  </conditionalFormatting>
  <conditionalFormatting sqref="D44">
    <cfRule type="cellIs" dxfId="126" priority="10" stopIfTrue="1" operator="greaterThan">
      <formula>$D$46*0.1</formula>
    </cfRule>
  </conditionalFormatting>
  <conditionalFormatting sqref="E44">
    <cfRule type="cellIs" dxfId="125" priority="11" stopIfTrue="1" operator="greaterThan">
      <formula>$E$46*0.1</formula>
    </cfRule>
  </conditionalFormatting>
  <conditionalFormatting sqref="C57">
    <cfRule type="cellIs" dxfId="124" priority="12" stopIfTrue="1" operator="greaterThan">
      <formula>$C$59*0.1</formula>
    </cfRule>
  </conditionalFormatting>
  <conditionalFormatting sqref="D57">
    <cfRule type="cellIs" dxfId="123" priority="13" stopIfTrue="1" operator="greaterThan">
      <formula>$D$59*0.1</formula>
    </cfRule>
  </conditionalFormatting>
  <conditionalFormatting sqref="E57">
    <cfRule type="cellIs" dxfId="122" priority="14" stopIfTrue="1" operator="greaterThan">
      <formula>$E$59*0.1</formula>
    </cfRule>
  </conditionalFormatting>
  <conditionalFormatting sqref="D59">
    <cfRule type="cellIs" dxfId="121" priority="15" stopIfTrue="1" operator="greaterThan">
      <formula>$D$61</formula>
    </cfRule>
  </conditionalFormatting>
  <conditionalFormatting sqref="C59">
    <cfRule type="cellIs" dxfId="120" priority="16" stopIfTrue="1" operator="greaterThan">
      <formula>$C$61</formula>
    </cfRule>
  </conditionalFormatting>
  <conditionalFormatting sqref="C60 E60 C29 E29">
    <cfRule type="cellIs" dxfId="119" priority="17" stopIfTrue="1" operator="lessThan">
      <formula>0</formula>
    </cfRule>
  </conditionalFormatting>
  <conditionalFormatting sqref="D28">
    <cfRule type="cellIs" dxfId="118" priority="18" stopIfTrue="1" operator="greaterThan">
      <formula>$D$30</formula>
    </cfRule>
  </conditionalFormatting>
  <conditionalFormatting sqref="C28">
    <cfRule type="cellIs" dxfId="117" priority="19" stopIfTrue="1" operator="greaterThan">
      <formula>$C$30</formula>
    </cfRule>
  </conditionalFormatting>
  <conditionalFormatting sqref="D29">
    <cfRule type="cellIs" dxfId="116" priority="2" stopIfTrue="1" operator="lessThan">
      <formula>0</formula>
    </cfRule>
  </conditionalFormatting>
  <conditionalFormatting sqref="D60">
    <cfRule type="cellIs" dxfId="115" priority="1" stopIfTrue="1" operator="lessThan">
      <formula>0</formula>
    </cfRule>
  </conditionalFormatting>
  <pageMargins left="0.5" right="0.5" top="1" bottom="0.5" header="0.5" footer="0.5"/>
  <pageSetup scale="67" orientation="portrait"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topLeftCell="A13" workbookViewId="0">
      <selection activeCell="E23" sqref="E23"/>
    </sheetView>
  </sheetViews>
  <sheetFormatPr defaultColWidth="8.88671875" defaultRowHeight="15.75"/>
  <cols>
    <col min="1" max="1" width="2.44140625" style="121" customWidth="1"/>
    <col min="2" max="2" width="31.109375" style="121" customWidth="1"/>
    <col min="3" max="4" width="15.77734375" style="121" customWidth="1"/>
    <col min="5" max="5" width="16.109375" style="121" customWidth="1"/>
    <col min="6" max="16384" width="8.88671875" style="121"/>
  </cols>
  <sheetData>
    <row r="1" spans="2:5">
      <c r="B1" s="105" t="str">
        <f>(inputPrYr!D2)</f>
        <v>City of Hiawatha</v>
      </c>
      <c r="C1" s="85"/>
      <c r="D1" s="85"/>
      <c r="E1" s="343">
        <f>inputPrYr!C5</f>
        <v>2014</v>
      </c>
    </row>
    <row r="2" spans="2:5">
      <c r="B2" s="85"/>
      <c r="C2" s="85"/>
      <c r="D2" s="85"/>
      <c r="E2" s="118"/>
    </row>
    <row r="3" spans="2:5">
      <c r="B3" s="318" t="s">
        <v>174</v>
      </c>
      <c r="C3" s="90"/>
      <c r="D3" s="90"/>
      <c r="E3" s="90"/>
    </row>
    <row r="4" spans="2:5">
      <c r="B4" s="103" t="s">
        <v>105</v>
      </c>
      <c r="C4" s="321" t="s">
        <v>848</v>
      </c>
      <c r="D4" s="322" t="s">
        <v>849</v>
      </c>
      <c r="E4" s="96" t="s">
        <v>850</v>
      </c>
    </row>
    <row r="5" spans="2:5">
      <c r="B5" s="145" t="str">
        <f>(inputPrYr!B38)</f>
        <v>Water</v>
      </c>
      <c r="C5" s="323" t="str">
        <f>CONCATENATE("Actual for ",E1-2,"")</f>
        <v>Actual for 2012</v>
      </c>
      <c r="D5" s="323" t="str">
        <f>CONCATENATE("Estimate for ",E1-1,"")</f>
        <v>Estimate for 2013</v>
      </c>
      <c r="E5" s="324" t="str">
        <f>CONCATENATE("Year for ",E1,"")</f>
        <v>Year for 2014</v>
      </c>
    </row>
    <row r="6" spans="2:5">
      <c r="B6" s="274" t="s">
        <v>228</v>
      </c>
      <c r="C6" s="137">
        <v>358134</v>
      </c>
      <c r="D6" s="327">
        <f>C29</f>
        <v>488888</v>
      </c>
      <c r="E6" s="327">
        <f>D29</f>
        <v>505522</v>
      </c>
    </row>
    <row r="7" spans="2:5">
      <c r="B7" s="346" t="s">
        <v>230</v>
      </c>
      <c r="C7" s="100"/>
      <c r="D7" s="100"/>
      <c r="E7" s="100"/>
    </row>
    <row r="8" spans="2:5">
      <c r="B8" s="329" t="s">
        <v>1094</v>
      </c>
      <c r="C8" s="137">
        <v>828234</v>
      </c>
      <c r="D8" s="137">
        <v>825000</v>
      </c>
      <c r="E8" s="137">
        <v>891000</v>
      </c>
    </row>
    <row r="9" spans="2:5">
      <c r="B9" s="329" t="s">
        <v>1129</v>
      </c>
      <c r="C9" s="137">
        <v>0</v>
      </c>
      <c r="D9" s="137"/>
      <c r="E9" s="137"/>
    </row>
    <row r="10" spans="2:5">
      <c r="B10" s="329" t="s">
        <v>1117</v>
      </c>
      <c r="C10" s="137">
        <v>7699</v>
      </c>
      <c r="D10" s="137"/>
      <c r="E10" s="137"/>
    </row>
    <row r="11" spans="2:5">
      <c r="B11" s="329"/>
      <c r="C11" s="137"/>
      <c r="D11" s="137"/>
      <c r="E11" s="137"/>
    </row>
    <row r="12" spans="2:5">
      <c r="B12" s="347" t="s">
        <v>113</v>
      </c>
      <c r="C12" s="137"/>
      <c r="D12" s="137"/>
      <c r="E12" s="137"/>
    </row>
    <row r="13" spans="2:5">
      <c r="B13" s="217" t="s">
        <v>14</v>
      </c>
      <c r="C13" s="137"/>
      <c r="D13" s="345"/>
      <c r="E13" s="345"/>
    </row>
    <row r="14" spans="2:5">
      <c r="B14" s="274" t="s">
        <v>774</v>
      </c>
      <c r="C14" s="340" t="str">
        <f>IF(C15*0.1&lt;C13,"Exceed 10% Rule","")</f>
        <v/>
      </c>
      <c r="D14" s="334" t="str">
        <f>IF(D15*0.1&lt;D13,"Exceed 10% Rule","")</f>
        <v/>
      </c>
      <c r="E14" s="334" t="str">
        <f>IF(E15*0.1&lt;E13,"Exceed 10% Rule","")</f>
        <v/>
      </c>
    </row>
    <row r="15" spans="2:5">
      <c r="B15" s="335" t="s">
        <v>114</v>
      </c>
      <c r="C15" s="338">
        <f>SUM(C8:C13)</f>
        <v>835933</v>
      </c>
      <c r="D15" s="338">
        <f>SUM(D8:D13)</f>
        <v>825000</v>
      </c>
      <c r="E15" s="338">
        <f>SUM(E8:E13)</f>
        <v>891000</v>
      </c>
    </row>
    <row r="16" spans="2:5">
      <c r="B16" s="335" t="s">
        <v>115</v>
      </c>
      <c r="C16" s="338">
        <f>C6+C15</f>
        <v>1194067</v>
      </c>
      <c r="D16" s="338">
        <f>D6+D15</f>
        <v>1313888</v>
      </c>
      <c r="E16" s="338">
        <f>E6+E15</f>
        <v>1396522</v>
      </c>
    </row>
    <row r="17" spans="2:5">
      <c r="B17" s="177" t="s">
        <v>117</v>
      </c>
      <c r="C17" s="327"/>
      <c r="D17" s="327"/>
      <c r="E17" s="327"/>
    </row>
    <row r="18" spans="2:5">
      <c r="B18" s="329" t="s">
        <v>1112</v>
      </c>
      <c r="C18" s="137">
        <v>267219</v>
      </c>
      <c r="D18" s="137">
        <v>293516</v>
      </c>
      <c r="E18" s="137">
        <v>304016</v>
      </c>
    </row>
    <row r="19" spans="2:5">
      <c r="B19" s="329" t="s">
        <v>1118</v>
      </c>
      <c r="C19" s="137">
        <v>129533</v>
      </c>
      <c r="D19" s="137">
        <v>157100</v>
      </c>
      <c r="E19" s="137">
        <v>175750</v>
      </c>
    </row>
    <row r="20" spans="2:5">
      <c r="B20" s="329" t="s">
        <v>1119</v>
      </c>
      <c r="C20" s="137">
        <v>81152</v>
      </c>
      <c r="D20" s="137">
        <v>85750</v>
      </c>
      <c r="E20" s="137">
        <v>83000</v>
      </c>
    </row>
    <row r="21" spans="2:5">
      <c r="B21" s="329" t="s">
        <v>1115</v>
      </c>
      <c r="C21" s="137">
        <v>84277</v>
      </c>
      <c r="D21" s="137">
        <v>212000</v>
      </c>
      <c r="E21" s="137">
        <v>280500</v>
      </c>
    </row>
    <row r="22" spans="2:5">
      <c r="B22" s="329" t="s">
        <v>1116</v>
      </c>
      <c r="C22" s="137">
        <v>142998</v>
      </c>
      <c r="D22" s="137">
        <v>60000</v>
      </c>
      <c r="E22" s="137">
        <v>130043</v>
      </c>
    </row>
    <row r="23" spans="2:5">
      <c r="B23" s="329"/>
      <c r="C23" s="137"/>
      <c r="D23" s="137"/>
      <c r="E23" s="137"/>
    </row>
    <row r="24" spans="2:5">
      <c r="B24" s="329"/>
      <c r="C24" s="137"/>
      <c r="D24" s="137"/>
      <c r="E24" s="137"/>
    </row>
    <row r="25" spans="2:5">
      <c r="B25" s="329"/>
      <c r="C25" s="137"/>
      <c r="D25" s="137"/>
      <c r="E25" s="137"/>
    </row>
    <row r="26" spans="2:5">
      <c r="B26" s="339" t="s">
        <v>14</v>
      </c>
      <c r="C26" s="137"/>
      <c r="D26" s="345"/>
      <c r="E26" s="345"/>
    </row>
    <row r="27" spans="2:5">
      <c r="B27" s="339" t="s">
        <v>773</v>
      </c>
      <c r="C27" s="340" t="str">
        <f>IF(C28*0.1&lt;C26,"Exceed 10% Rule","")</f>
        <v/>
      </c>
      <c r="D27" s="334" t="str">
        <f>IF(D28*0.1&lt;D26,"Exceed 10% Rule","")</f>
        <v/>
      </c>
      <c r="E27" s="334" t="str">
        <f>IF(E28*0.1&lt;E26,"Exceed 10% Rule","")</f>
        <v/>
      </c>
    </row>
    <row r="28" spans="2:5">
      <c r="B28" s="335" t="s">
        <v>121</v>
      </c>
      <c r="C28" s="338">
        <f>SUM(C18:C26)</f>
        <v>705179</v>
      </c>
      <c r="D28" s="338">
        <f>SUM(D18:D26)</f>
        <v>808366</v>
      </c>
      <c r="E28" s="338">
        <f>SUM(E18:E26)</f>
        <v>973309</v>
      </c>
    </row>
    <row r="29" spans="2:5">
      <c r="B29" s="177" t="s">
        <v>229</v>
      </c>
      <c r="C29" s="151">
        <f>C16-C28</f>
        <v>488888</v>
      </c>
      <c r="D29" s="151">
        <f>D16-D28</f>
        <v>505522</v>
      </c>
      <c r="E29" s="151">
        <f>E16-E28</f>
        <v>423213</v>
      </c>
    </row>
    <row r="30" spans="2:5">
      <c r="B30" s="119" t="str">
        <f>CONCATENATE("",E1-2,"/",E1-1," Budget Authority Amount:")</f>
        <v>2012/2013 Budget Authority Amount:</v>
      </c>
      <c r="C30" s="280">
        <f>inputOth!B78</f>
        <v>869057</v>
      </c>
      <c r="D30" s="280">
        <f>inputPrYr!D38</f>
        <v>808366</v>
      </c>
      <c r="E30" s="601" t="str">
        <f>IF(E29&lt;0,"See Tab E","")</f>
        <v/>
      </c>
    </row>
    <row r="31" spans="2:5">
      <c r="B31" s="119"/>
      <c r="C31" s="342" t="str">
        <f>IF(C28&gt;C30,"See Tab A","")</f>
        <v/>
      </c>
      <c r="D31" s="342" t="str">
        <f>IF(D28&gt;D30,"See Tab C","")</f>
        <v/>
      </c>
      <c r="E31" s="165"/>
    </row>
    <row r="32" spans="2:5">
      <c r="B32" s="119"/>
      <c r="C32" s="342" t="str">
        <f>IF(C29&lt;0,"See Tab B","")</f>
        <v/>
      </c>
      <c r="D32" s="342" t="str">
        <f>IF(D29&lt;0,"See Tab D","")</f>
        <v/>
      </c>
      <c r="E32" s="165"/>
    </row>
    <row r="33" spans="2:5">
      <c r="B33" s="85"/>
      <c r="C33" s="165"/>
      <c r="D33" s="165"/>
      <c r="E33" s="165"/>
    </row>
    <row r="34" spans="2:5">
      <c r="B34" s="103" t="s">
        <v>105</v>
      </c>
      <c r="C34" s="348"/>
      <c r="D34" s="348"/>
      <c r="E34" s="348"/>
    </row>
    <row r="35" spans="2:5">
      <c r="B35" s="85"/>
      <c r="C35" s="321" t="s">
        <v>848</v>
      </c>
      <c r="D35" s="322" t="s">
        <v>854</v>
      </c>
      <c r="E35" s="96" t="s">
        <v>850</v>
      </c>
    </row>
    <row r="36" spans="2:5">
      <c r="B36" s="560" t="str">
        <f>(inputPrYr!B39)</f>
        <v>Sewer</v>
      </c>
      <c r="C36" s="323" t="str">
        <f>C5</f>
        <v>Actual for 2012</v>
      </c>
      <c r="D36" s="323" t="str">
        <f>D5</f>
        <v>Estimate for 2013</v>
      </c>
      <c r="E36" s="324" t="str">
        <f>E5</f>
        <v>Year for 2014</v>
      </c>
    </row>
    <row r="37" spans="2:5">
      <c r="B37" s="274" t="s">
        <v>228</v>
      </c>
      <c r="C37" s="137">
        <v>440458</v>
      </c>
      <c r="D37" s="327">
        <f>C60</f>
        <v>300116</v>
      </c>
      <c r="E37" s="327">
        <f>D60</f>
        <v>435092</v>
      </c>
    </row>
    <row r="38" spans="2:5">
      <c r="B38" s="346" t="s">
        <v>230</v>
      </c>
      <c r="C38" s="100"/>
      <c r="D38" s="100"/>
      <c r="E38" s="100"/>
    </row>
    <row r="39" spans="2:5">
      <c r="B39" s="329" t="s">
        <v>1094</v>
      </c>
      <c r="C39" s="137">
        <v>518251</v>
      </c>
      <c r="D39" s="137">
        <v>673726</v>
      </c>
      <c r="E39" s="137">
        <v>687201</v>
      </c>
    </row>
    <row r="40" spans="2:5">
      <c r="B40" s="329" t="s">
        <v>1130</v>
      </c>
      <c r="C40" s="137">
        <v>4135</v>
      </c>
      <c r="D40" s="137">
        <v>3500</v>
      </c>
      <c r="E40" s="137">
        <v>3500</v>
      </c>
    </row>
    <row r="41" spans="2:5">
      <c r="B41" s="329" t="s">
        <v>1117</v>
      </c>
      <c r="C41" s="137">
        <v>607</v>
      </c>
      <c r="D41" s="137">
        <v>500</v>
      </c>
      <c r="E41" s="137">
        <v>500</v>
      </c>
    </row>
    <row r="42" spans="2:5">
      <c r="B42" s="329" t="s">
        <v>1131</v>
      </c>
      <c r="C42" s="137">
        <v>3176</v>
      </c>
      <c r="D42" s="137">
        <v>3000</v>
      </c>
      <c r="E42" s="137">
        <v>3000</v>
      </c>
    </row>
    <row r="43" spans="2:5">
      <c r="B43" s="347" t="s">
        <v>113</v>
      </c>
      <c r="C43" s="137">
        <v>500</v>
      </c>
      <c r="D43" s="137">
        <v>500</v>
      </c>
      <c r="E43" s="137">
        <v>500</v>
      </c>
    </row>
    <row r="44" spans="2:5">
      <c r="B44" s="217" t="s">
        <v>14</v>
      </c>
      <c r="C44" s="137"/>
      <c r="D44" s="345"/>
      <c r="E44" s="345"/>
    </row>
    <row r="45" spans="2:5">
      <c r="B45" s="274" t="s">
        <v>774</v>
      </c>
      <c r="C45" s="340" t="str">
        <f>IF(C46*0.1&lt;C44,"Exceed 10% Rule","")</f>
        <v/>
      </c>
      <c r="D45" s="334" t="str">
        <f>IF(D46*0.1&lt;D44,"Exceed 10% Rule","")</f>
        <v/>
      </c>
      <c r="E45" s="334" t="str">
        <f>IF(E46*0.1&lt;E44,"Exceed 10% Rule","")</f>
        <v/>
      </c>
    </row>
    <row r="46" spans="2:5">
      <c r="B46" s="335" t="s">
        <v>114</v>
      </c>
      <c r="C46" s="338">
        <f>SUM(C39:C44)</f>
        <v>526669</v>
      </c>
      <c r="D46" s="338">
        <f>SUM(D39:D44)</f>
        <v>681226</v>
      </c>
      <c r="E46" s="338">
        <f>SUM(E39:E44)</f>
        <v>694701</v>
      </c>
    </row>
    <row r="47" spans="2:5">
      <c r="B47" s="335" t="s">
        <v>115</v>
      </c>
      <c r="C47" s="338">
        <f>C37+C46</f>
        <v>967127</v>
      </c>
      <c r="D47" s="338">
        <f>D37+D46</f>
        <v>981342</v>
      </c>
      <c r="E47" s="338">
        <f>E37+E46</f>
        <v>1129793</v>
      </c>
    </row>
    <row r="48" spans="2:5">
      <c r="B48" s="177" t="s">
        <v>117</v>
      </c>
      <c r="C48" s="327"/>
      <c r="D48" s="327"/>
      <c r="E48" s="327"/>
    </row>
    <row r="49" spans="2:5">
      <c r="B49" s="329" t="s">
        <v>1112</v>
      </c>
      <c r="C49" s="137">
        <v>133016</v>
      </c>
      <c r="D49" s="137">
        <v>157250</v>
      </c>
      <c r="E49" s="137">
        <v>164250</v>
      </c>
    </row>
    <row r="50" spans="2:5">
      <c r="B50" s="329" t="s">
        <v>1118</v>
      </c>
      <c r="C50" s="137">
        <v>447038</v>
      </c>
      <c r="D50" s="137">
        <v>241150</v>
      </c>
      <c r="E50" s="137">
        <v>323200</v>
      </c>
    </row>
    <row r="51" spans="2:5">
      <c r="B51" s="329" t="s">
        <v>1119</v>
      </c>
      <c r="C51" s="137">
        <v>16711</v>
      </c>
      <c r="D51" s="137">
        <v>27850</v>
      </c>
      <c r="E51" s="137">
        <v>29150</v>
      </c>
    </row>
    <row r="52" spans="2:5">
      <c r="B52" s="329" t="s">
        <v>1115</v>
      </c>
      <c r="C52" s="137">
        <v>5247</v>
      </c>
      <c r="D52" s="137">
        <v>20000</v>
      </c>
      <c r="E52" s="137">
        <v>125500</v>
      </c>
    </row>
    <row r="53" spans="2:5">
      <c r="B53" s="329" t="s">
        <v>1116</v>
      </c>
      <c r="C53" s="137">
        <v>64999</v>
      </c>
      <c r="D53" s="137">
        <v>100000</v>
      </c>
      <c r="E53" s="137">
        <v>226909</v>
      </c>
    </row>
    <row r="54" spans="2:5">
      <c r="B54" s="329"/>
      <c r="C54" s="137"/>
      <c r="D54" s="137"/>
      <c r="E54" s="137"/>
    </row>
    <row r="55" spans="2:5">
      <c r="B55" s="329"/>
      <c r="C55" s="137"/>
      <c r="D55" s="137"/>
      <c r="E55" s="137"/>
    </row>
    <row r="56" spans="2:5">
      <c r="B56" s="329"/>
      <c r="C56" s="137"/>
      <c r="D56" s="137"/>
      <c r="E56" s="137"/>
    </row>
    <row r="57" spans="2:5">
      <c r="B57" s="339" t="s">
        <v>14</v>
      </c>
      <c r="C57" s="137"/>
      <c r="D57" s="345"/>
      <c r="E57" s="345"/>
    </row>
    <row r="58" spans="2:5">
      <c r="B58" s="349" t="s">
        <v>773</v>
      </c>
      <c r="C58" s="340" t="str">
        <f>IF(C59*0.1&lt;C57,"Exceed 10% Rule","")</f>
        <v/>
      </c>
      <c r="D58" s="334" t="str">
        <f>IF(D59*0.1&lt;D57,"Exceed 10% Rule","")</f>
        <v/>
      </c>
      <c r="E58" s="334" t="str">
        <f>IF(E59*0.1&lt;E57,"Exceed 10% Rule","")</f>
        <v/>
      </c>
    </row>
    <row r="59" spans="2:5">
      <c r="B59" s="335" t="s">
        <v>121</v>
      </c>
      <c r="C59" s="338">
        <f>SUM(C49:C57)</f>
        <v>667011</v>
      </c>
      <c r="D59" s="338">
        <f>SUM(D49:D57)</f>
        <v>546250</v>
      </c>
      <c r="E59" s="338">
        <f>SUM(E49:E57)</f>
        <v>869009</v>
      </c>
    </row>
    <row r="60" spans="2:5">
      <c r="B60" s="177" t="s">
        <v>229</v>
      </c>
      <c r="C60" s="151">
        <f>C47-C59</f>
        <v>300116</v>
      </c>
      <c r="D60" s="151">
        <f>D47-D59</f>
        <v>435092</v>
      </c>
      <c r="E60" s="151">
        <f>E47-E59</f>
        <v>260784</v>
      </c>
    </row>
    <row r="61" spans="2:5">
      <c r="B61" s="119" t="str">
        <f>CONCATENATE("",E1-2,"/",E1-1," Budget Authority Amount:")</f>
        <v>2012/2013 Budget Authority Amount:</v>
      </c>
      <c r="C61" s="280">
        <f>inputOth!B79</f>
        <v>767410</v>
      </c>
      <c r="D61" s="280">
        <f>inputPrYr!D39</f>
        <v>546250</v>
      </c>
      <c r="E61" s="601" t="str">
        <f>IF(E60&lt;0,"See Tab E","")</f>
        <v/>
      </c>
    </row>
    <row r="62" spans="2:5">
      <c r="B62" s="119"/>
      <c r="C62" s="342" t="str">
        <f>IF(C59&gt;C61,"See Tab A","")</f>
        <v/>
      </c>
      <c r="D62" s="342" t="str">
        <f>IF(D59&gt;D61,"See Tab C","")</f>
        <v/>
      </c>
      <c r="E62" s="85"/>
    </row>
    <row r="63" spans="2:5">
      <c r="B63" s="119"/>
      <c r="C63" s="342" t="str">
        <f>IF(C60&lt;0,"See Tab B","")</f>
        <v/>
      </c>
      <c r="D63" s="342" t="str">
        <f>IF(D60&lt;0,"See Tab D","")</f>
        <v/>
      </c>
      <c r="E63" s="85"/>
    </row>
    <row r="64" spans="2:5">
      <c r="B64" s="85"/>
      <c r="C64" s="85"/>
      <c r="D64" s="85"/>
      <c r="E64" s="85"/>
    </row>
    <row r="65" spans="2:5">
      <c r="B65" s="118" t="s">
        <v>124</v>
      </c>
      <c r="C65" s="120">
        <v>14</v>
      </c>
      <c r="D65" s="85"/>
      <c r="E65" s="85"/>
    </row>
  </sheetData>
  <sheetProtection sheet="1"/>
  <phoneticPr fontId="0" type="noConversion"/>
  <conditionalFormatting sqref="C13">
    <cfRule type="cellIs" dxfId="114" priority="3" stopIfTrue="1" operator="greaterThan">
      <formula>$C$15*0.1</formula>
    </cfRule>
  </conditionalFormatting>
  <conditionalFormatting sqref="D13">
    <cfRule type="cellIs" dxfId="113" priority="4" stopIfTrue="1" operator="greaterThan">
      <formula>$D$15*0.1</formula>
    </cfRule>
  </conditionalFormatting>
  <conditionalFormatting sqref="E13">
    <cfRule type="cellIs" dxfId="112" priority="5" stopIfTrue="1" operator="greaterThan">
      <formula>$E$15*0.1</formula>
    </cfRule>
  </conditionalFormatting>
  <conditionalFormatting sqref="C26">
    <cfRule type="cellIs" dxfId="111" priority="6" stopIfTrue="1" operator="greaterThan">
      <formula>$C$28*0.1</formula>
    </cfRule>
  </conditionalFormatting>
  <conditionalFormatting sqref="D26">
    <cfRule type="cellIs" dxfId="110" priority="7" stopIfTrue="1" operator="greaterThan">
      <formula>$D$28*0.1</formula>
    </cfRule>
  </conditionalFormatting>
  <conditionalFormatting sqref="E26">
    <cfRule type="cellIs" dxfId="109" priority="8" stopIfTrue="1" operator="greaterThan">
      <formula>$E$28*0.1</formula>
    </cfRule>
  </conditionalFormatting>
  <conditionalFormatting sqref="C44">
    <cfRule type="cellIs" dxfId="108" priority="9" stopIfTrue="1" operator="greaterThan">
      <formula>$C$46*0.1</formula>
    </cfRule>
  </conditionalFormatting>
  <conditionalFormatting sqref="D44">
    <cfRule type="cellIs" dxfId="107" priority="10" stopIfTrue="1" operator="greaterThan">
      <formula>$D$46*0.1</formula>
    </cfRule>
  </conditionalFormatting>
  <conditionalFormatting sqref="E44">
    <cfRule type="cellIs" dxfId="106" priority="11" stopIfTrue="1" operator="greaterThan">
      <formula>$E$46*0.1</formula>
    </cfRule>
  </conditionalFormatting>
  <conditionalFormatting sqref="C57">
    <cfRule type="cellIs" dxfId="105" priority="12" stopIfTrue="1" operator="greaterThan">
      <formula>$C$59*0.1</formula>
    </cfRule>
  </conditionalFormatting>
  <conditionalFormatting sqref="D57">
    <cfRule type="cellIs" dxfId="104" priority="13" stopIfTrue="1" operator="greaterThan">
      <formula>$D$59*0.1</formula>
    </cfRule>
  </conditionalFormatting>
  <conditionalFormatting sqref="E57">
    <cfRule type="cellIs" dxfId="103" priority="14" stopIfTrue="1" operator="greaterThan">
      <formula>$E$59*0.1</formula>
    </cfRule>
  </conditionalFormatting>
  <conditionalFormatting sqref="D59">
    <cfRule type="cellIs" dxfId="102" priority="15" stopIfTrue="1" operator="greaterThan">
      <formula>$D$61</formula>
    </cfRule>
  </conditionalFormatting>
  <conditionalFormatting sqref="C59">
    <cfRule type="cellIs" dxfId="101" priority="16" stopIfTrue="1" operator="greaterThan">
      <formula>$C$61</formula>
    </cfRule>
  </conditionalFormatting>
  <conditionalFormatting sqref="C60 E60 C29 E29">
    <cfRule type="cellIs" dxfId="100" priority="17" stopIfTrue="1" operator="lessThan">
      <formula>0</formula>
    </cfRule>
  </conditionalFormatting>
  <conditionalFormatting sqref="D28">
    <cfRule type="cellIs" dxfId="99" priority="18" stopIfTrue="1" operator="greaterThan">
      <formula>$D$30</formula>
    </cfRule>
  </conditionalFormatting>
  <conditionalFormatting sqref="C28">
    <cfRule type="cellIs" dxfId="98" priority="19" stopIfTrue="1" operator="greaterThan">
      <formula>$C$30</formula>
    </cfRule>
  </conditionalFormatting>
  <conditionalFormatting sqref="D29">
    <cfRule type="cellIs" dxfId="97" priority="2" stopIfTrue="1" operator="lessThan">
      <formula>0</formula>
    </cfRule>
  </conditionalFormatting>
  <conditionalFormatting sqref="D60">
    <cfRule type="cellIs" dxfId="96" priority="1" stopIfTrue="1" operator="lessThan">
      <formula>0</formula>
    </cfRule>
  </conditionalFormatting>
  <pageMargins left="0.5" right="0.5" top="1" bottom="0.5" header="0.5" footer="0.5"/>
  <pageSetup scale="67" orientation="portrait" blackAndWhite="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topLeftCell="A34" workbookViewId="0">
      <selection activeCell="E51" sqref="E51"/>
    </sheetView>
  </sheetViews>
  <sheetFormatPr defaultColWidth="8.88671875" defaultRowHeight="15.75"/>
  <cols>
    <col min="1" max="1" width="2.44140625" style="121" customWidth="1"/>
    <col min="2" max="2" width="31.109375" style="121" customWidth="1"/>
    <col min="3" max="4" width="15.77734375" style="121" customWidth="1"/>
    <col min="5" max="5" width="16.21875" style="121" customWidth="1"/>
    <col min="6" max="16384" width="8.88671875" style="121"/>
  </cols>
  <sheetData>
    <row r="1" spans="2:5">
      <c r="B1" s="105" t="str">
        <f>(inputPrYr!D2)</f>
        <v>City of Hiawatha</v>
      </c>
      <c r="C1" s="85"/>
      <c r="D1" s="85"/>
      <c r="E1" s="343">
        <f>inputPrYr!C5</f>
        <v>2014</v>
      </c>
    </row>
    <row r="2" spans="2:5">
      <c r="B2" s="85"/>
      <c r="C2" s="85"/>
      <c r="D2" s="85"/>
      <c r="E2" s="118"/>
    </row>
    <row r="3" spans="2:5">
      <c r="B3" s="318" t="s">
        <v>174</v>
      </c>
      <c r="C3" s="90"/>
      <c r="D3" s="90"/>
      <c r="E3" s="90"/>
    </row>
    <row r="4" spans="2:5">
      <c r="B4" s="103" t="s">
        <v>105</v>
      </c>
      <c r="C4" s="321" t="s">
        <v>848</v>
      </c>
      <c r="D4" s="322" t="s">
        <v>849</v>
      </c>
      <c r="E4" s="96" t="s">
        <v>850</v>
      </c>
    </row>
    <row r="5" spans="2:5">
      <c r="B5" s="145" t="str">
        <f>inputPrYr!B40</f>
        <v>Airport</v>
      </c>
      <c r="C5" s="323" t="str">
        <f>CONCATENATE("Actual for ",E1-2,"")</f>
        <v>Actual for 2012</v>
      </c>
      <c r="D5" s="323" t="str">
        <f>CONCATENATE("Estimate for ",E1-1,"")</f>
        <v>Estimate for 2013</v>
      </c>
      <c r="E5" s="324" t="str">
        <f>CONCATENATE("Year for ",E1,"")</f>
        <v>Year for 2014</v>
      </c>
    </row>
    <row r="6" spans="2:5">
      <c r="B6" s="274" t="s">
        <v>228</v>
      </c>
      <c r="C6" s="137">
        <v>59303</v>
      </c>
      <c r="D6" s="327">
        <f>C29</f>
        <v>36782</v>
      </c>
      <c r="E6" s="327">
        <f>D29</f>
        <v>37182</v>
      </c>
    </row>
    <row r="7" spans="2:5">
      <c r="B7" s="346" t="s">
        <v>230</v>
      </c>
      <c r="C7" s="100"/>
      <c r="D7" s="100"/>
      <c r="E7" s="100"/>
    </row>
    <row r="8" spans="2:5">
      <c r="B8" s="329" t="s">
        <v>1132</v>
      </c>
      <c r="C8" s="137">
        <v>5910</v>
      </c>
      <c r="D8" s="137">
        <v>5900</v>
      </c>
      <c r="E8" s="137">
        <v>5900</v>
      </c>
    </row>
    <row r="9" spans="2:5">
      <c r="B9" s="329"/>
      <c r="C9" s="137"/>
      <c r="D9" s="137"/>
      <c r="E9" s="137"/>
    </row>
    <row r="10" spans="2:5">
      <c r="B10" s="329"/>
      <c r="C10" s="137"/>
      <c r="D10" s="137"/>
      <c r="E10" s="137"/>
    </row>
    <row r="11" spans="2:5">
      <c r="B11" s="329"/>
      <c r="C11" s="137"/>
      <c r="D11" s="137"/>
      <c r="E11" s="137"/>
    </row>
    <row r="12" spans="2:5">
      <c r="B12" s="347" t="s">
        <v>113</v>
      </c>
      <c r="C12" s="137"/>
      <c r="D12" s="137"/>
      <c r="E12" s="137"/>
    </row>
    <row r="13" spans="2:5">
      <c r="B13" s="217" t="s">
        <v>14</v>
      </c>
      <c r="C13" s="137"/>
      <c r="D13" s="345"/>
      <c r="E13" s="345"/>
    </row>
    <row r="14" spans="2:5">
      <c r="B14" s="274" t="s">
        <v>774</v>
      </c>
      <c r="C14" s="340" t="str">
        <f>IF(C15*0.1&lt;C13,"Exceed 10% Rule","")</f>
        <v/>
      </c>
      <c r="D14" s="334" t="str">
        <f>IF(D15*0.1&lt;D13,"Exceed 10% Rule","")</f>
        <v/>
      </c>
      <c r="E14" s="334" t="str">
        <f>IF(E15*0.1&lt;E13,"Exceed 10% Rule","")</f>
        <v/>
      </c>
    </row>
    <row r="15" spans="2:5">
      <c r="B15" s="335" t="s">
        <v>114</v>
      </c>
      <c r="C15" s="338">
        <f>SUM(C8:C13)</f>
        <v>5910</v>
      </c>
      <c r="D15" s="338">
        <f>SUM(D8:D13)</f>
        <v>5900</v>
      </c>
      <c r="E15" s="338">
        <f>SUM(E8:E13)</f>
        <v>5900</v>
      </c>
    </row>
    <row r="16" spans="2:5">
      <c r="B16" s="335" t="s">
        <v>115</v>
      </c>
      <c r="C16" s="338">
        <f>C6+C15</f>
        <v>65213</v>
      </c>
      <c r="D16" s="338">
        <f>D6+D15</f>
        <v>42682</v>
      </c>
      <c r="E16" s="338">
        <f>E6+E15</f>
        <v>43082</v>
      </c>
    </row>
    <row r="17" spans="2:5">
      <c r="B17" s="177" t="s">
        <v>117</v>
      </c>
      <c r="C17" s="327"/>
      <c r="D17" s="327"/>
      <c r="E17" s="327"/>
    </row>
    <row r="18" spans="2:5">
      <c r="B18" s="329" t="s">
        <v>1118</v>
      </c>
      <c r="C18" s="137">
        <v>4681</v>
      </c>
      <c r="D18" s="137">
        <v>5000</v>
      </c>
      <c r="E18" s="137">
        <v>3200</v>
      </c>
    </row>
    <row r="19" spans="2:5">
      <c r="B19" s="329" t="s">
        <v>1119</v>
      </c>
      <c r="C19" s="137"/>
      <c r="D19" s="137">
        <v>500</v>
      </c>
      <c r="E19" s="137">
        <v>2500</v>
      </c>
    </row>
    <row r="20" spans="2:5">
      <c r="B20" s="329" t="s">
        <v>1115</v>
      </c>
      <c r="C20" s="137">
        <v>6576</v>
      </c>
      <c r="D20" s="137"/>
      <c r="E20" s="137"/>
    </row>
    <row r="21" spans="2:5">
      <c r="B21" s="329" t="s">
        <v>1116</v>
      </c>
      <c r="C21" s="137">
        <v>17174</v>
      </c>
      <c r="D21" s="137"/>
      <c r="E21" s="137"/>
    </row>
    <row r="22" spans="2:5">
      <c r="B22" s="329"/>
      <c r="C22" s="137"/>
      <c r="D22" s="137"/>
      <c r="E22" s="137"/>
    </row>
    <row r="23" spans="2:5">
      <c r="B23" s="329"/>
      <c r="C23" s="137"/>
      <c r="D23" s="137"/>
      <c r="E23" s="137"/>
    </row>
    <row r="24" spans="2:5">
      <c r="B24" s="329"/>
      <c r="C24" s="137"/>
      <c r="D24" s="137"/>
      <c r="E24" s="137"/>
    </row>
    <row r="25" spans="2:5">
      <c r="B25" s="329"/>
      <c r="C25" s="137"/>
      <c r="D25" s="137"/>
      <c r="E25" s="137"/>
    </row>
    <row r="26" spans="2:5">
      <c r="B26" s="339" t="s">
        <v>14</v>
      </c>
      <c r="C26" s="137"/>
      <c r="D26" s="345"/>
      <c r="E26" s="345"/>
    </row>
    <row r="27" spans="2:5">
      <c r="B27" s="339" t="s">
        <v>773</v>
      </c>
      <c r="C27" s="340" t="str">
        <f>IF(C28*0.1&lt;C26,"Exceed 10% Rule","")</f>
        <v/>
      </c>
      <c r="D27" s="334" t="str">
        <f>IF(D28*0.1&lt;D26,"Exceed 10% Rule","")</f>
        <v/>
      </c>
      <c r="E27" s="334" t="str">
        <f>IF(E28*0.1&lt;E26,"Exceed 10% Rule","")</f>
        <v/>
      </c>
    </row>
    <row r="28" spans="2:5">
      <c r="B28" s="335" t="s">
        <v>121</v>
      </c>
      <c r="C28" s="338">
        <f>SUM(C18:C26)</f>
        <v>28431</v>
      </c>
      <c r="D28" s="338">
        <f>SUM(D18:D26)</f>
        <v>5500</v>
      </c>
      <c r="E28" s="338">
        <f>SUM(E18:E26)</f>
        <v>5700</v>
      </c>
    </row>
    <row r="29" spans="2:5">
      <c r="B29" s="177" t="s">
        <v>229</v>
      </c>
      <c r="C29" s="151">
        <f>C16-C28</f>
        <v>36782</v>
      </c>
      <c r="D29" s="151">
        <f>D16-D28</f>
        <v>37182</v>
      </c>
      <c r="E29" s="151">
        <f>E16-E28</f>
        <v>37382</v>
      </c>
    </row>
    <row r="30" spans="2:5">
      <c r="B30" s="119" t="str">
        <f>CONCATENATE("",E1-2,"/",E1-1," Budget Authority Amount:")</f>
        <v>2012/2013 Budget Authority Amount:</v>
      </c>
      <c r="C30" s="280">
        <f>inputOth!B80</f>
        <v>30500</v>
      </c>
      <c r="D30" s="280">
        <f>inputPrYr!D40</f>
        <v>5500</v>
      </c>
      <c r="E30" s="601" t="str">
        <f>IF(E29&lt;0,"See Tab E","")</f>
        <v/>
      </c>
    </row>
    <row r="31" spans="2:5">
      <c r="B31" s="119"/>
      <c r="C31" s="342" t="str">
        <f>IF(C28&gt;C30,"See Tab A","")</f>
        <v/>
      </c>
      <c r="D31" s="342" t="str">
        <f>IF(D28&gt;D30,"See Tab C","")</f>
        <v/>
      </c>
      <c r="E31" s="165"/>
    </row>
    <row r="32" spans="2:5">
      <c r="B32" s="119"/>
      <c r="C32" s="342" t="str">
        <f>IF(C29&lt;0,"See Tab B","")</f>
        <v/>
      </c>
      <c r="D32" s="342" t="str">
        <f>IF(D29&lt;0,"See Tab D","")</f>
        <v/>
      </c>
      <c r="E32" s="165"/>
    </row>
    <row r="33" spans="2:5">
      <c r="B33" s="85"/>
      <c r="C33" s="165"/>
      <c r="D33" s="165"/>
      <c r="E33" s="165"/>
    </row>
    <row r="34" spans="2:5">
      <c r="B34" s="103" t="s">
        <v>105</v>
      </c>
      <c r="C34" s="348"/>
      <c r="D34" s="348"/>
      <c r="E34" s="348"/>
    </row>
    <row r="35" spans="2:5">
      <c r="B35" s="85"/>
      <c r="C35" s="321" t="s">
        <v>848</v>
      </c>
      <c r="D35" s="322" t="s">
        <v>854</v>
      </c>
      <c r="E35" s="96" t="s">
        <v>850</v>
      </c>
    </row>
    <row r="36" spans="2:5">
      <c r="B36" s="560" t="str">
        <f>inputPrYr!B41</f>
        <v>Post Lantern St Light Proj</v>
      </c>
      <c r="C36" s="323" t="str">
        <f>C5</f>
        <v>Actual for 2012</v>
      </c>
      <c r="D36" s="323" t="str">
        <f>D5</f>
        <v>Estimate for 2013</v>
      </c>
      <c r="E36" s="324" t="str">
        <f>E5</f>
        <v>Year for 2014</v>
      </c>
    </row>
    <row r="37" spans="2:5">
      <c r="B37" s="274" t="s">
        <v>228</v>
      </c>
      <c r="C37" s="137">
        <v>292461</v>
      </c>
      <c r="D37" s="327">
        <f>C60</f>
        <v>326524</v>
      </c>
      <c r="E37" s="327">
        <f>D60</f>
        <v>363695</v>
      </c>
    </row>
    <row r="38" spans="2:5">
      <c r="B38" s="346" t="s">
        <v>230</v>
      </c>
      <c r="C38" s="100"/>
      <c r="D38" s="100"/>
      <c r="E38" s="100"/>
    </row>
    <row r="39" spans="2:5">
      <c r="B39" s="329" t="s">
        <v>1111</v>
      </c>
      <c r="C39" s="137">
        <v>159408</v>
      </c>
      <c r="D39" s="137">
        <v>164000</v>
      </c>
      <c r="E39" s="137">
        <v>168800</v>
      </c>
    </row>
    <row r="40" spans="2:5">
      <c r="B40" s="329" t="s">
        <v>1135</v>
      </c>
      <c r="C40" s="137">
        <v>2268</v>
      </c>
      <c r="D40" s="137">
        <v>2000</v>
      </c>
      <c r="E40" s="137">
        <v>2000</v>
      </c>
    </row>
    <row r="41" spans="2:5">
      <c r="B41" s="329"/>
      <c r="C41" s="137"/>
      <c r="D41" s="137"/>
      <c r="E41" s="137"/>
    </row>
    <row r="42" spans="2:5">
      <c r="B42" s="329"/>
      <c r="C42" s="137"/>
      <c r="D42" s="137"/>
      <c r="E42" s="137"/>
    </row>
    <row r="43" spans="2:5">
      <c r="B43" s="347" t="s">
        <v>113</v>
      </c>
      <c r="C43" s="137"/>
      <c r="D43" s="137"/>
      <c r="E43" s="137"/>
    </row>
    <row r="44" spans="2:5">
      <c r="B44" s="217" t="s">
        <v>14</v>
      </c>
      <c r="C44" s="137"/>
      <c r="D44" s="345"/>
      <c r="E44" s="345"/>
    </row>
    <row r="45" spans="2:5">
      <c r="B45" s="274" t="s">
        <v>774</v>
      </c>
      <c r="C45" s="340" t="str">
        <f>IF(C46*0.1&lt;C44,"Exceed 10% Rule","")</f>
        <v/>
      </c>
      <c r="D45" s="334" t="str">
        <f>IF(D46*0.1&lt;D44,"Exceed 10% Rule","")</f>
        <v/>
      </c>
      <c r="E45" s="334" t="str">
        <f>IF(E46*0.1&lt;E44,"Exceed 10% Rule","")</f>
        <v/>
      </c>
    </row>
    <row r="46" spans="2:5">
      <c r="B46" s="335" t="s">
        <v>114</v>
      </c>
      <c r="C46" s="338">
        <f>SUM(C39:C44)</f>
        <v>161676</v>
      </c>
      <c r="D46" s="338">
        <f>SUM(D39:D44)</f>
        <v>166000</v>
      </c>
      <c r="E46" s="338">
        <f>SUM(E39:E44)</f>
        <v>170800</v>
      </c>
    </row>
    <row r="47" spans="2:5">
      <c r="B47" s="335" t="s">
        <v>115</v>
      </c>
      <c r="C47" s="338">
        <f>C37+C46</f>
        <v>454137</v>
      </c>
      <c r="D47" s="338">
        <f>D37+D46</f>
        <v>492524</v>
      </c>
      <c r="E47" s="338">
        <f>E37+E46</f>
        <v>534495</v>
      </c>
    </row>
    <row r="48" spans="2:5">
      <c r="B48" s="177" t="s">
        <v>117</v>
      </c>
      <c r="C48" s="327"/>
      <c r="D48" s="327"/>
      <c r="E48" s="327"/>
    </row>
    <row r="49" spans="2:5">
      <c r="B49" s="329" t="s">
        <v>1115</v>
      </c>
      <c r="C49" s="137"/>
      <c r="D49" s="137"/>
      <c r="E49" s="137"/>
    </row>
    <row r="50" spans="2:5">
      <c r="B50" s="329" t="s">
        <v>1116</v>
      </c>
      <c r="C50" s="137">
        <v>127613</v>
      </c>
      <c r="D50" s="137">
        <v>128829</v>
      </c>
      <c r="E50" s="137">
        <v>432692</v>
      </c>
    </row>
    <row r="51" spans="2:5">
      <c r="B51" s="329"/>
      <c r="C51" s="137"/>
      <c r="D51" s="137"/>
      <c r="E51" s="137"/>
    </row>
    <row r="52" spans="2:5">
      <c r="B52" s="329"/>
      <c r="C52" s="137"/>
      <c r="D52" s="137"/>
      <c r="E52" s="137"/>
    </row>
    <row r="53" spans="2:5">
      <c r="B53" s="329"/>
      <c r="C53" s="137"/>
      <c r="D53" s="137"/>
      <c r="E53" s="137"/>
    </row>
    <row r="54" spans="2:5">
      <c r="B54" s="329"/>
      <c r="C54" s="137"/>
      <c r="D54" s="137"/>
      <c r="E54" s="137"/>
    </row>
    <row r="55" spans="2:5">
      <c r="B55" s="329"/>
      <c r="C55" s="137"/>
      <c r="D55" s="137"/>
      <c r="E55" s="137"/>
    </row>
    <row r="56" spans="2:5">
      <c r="B56" s="329"/>
      <c r="C56" s="137"/>
      <c r="D56" s="137"/>
      <c r="E56" s="137"/>
    </row>
    <row r="57" spans="2:5">
      <c r="B57" s="339" t="s">
        <v>14</v>
      </c>
      <c r="C57" s="137"/>
      <c r="D57" s="345"/>
      <c r="E57" s="345"/>
    </row>
    <row r="58" spans="2:5">
      <c r="B58" s="339" t="s">
        <v>773</v>
      </c>
      <c r="C58" s="340" t="str">
        <f>IF(C59*0.1&lt;C57,"Exceed 10% Rule","")</f>
        <v/>
      </c>
      <c r="D58" s="334" t="str">
        <f>IF(D59*0.1&lt;D57,"Exceed 10% Rule","")</f>
        <v/>
      </c>
      <c r="E58" s="334" t="str">
        <f>IF(E59*0.1&lt;E57,"Exceed 10% Rule","")</f>
        <v/>
      </c>
    </row>
    <row r="59" spans="2:5">
      <c r="B59" s="335" t="s">
        <v>121</v>
      </c>
      <c r="C59" s="338">
        <f>SUM(C49:C57)</f>
        <v>127613</v>
      </c>
      <c r="D59" s="338">
        <f>SUM(D49:D57)</f>
        <v>128829</v>
      </c>
      <c r="E59" s="338">
        <f>SUM(E49:E57)</f>
        <v>432692</v>
      </c>
    </row>
    <row r="60" spans="2:5">
      <c r="B60" s="177" t="s">
        <v>229</v>
      </c>
      <c r="C60" s="151">
        <f>C47-C59</f>
        <v>326524</v>
      </c>
      <c r="D60" s="151">
        <f>D47-D59</f>
        <v>363695</v>
      </c>
      <c r="E60" s="151">
        <f>E47-E59</f>
        <v>101803</v>
      </c>
    </row>
    <row r="61" spans="2:5">
      <c r="B61" s="119" t="str">
        <f>CONCATENATE("",E1-2,"/",E1-1," Budget Authority Amount:")</f>
        <v>2012/2013 Budget Authority Amount:</v>
      </c>
      <c r="C61" s="280">
        <f>inputOth!B81</f>
        <v>127205</v>
      </c>
      <c r="D61" s="280">
        <f>inputPrYr!D41</f>
        <v>128829</v>
      </c>
      <c r="E61" s="601" t="str">
        <f>IF(E60&lt;0,"See Tab E","")</f>
        <v/>
      </c>
    </row>
    <row r="62" spans="2:5">
      <c r="B62" s="119"/>
      <c r="C62" s="342" t="str">
        <f>IF(C59&gt;C61,"See Tab A","")</f>
        <v>See Tab A</v>
      </c>
      <c r="D62" s="342" t="str">
        <f>IF(D59&gt;D61,"See Tab C","")</f>
        <v/>
      </c>
      <c r="E62" s="85"/>
    </row>
    <row r="63" spans="2:5">
      <c r="B63" s="119"/>
      <c r="C63" s="342" t="str">
        <f>IF(C60&lt;0,"See Tab B","")</f>
        <v/>
      </c>
      <c r="D63" s="342" t="str">
        <f>IF(D60&lt;0,"See Tab D","")</f>
        <v/>
      </c>
      <c r="E63" s="85"/>
    </row>
    <row r="64" spans="2:5">
      <c r="B64" s="85"/>
      <c r="C64" s="85"/>
      <c r="D64" s="85"/>
      <c r="E64" s="85"/>
    </row>
    <row r="65" spans="2:5">
      <c r="B65" s="118" t="s">
        <v>124</v>
      </c>
      <c r="C65" s="120">
        <v>15</v>
      </c>
      <c r="D65" s="85"/>
      <c r="E65" s="85"/>
    </row>
  </sheetData>
  <sheetProtection sheet="1"/>
  <phoneticPr fontId="0" type="noConversion"/>
  <conditionalFormatting sqref="C13">
    <cfRule type="cellIs" dxfId="95" priority="3" stopIfTrue="1" operator="greaterThan">
      <formula>$C$15*0.1</formula>
    </cfRule>
  </conditionalFormatting>
  <conditionalFormatting sqref="D13">
    <cfRule type="cellIs" dxfId="94" priority="4" stopIfTrue="1" operator="greaterThan">
      <formula>$D$15*0.1</formula>
    </cfRule>
  </conditionalFormatting>
  <conditionalFormatting sqref="E13">
    <cfRule type="cellIs" dxfId="93" priority="5" stopIfTrue="1" operator="greaterThan">
      <formula>$E$15*0.1</formula>
    </cfRule>
  </conditionalFormatting>
  <conditionalFormatting sqref="C26">
    <cfRule type="cellIs" dxfId="92" priority="6" stopIfTrue="1" operator="greaterThan">
      <formula>$C$28*0.1</formula>
    </cfRule>
  </conditionalFormatting>
  <conditionalFormatting sqref="D26">
    <cfRule type="cellIs" dxfId="91" priority="7" stopIfTrue="1" operator="greaterThan">
      <formula>$D$28*0.1</formula>
    </cfRule>
  </conditionalFormatting>
  <conditionalFormatting sqref="E26">
    <cfRule type="cellIs" dxfId="90" priority="8" stopIfTrue="1" operator="greaterThan">
      <formula>$E$28*0.1</formula>
    </cfRule>
  </conditionalFormatting>
  <conditionalFormatting sqref="C44">
    <cfRule type="cellIs" dxfId="89" priority="9" stopIfTrue="1" operator="greaterThan">
      <formula>$C$46*0.1</formula>
    </cfRule>
  </conditionalFormatting>
  <conditionalFormatting sqref="D44">
    <cfRule type="cellIs" dxfId="88" priority="10" stopIfTrue="1" operator="greaterThan">
      <formula>$D$46*0.1</formula>
    </cfRule>
  </conditionalFormatting>
  <conditionalFormatting sqref="E44">
    <cfRule type="cellIs" dxfId="87" priority="11" stopIfTrue="1" operator="greaterThan">
      <formula>$E$46*0.1</formula>
    </cfRule>
  </conditionalFormatting>
  <conditionalFormatting sqref="C57">
    <cfRule type="cellIs" dxfId="86" priority="12" stopIfTrue="1" operator="greaterThan">
      <formula>$C$59*0.1</formula>
    </cfRule>
  </conditionalFormatting>
  <conditionalFormatting sqref="D57">
    <cfRule type="cellIs" dxfId="85" priority="13" stopIfTrue="1" operator="greaterThan">
      <formula>$D$59*0.1</formula>
    </cfRule>
  </conditionalFormatting>
  <conditionalFormatting sqref="E57">
    <cfRule type="cellIs" dxfId="84" priority="14" stopIfTrue="1" operator="greaterThan">
      <formula>$E$59*0.1</formula>
    </cfRule>
  </conditionalFormatting>
  <conditionalFormatting sqref="D59">
    <cfRule type="cellIs" dxfId="83" priority="15" stopIfTrue="1" operator="greaterThan">
      <formula>$D$61</formula>
    </cfRule>
  </conditionalFormatting>
  <conditionalFormatting sqref="C59">
    <cfRule type="cellIs" dxfId="82" priority="16" stopIfTrue="1" operator="greaterThan">
      <formula>$C$61</formula>
    </cfRule>
  </conditionalFormatting>
  <conditionalFormatting sqref="C60 E60 C29 E29">
    <cfRule type="cellIs" dxfId="81" priority="17" stopIfTrue="1" operator="lessThan">
      <formula>0</formula>
    </cfRule>
  </conditionalFormatting>
  <conditionalFormatting sqref="D28">
    <cfRule type="cellIs" dxfId="80" priority="18" stopIfTrue="1" operator="greaterThan">
      <formula>$D$30</formula>
    </cfRule>
  </conditionalFormatting>
  <conditionalFormatting sqref="C28">
    <cfRule type="cellIs" dxfId="79" priority="19" stopIfTrue="1" operator="greaterThan">
      <formula>$C$30</formula>
    </cfRule>
  </conditionalFormatting>
  <conditionalFormatting sqref="D29">
    <cfRule type="cellIs" dxfId="78" priority="2" stopIfTrue="1" operator="lessThan">
      <formula>0</formula>
    </cfRule>
  </conditionalFormatting>
  <conditionalFormatting sqref="D60">
    <cfRule type="cellIs" dxfId="77" priority="1" stopIfTrue="1" operator="lessThan">
      <formula>0</formula>
    </cfRule>
  </conditionalFormatting>
  <pageMargins left="0.5" right="0.5" top="1" bottom="0.5" header="0.5" footer="0.5"/>
  <pageSetup scale="67" orientation="portrait" blackAndWhite="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topLeftCell="A4" workbookViewId="0">
      <selection activeCell="E22" sqref="E22"/>
    </sheetView>
  </sheetViews>
  <sheetFormatPr defaultColWidth="8.88671875" defaultRowHeight="15.75"/>
  <cols>
    <col min="1" max="1" width="2.44140625" style="121" customWidth="1"/>
    <col min="2" max="2" width="31.109375" style="121" customWidth="1"/>
    <col min="3" max="4" width="15.77734375" style="121" customWidth="1"/>
    <col min="5" max="5" width="16.109375" style="121" customWidth="1"/>
    <col min="6" max="16384" width="8.88671875" style="121"/>
  </cols>
  <sheetData>
    <row r="1" spans="2:5">
      <c r="B1" s="105" t="str">
        <f>(inputPrYr!D2)</f>
        <v>City of Hiawatha</v>
      </c>
      <c r="C1" s="85"/>
      <c r="D1" s="85"/>
      <c r="E1" s="343">
        <f>inputPrYr!C5</f>
        <v>2014</v>
      </c>
    </row>
    <row r="2" spans="2:5">
      <c r="B2" s="85"/>
      <c r="C2" s="85"/>
      <c r="D2" s="85"/>
      <c r="E2" s="118"/>
    </row>
    <row r="3" spans="2:5">
      <c r="B3" s="318" t="s">
        <v>174</v>
      </c>
      <c r="C3" s="90"/>
      <c r="D3" s="90"/>
      <c r="E3" s="90"/>
    </row>
    <row r="4" spans="2:5">
      <c r="B4" s="103" t="s">
        <v>105</v>
      </c>
      <c r="C4" s="321" t="s">
        <v>848</v>
      </c>
      <c r="D4" s="322" t="s">
        <v>849</v>
      </c>
      <c r="E4" s="96" t="s">
        <v>850</v>
      </c>
    </row>
    <row r="5" spans="2:5">
      <c r="B5" s="560" t="str">
        <f>inputPrYr!B42</f>
        <v>Storm Water Utility</v>
      </c>
      <c r="C5" s="323" t="str">
        <f>CONCATENATE("Actual for ",E1-2,"")</f>
        <v>Actual for 2012</v>
      </c>
      <c r="D5" s="323" t="str">
        <f>CONCATENATE("Estimate for ",E1-1,"")</f>
        <v>Estimate for 2013</v>
      </c>
      <c r="E5" s="324" t="str">
        <f>CONCATENATE("Year for ",E1,"")</f>
        <v>Year for 2014</v>
      </c>
    </row>
    <row r="6" spans="2:5">
      <c r="B6" s="274" t="s">
        <v>228</v>
      </c>
      <c r="C6" s="137">
        <v>101607</v>
      </c>
      <c r="D6" s="327">
        <f>C29</f>
        <v>100046</v>
      </c>
      <c r="E6" s="327">
        <f>D29</f>
        <v>60546</v>
      </c>
    </row>
    <row r="7" spans="2:5">
      <c r="B7" s="346" t="s">
        <v>230</v>
      </c>
      <c r="C7" s="100"/>
      <c r="D7" s="100"/>
      <c r="E7" s="100"/>
    </row>
    <row r="8" spans="2:5">
      <c r="B8" s="329" t="s">
        <v>1094</v>
      </c>
      <c r="C8" s="137">
        <v>80036</v>
      </c>
      <c r="D8" s="137">
        <v>81000</v>
      </c>
      <c r="E8" s="137">
        <v>81000</v>
      </c>
    </row>
    <row r="9" spans="2:5">
      <c r="B9" s="329"/>
      <c r="C9" s="137"/>
      <c r="D9" s="137"/>
      <c r="E9" s="137"/>
    </row>
    <row r="10" spans="2:5">
      <c r="B10" s="329"/>
      <c r="C10" s="137"/>
      <c r="D10" s="137"/>
      <c r="E10" s="137"/>
    </row>
    <row r="11" spans="2:5">
      <c r="B11" s="329"/>
      <c r="C11" s="137"/>
      <c r="D11" s="137"/>
      <c r="E11" s="137"/>
    </row>
    <row r="12" spans="2:5">
      <c r="B12" s="347" t="s">
        <v>113</v>
      </c>
      <c r="C12" s="137"/>
      <c r="D12" s="137"/>
      <c r="E12" s="137"/>
    </row>
    <row r="13" spans="2:5">
      <c r="B13" s="217" t="s">
        <v>14</v>
      </c>
      <c r="C13" s="350"/>
      <c r="D13" s="350"/>
      <c r="E13" s="350"/>
    </row>
    <row r="14" spans="2:5">
      <c r="B14" s="274" t="s">
        <v>774</v>
      </c>
      <c r="C14" s="340" t="str">
        <f>IF(C15*0.1&lt;C13,"Exceed 10% Rule","")</f>
        <v/>
      </c>
      <c r="D14" s="334" t="str">
        <f>IF(D15*0.1&lt;D13,"Exceed 10% Rule","")</f>
        <v/>
      </c>
      <c r="E14" s="334" t="str">
        <f>IF(E15*0.1&lt;E13,"Exceed 10% Rule","")</f>
        <v/>
      </c>
    </row>
    <row r="15" spans="2:5">
      <c r="B15" s="335" t="s">
        <v>114</v>
      </c>
      <c r="C15" s="338">
        <f>SUM(C8:C13)</f>
        <v>80036</v>
      </c>
      <c r="D15" s="338">
        <f>SUM(D8:D13)</f>
        <v>81000</v>
      </c>
      <c r="E15" s="338">
        <f>SUM(E8:E13)</f>
        <v>81000</v>
      </c>
    </row>
    <row r="16" spans="2:5">
      <c r="B16" s="335" t="s">
        <v>115</v>
      </c>
      <c r="C16" s="338">
        <f>C6+C15</f>
        <v>181643</v>
      </c>
      <c r="D16" s="338">
        <f>D6+D15</f>
        <v>181046</v>
      </c>
      <c r="E16" s="338">
        <f>E6+E15</f>
        <v>141546</v>
      </c>
    </row>
    <row r="17" spans="2:5">
      <c r="B17" s="177" t="s">
        <v>117</v>
      </c>
      <c r="C17" s="327"/>
      <c r="D17" s="327"/>
      <c r="E17" s="327"/>
    </row>
    <row r="18" spans="2:5">
      <c r="B18" s="329" t="s">
        <v>1112</v>
      </c>
      <c r="C18" s="137">
        <v>3608</v>
      </c>
      <c r="D18" s="137">
        <v>29000</v>
      </c>
      <c r="E18" s="137">
        <v>30100</v>
      </c>
    </row>
    <row r="19" spans="2:5">
      <c r="B19" s="329" t="s">
        <v>1113</v>
      </c>
      <c r="C19" s="137">
        <v>16</v>
      </c>
      <c r="D19" s="137">
        <v>3500</v>
      </c>
      <c r="E19" s="137">
        <v>3000</v>
      </c>
    </row>
    <row r="20" spans="2:5">
      <c r="B20" s="329" t="s">
        <v>1133</v>
      </c>
      <c r="C20" s="137">
        <v>17670</v>
      </c>
      <c r="D20" s="137">
        <v>23000</v>
      </c>
      <c r="E20" s="137">
        <v>23000</v>
      </c>
    </row>
    <row r="21" spans="2:5">
      <c r="B21" s="329" t="s">
        <v>1134</v>
      </c>
      <c r="C21" s="137">
        <v>60303</v>
      </c>
      <c r="D21" s="137">
        <v>65000</v>
      </c>
      <c r="E21" s="137">
        <v>85000</v>
      </c>
    </row>
    <row r="22" spans="2:5">
      <c r="B22" s="329"/>
      <c r="C22" s="137"/>
      <c r="D22" s="137"/>
      <c r="E22" s="137"/>
    </row>
    <row r="23" spans="2:5">
      <c r="B23" s="329"/>
      <c r="C23" s="137"/>
      <c r="D23" s="137"/>
      <c r="E23" s="137"/>
    </row>
    <row r="24" spans="2:5">
      <c r="B24" s="329"/>
      <c r="C24" s="137"/>
      <c r="D24" s="137"/>
      <c r="E24" s="137"/>
    </row>
    <row r="25" spans="2:5">
      <c r="B25" s="329"/>
      <c r="C25" s="137"/>
      <c r="D25" s="137"/>
      <c r="E25" s="137"/>
    </row>
    <row r="26" spans="2:5">
      <c r="B26" s="339" t="s">
        <v>14</v>
      </c>
      <c r="C26" s="137"/>
      <c r="D26" s="345"/>
      <c r="E26" s="345"/>
    </row>
    <row r="27" spans="2:5">
      <c r="B27" s="339" t="s">
        <v>773</v>
      </c>
      <c r="C27" s="340" t="str">
        <f>IF(C28*0.1&lt;C26,"Exceed 10% Rule","")</f>
        <v/>
      </c>
      <c r="D27" s="334" t="str">
        <f>IF(D28*0.1&lt;D26,"Exceed 10% Rule","")</f>
        <v/>
      </c>
      <c r="E27" s="334" t="str">
        <f>IF(E28*0.1&lt;E26,"Exceed 10% Rule","")</f>
        <v/>
      </c>
    </row>
    <row r="28" spans="2:5">
      <c r="B28" s="335" t="s">
        <v>121</v>
      </c>
      <c r="C28" s="338">
        <f>SUM(C18:C26)</f>
        <v>81597</v>
      </c>
      <c r="D28" s="338">
        <f>SUM(D18:D26)</f>
        <v>120500</v>
      </c>
      <c r="E28" s="338">
        <f>SUM(E18:E26)</f>
        <v>141100</v>
      </c>
    </row>
    <row r="29" spans="2:5">
      <c r="B29" s="177" t="s">
        <v>229</v>
      </c>
      <c r="C29" s="151">
        <f>C16-C28</f>
        <v>100046</v>
      </c>
      <c r="D29" s="151">
        <f>D16-D28</f>
        <v>60546</v>
      </c>
      <c r="E29" s="151">
        <f>E16-E28</f>
        <v>446</v>
      </c>
    </row>
    <row r="30" spans="2:5">
      <c r="B30" s="119" t="str">
        <f>CONCATENATE("",E1-2,"/",E1-1," Budget Authority Amount:")</f>
        <v>2012/2013 Budget Authority Amount:</v>
      </c>
      <c r="C30" s="280">
        <f>inputOth!B82</f>
        <v>118000</v>
      </c>
      <c r="D30" s="280">
        <f>inputPrYr!D42</f>
        <v>120500</v>
      </c>
      <c r="E30" s="601" t="str">
        <f>IF(E29&lt;0,"See Tab E","")</f>
        <v/>
      </c>
    </row>
    <row r="31" spans="2:5">
      <c r="B31" s="119"/>
      <c r="C31" s="342" t="str">
        <f>IF(C28&gt;C30,"See Tab A","")</f>
        <v/>
      </c>
      <c r="D31" s="342" t="str">
        <f>IF(D28&gt;D30,"See Tab C","")</f>
        <v/>
      </c>
      <c r="E31" s="165"/>
    </row>
    <row r="32" spans="2:5">
      <c r="B32" s="119"/>
      <c r="C32" s="342" t="str">
        <f>IF(C29&lt;0,"See Tab B","")</f>
        <v/>
      </c>
      <c r="D32" s="342" t="str">
        <f>IF(D29&lt;0,"See Tab D","")</f>
        <v/>
      </c>
      <c r="E32" s="165"/>
    </row>
    <row r="33" spans="2:5">
      <c r="B33" s="85"/>
      <c r="C33" s="165"/>
      <c r="D33" s="165"/>
      <c r="E33" s="165"/>
    </row>
    <row r="34" spans="2:5">
      <c r="B34" s="103" t="s">
        <v>105</v>
      </c>
      <c r="C34" s="348"/>
      <c r="D34" s="348"/>
      <c r="E34" s="348"/>
    </row>
    <row r="35" spans="2:5">
      <c r="B35" s="85"/>
      <c r="C35" s="321" t="s">
        <v>848</v>
      </c>
      <c r="D35" s="322" t="s">
        <v>854</v>
      </c>
      <c r="E35" s="96" t="s">
        <v>850</v>
      </c>
    </row>
    <row r="36" spans="2:5">
      <c r="B36" s="560">
        <f>inputPrYr!B43</f>
        <v>0</v>
      </c>
      <c r="C36" s="323" t="str">
        <f>C5</f>
        <v>Actual for 2012</v>
      </c>
      <c r="D36" s="323" t="str">
        <f>D5</f>
        <v>Estimate for 2013</v>
      </c>
      <c r="E36" s="324" t="str">
        <f>E5</f>
        <v>Year for 2014</v>
      </c>
    </row>
    <row r="37" spans="2:5">
      <c r="B37" s="274" t="s">
        <v>228</v>
      </c>
      <c r="C37" s="137"/>
      <c r="D37" s="327">
        <f>C60</f>
        <v>0</v>
      </c>
      <c r="E37" s="327">
        <f>D60</f>
        <v>0</v>
      </c>
    </row>
    <row r="38" spans="2:5">
      <c r="B38" s="346" t="s">
        <v>230</v>
      </c>
      <c r="C38" s="100"/>
      <c r="D38" s="100"/>
      <c r="E38" s="100"/>
    </row>
    <row r="39" spans="2:5">
      <c r="B39" s="329"/>
      <c r="C39" s="137"/>
      <c r="D39" s="137"/>
      <c r="E39" s="137"/>
    </row>
    <row r="40" spans="2:5">
      <c r="B40" s="329"/>
      <c r="C40" s="137"/>
      <c r="D40" s="137"/>
      <c r="E40" s="137"/>
    </row>
    <row r="41" spans="2:5">
      <c r="B41" s="329"/>
      <c r="C41" s="137"/>
      <c r="D41" s="137"/>
      <c r="E41" s="137"/>
    </row>
    <row r="42" spans="2:5">
      <c r="B42" s="329"/>
      <c r="C42" s="137"/>
      <c r="D42" s="137"/>
      <c r="E42" s="137"/>
    </row>
    <row r="43" spans="2:5">
      <c r="B43" s="347" t="s">
        <v>113</v>
      </c>
      <c r="C43" s="137"/>
      <c r="D43" s="137"/>
      <c r="E43" s="137"/>
    </row>
    <row r="44" spans="2:5">
      <c r="B44" s="217" t="s">
        <v>14</v>
      </c>
      <c r="C44" s="137"/>
      <c r="D44" s="345"/>
      <c r="E44" s="345"/>
    </row>
    <row r="45" spans="2:5">
      <c r="B45" s="274" t="s">
        <v>774</v>
      </c>
      <c r="C45" s="340" t="str">
        <f>IF(C46*0.1&lt;C44,"Exceed 10% Rule","")</f>
        <v/>
      </c>
      <c r="D45" s="334" t="str">
        <f>IF(D46*0.1&lt;D44,"Exceed 10% Rule","")</f>
        <v/>
      </c>
      <c r="E45" s="334" t="str">
        <f>IF(E46*0.1&lt;E44,"Exceed 10% Rule","")</f>
        <v/>
      </c>
    </row>
    <row r="46" spans="2:5">
      <c r="B46" s="335" t="s">
        <v>114</v>
      </c>
      <c r="C46" s="338">
        <f>SUM(C39:C44)</f>
        <v>0</v>
      </c>
      <c r="D46" s="338">
        <f>SUM(D39:D44)</f>
        <v>0</v>
      </c>
      <c r="E46" s="338">
        <f>SUM(E39:E44)</f>
        <v>0</v>
      </c>
    </row>
    <row r="47" spans="2:5">
      <c r="B47" s="335" t="s">
        <v>115</v>
      </c>
      <c r="C47" s="338">
        <f>C37+C46</f>
        <v>0</v>
      </c>
      <c r="D47" s="338">
        <f>D37+D46</f>
        <v>0</v>
      </c>
      <c r="E47" s="338">
        <f>E37+E46</f>
        <v>0</v>
      </c>
    </row>
    <row r="48" spans="2:5">
      <c r="B48" s="177" t="s">
        <v>117</v>
      </c>
      <c r="C48" s="327"/>
      <c r="D48" s="327"/>
      <c r="E48" s="327"/>
    </row>
    <row r="49" spans="2:5">
      <c r="B49" s="329"/>
      <c r="C49" s="137"/>
      <c r="D49" s="137"/>
      <c r="E49" s="137"/>
    </row>
    <row r="50" spans="2:5">
      <c r="B50" s="329"/>
      <c r="C50" s="137"/>
      <c r="D50" s="137"/>
      <c r="E50" s="137"/>
    </row>
    <row r="51" spans="2:5">
      <c r="B51" s="329"/>
      <c r="C51" s="137"/>
      <c r="D51" s="137"/>
      <c r="E51" s="137"/>
    </row>
    <row r="52" spans="2:5">
      <c r="B52" s="329"/>
      <c r="C52" s="137"/>
      <c r="D52" s="137"/>
      <c r="E52" s="137"/>
    </row>
    <row r="53" spans="2:5">
      <c r="B53" s="329"/>
      <c r="C53" s="137"/>
      <c r="D53" s="137"/>
      <c r="E53" s="137"/>
    </row>
    <row r="54" spans="2:5">
      <c r="B54" s="329"/>
      <c r="C54" s="137"/>
      <c r="D54" s="137"/>
      <c r="E54" s="137"/>
    </row>
    <row r="55" spans="2:5">
      <c r="B55" s="329"/>
      <c r="C55" s="137"/>
      <c r="D55" s="137"/>
      <c r="E55" s="137"/>
    </row>
    <row r="56" spans="2:5">
      <c r="B56" s="329"/>
      <c r="C56" s="137"/>
      <c r="D56" s="137"/>
      <c r="E56" s="137"/>
    </row>
    <row r="57" spans="2:5">
      <c r="B57" s="339" t="s">
        <v>14</v>
      </c>
      <c r="C57" s="137"/>
      <c r="D57" s="345"/>
      <c r="E57" s="345"/>
    </row>
    <row r="58" spans="2:5">
      <c r="B58" s="339" t="s">
        <v>773</v>
      </c>
      <c r="C58" s="340" t="str">
        <f>IF(C59*0.1&lt;C57,"Exceed 10% Rule","")</f>
        <v/>
      </c>
      <c r="D58" s="334" t="str">
        <f>IF(D59*0.1&lt;D57,"Exceed 10% Rule","")</f>
        <v/>
      </c>
      <c r="E58" s="334" t="str">
        <f>IF(E59*0.1&lt;E57,"Exceed 10% Rule","")</f>
        <v/>
      </c>
    </row>
    <row r="59" spans="2:5">
      <c r="B59" s="335" t="s">
        <v>121</v>
      </c>
      <c r="C59" s="338">
        <f>SUM(C49:C57)</f>
        <v>0</v>
      </c>
      <c r="D59" s="338">
        <f>SUM(D49:D57)</f>
        <v>0</v>
      </c>
      <c r="E59" s="338">
        <f>SUM(E49:E57)</f>
        <v>0</v>
      </c>
    </row>
    <row r="60" spans="2:5">
      <c r="B60" s="177" t="s">
        <v>229</v>
      </c>
      <c r="C60" s="151">
        <f>C47-C59</f>
        <v>0</v>
      </c>
      <c r="D60" s="151">
        <f>D47-D59</f>
        <v>0</v>
      </c>
      <c r="E60" s="151">
        <f>E47-E59</f>
        <v>0</v>
      </c>
    </row>
    <row r="61" spans="2:5">
      <c r="B61" s="119" t="str">
        <f>CONCATENATE("",E1-2,"/",E1-1," Budget Authority Amount:")</f>
        <v>2012/2013 Budget Authority Amount:</v>
      </c>
      <c r="C61" s="280">
        <f>inputOth!B83</f>
        <v>0</v>
      </c>
      <c r="D61" s="280">
        <f>inputPrYr!D43</f>
        <v>0</v>
      </c>
      <c r="E61" s="601" t="str">
        <f>IF(E60&lt;0,"See Tab E","")</f>
        <v/>
      </c>
    </row>
    <row r="62" spans="2:5">
      <c r="B62" s="119"/>
      <c r="C62" s="342" t="str">
        <f>IF(C59&gt;C61,"See Tab A","")</f>
        <v/>
      </c>
      <c r="D62" s="342" t="str">
        <f>IF(D59&gt;D61,"See Tab C","")</f>
        <v/>
      </c>
      <c r="E62" s="85"/>
    </row>
    <row r="63" spans="2:5">
      <c r="B63" s="119"/>
      <c r="C63" s="342" t="str">
        <f>IF(C60&lt;0,"See Tab B","")</f>
        <v/>
      </c>
      <c r="D63" s="342" t="str">
        <f>IF(D60&lt;0,"See Tab D","")</f>
        <v/>
      </c>
      <c r="E63" s="85"/>
    </row>
    <row r="64" spans="2:5">
      <c r="B64" s="85"/>
      <c r="C64" s="85"/>
      <c r="D64" s="85"/>
      <c r="E64" s="85"/>
    </row>
    <row r="65" spans="2:5">
      <c r="B65" s="118" t="s">
        <v>124</v>
      </c>
      <c r="C65" s="120">
        <v>16</v>
      </c>
      <c r="D65" s="85"/>
      <c r="E65" s="85"/>
    </row>
  </sheetData>
  <sheetProtection sheet="1"/>
  <phoneticPr fontId="0" type="noConversion"/>
  <conditionalFormatting sqref="C13">
    <cfRule type="cellIs" dxfId="76" priority="5" stopIfTrue="1" operator="greaterThan">
      <formula>$C$15*0.1</formula>
    </cfRule>
  </conditionalFormatting>
  <conditionalFormatting sqref="D13">
    <cfRule type="cellIs" dxfId="75" priority="6" stopIfTrue="1" operator="greaterThan">
      <formula>$D$15*0.1</formula>
    </cfRule>
  </conditionalFormatting>
  <conditionalFormatting sqref="E13">
    <cfRule type="cellIs" dxfId="74" priority="7" stopIfTrue="1" operator="greaterThan">
      <formula>$E$15*0.1</formula>
    </cfRule>
  </conditionalFormatting>
  <conditionalFormatting sqref="C26">
    <cfRule type="cellIs" dxfId="73" priority="8" stopIfTrue="1" operator="greaterThan">
      <formula>$C$28*0.1</formula>
    </cfRule>
  </conditionalFormatting>
  <conditionalFormatting sqref="D26">
    <cfRule type="cellIs" dxfId="72" priority="9" stopIfTrue="1" operator="greaterThan">
      <formula>$D$28*0.1</formula>
    </cfRule>
  </conditionalFormatting>
  <conditionalFormatting sqref="E26">
    <cfRule type="cellIs" dxfId="71" priority="10" stopIfTrue="1" operator="greaterThan">
      <formula>$E$28*0.1</formula>
    </cfRule>
  </conditionalFormatting>
  <conditionalFormatting sqref="C44">
    <cfRule type="cellIs" dxfId="70" priority="11" stopIfTrue="1" operator="greaterThan">
      <formula>$C$46*0.1</formula>
    </cfRule>
  </conditionalFormatting>
  <conditionalFormatting sqref="D44">
    <cfRule type="cellIs" dxfId="69" priority="12" stopIfTrue="1" operator="greaterThan">
      <formula>$D$46*0.1</formula>
    </cfRule>
  </conditionalFormatting>
  <conditionalFormatting sqref="E44">
    <cfRule type="cellIs" dxfId="68" priority="13" stopIfTrue="1" operator="greaterThan">
      <formula>$E$46*0.1</formula>
    </cfRule>
  </conditionalFormatting>
  <conditionalFormatting sqref="C57">
    <cfRule type="cellIs" dxfId="67" priority="14" stopIfTrue="1" operator="greaterThan">
      <formula>$C$59*0.1</formula>
    </cfRule>
  </conditionalFormatting>
  <conditionalFormatting sqref="D57">
    <cfRule type="cellIs" dxfId="66" priority="15" stopIfTrue="1" operator="greaterThan">
      <formula>$D$59*0.1</formula>
    </cfRule>
  </conditionalFormatting>
  <conditionalFormatting sqref="E57">
    <cfRule type="cellIs" dxfId="65" priority="16" stopIfTrue="1" operator="greaterThan">
      <formula>$E$59*0.1</formula>
    </cfRule>
  </conditionalFormatting>
  <conditionalFormatting sqref="D59">
    <cfRule type="cellIs" dxfId="64" priority="17" stopIfTrue="1" operator="greaterThan">
      <formula>$D$61</formula>
    </cfRule>
  </conditionalFormatting>
  <conditionalFormatting sqref="C59">
    <cfRule type="cellIs" dxfId="63" priority="18" stopIfTrue="1" operator="greaterThan">
      <formula>$C$61</formula>
    </cfRule>
  </conditionalFormatting>
  <conditionalFormatting sqref="C60 E60 C29 E29">
    <cfRule type="cellIs" dxfId="62" priority="19" stopIfTrue="1" operator="lessThan">
      <formula>0</formula>
    </cfRule>
  </conditionalFormatting>
  <conditionalFormatting sqref="C28">
    <cfRule type="cellIs" dxfId="61" priority="21" stopIfTrue="1" operator="greaterThan">
      <formula>$C$30</formula>
    </cfRule>
  </conditionalFormatting>
  <conditionalFormatting sqref="D60">
    <cfRule type="cellIs" dxfId="60" priority="3" stopIfTrue="1" operator="lessThan">
      <formula>0</formula>
    </cfRule>
  </conditionalFormatting>
  <conditionalFormatting sqref="D29">
    <cfRule type="cellIs" dxfId="59" priority="2" stopIfTrue="1" operator="lessThan">
      <formula>0</formula>
    </cfRule>
  </conditionalFormatting>
  <conditionalFormatting sqref="D28">
    <cfRule type="cellIs" dxfId="58" priority="1" stopIfTrue="1" operator="greaterThan">
      <formula>$D$30</formula>
    </cfRule>
  </conditionalFormatting>
  <pageMargins left="0.5" right="0.5" top="1" bottom="0.5" header="0.5" footer="0.5"/>
  <pageSetup scale="67"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workbookViewId="0">
      <selection activeCell="C11" sqref="C11:E11"/>
    </sheetView>
  </sheetViews>
  <sheetFormatPr defaultColWidth="8.88671875" defaultRowHeight="15.75"/>
  <cols>
    <col min="1" max="1" width="2.44140625" style="62" customWidth="1"/>
    <col min="2" max="2" width="31.109375" style="62" customWidth="1"/>
    <col min="3" max="4" width="15.77734375" style="62" customWidth="1"/>
    <col min="5" max="5" width="16.109375" style="62" customWidth="1"/>
    <col min="6" max="16384" width="8.88671875" style="62"/>
  </cols>
  <sheetData>
    <row r="1" spans="2:5">
      <c r="B1" s="105" t="str">
        <f>(inputPrYr!D2)</f>
        <v>City of Hiawatha</v>
      </c>
      <c r="C1" s="85"/>
      <c r="D1" s="85"/>
      <c r="E1" s="343">
        <f>inputPrYr!C5</f>
        <v>2014</v>
      </c>
    </row>
    <row r="2" spans="2:5">
      <c r="B2" s="85"/>
      <c r="C2" s="85"/>
      <c r="D2" s="85"/>
      <c r="E2" s="118"/>
    </row>
    <row r="3" spans="2:5">
      <c r="B3" s="318" t="s">
        <v>174</v>
      </c>
      <c r="C3" s="90"/>
      <c r="D3" s="90"/>
      <c r="E3" s="90"/>
    </row>
    <row r="4" spans="2:5">
      <c r="B4" s="103" t="s">
        <v>105</v>
      </c>
      <c r="C4" s="321" t="s">
        <v>848</v>
      </c>
      <c r="D4" s="322" t="s">
        <v>849</v>
      </c>
      <c r="E4" s="96" t="s">
        <v>850</v>
      </c>
    </row>
    <row r="5" spans="2:5">
      <c r="B5" s="560">
        <f>inputPrYr!B44</f>
        <v>0</v>
      </c>
      <c r="C5" s="323" t="str">
        <f>CONCATENATE("Actual for ",E1-2,"")</f>
        <v>Actual for 2012</v>
      </c>
      <c r="D5" s="323" t="str">
        <f>CONCATENATE("Estimate for ",E1-1,"")</f>
        <v>Estimate for 2013</v>
      </c>
      <c r="E5" s="324" t="str">
        <f>CONCATENATE("Year for ",E1,"")</f>
        <v>Year for 2014</v>
      </c>
    </row>
    <row r="6" spans="2:5">
      <c r="B6" s="274" t="s">
        <v>228</v>
      </c>
      <c r="C6" s="137"/>
      <c r="D6" s="327">
        <f>C29</f>
        <v>0</v>
      </c>
      <c r="E6" s="327">
        <f>D29</f>
        <v>0</v>
      </c>
    </row>
    <row r="7" spans="2:5" s="121" customFormat="1">
      <c r="B7" s="346" t="s">
        <v>230</v>
      </c>
      <c r="C7" s="100"/>
      <c r="D7" s="100"/>
      <c r="E7" s="100"/>
    </row>
    <row r="8" spans="2:5">
      <c r="B8" s="329"/>
      <c r="C8" s="137"/>
      <c r="D8" s="137"/>
      <c r="E8" s="137"/>
    </row>
    <row r="9" spans="2:5">
      <c r="B9" s="329"/>
      <c r="C9" s="137"/>
      <c r="D9" s="137"/>
      <c r="E9" s="137"/>
    </row>
    <row r="10" spans="2:5">
      <c r="B10" s="329"/>
      <c r="C10" s="137"/>
      <c r="D10" s="137"/>
      <c r="E10" s="137"/>
    </row>
    <row r="11" spans="2:5">
      <c r="B11" s="329"/>
      <c r="C11" s="137"/>
      <c r="D11" s="137"/>
      <c r="E11" s="137"/>
    </row>
    <row r="12" spans="2:5">
      <c r="B12" s="347" t="s">
        <v>113</v>
      </c>
      <c r="C12" s="137"/>
      <c r="D12" s="137"/>
      <c r="E12" s="137"/>
    </row>
    <row r="13" spans="2:5">
      <c r="B13" s="217" t="s">
        <v>14</v>
      </c>
      <c r="C13" s="137"/>
      <c r="D13" s="345"/>
      <c r="E13" s="345"/>
    </row>
    <row r="14" spans="2:5">
      <c r="B14" s="274" t="s">
        <v>774</v>
      </c>
      <c r="C14" s="340" t="str">
        <f>IF(C15*0.1&lt;C13,"Exceed 10% Rule","")</f>
        <v/>
      </c>
      <c r="D14" s="334" t="str">
        <f>IF(D15*0.1&lt;D13,"Exceed 10% Rule","")</f>
        <v/>
      </c>
      <c r="E14" s="334" t="str">
        <f>IF(E15*0.1&lt;E13,"Exceed 10% Rule","")</f>
        <v/>
      </c>
    </row>
    <row r="15" spans="2:5">
      <c r="B15" s="335" t="s">
        <v>114</v>
      </c>
      <c r="C15" s="338">
        <f>SUM(C8:C13)</f>
        <v>0</v>
      </c>
      <c r="D15" s="338">
        <f>SUM(D8:D13)</f>
        <v>0</v>
      </c>
      <c r="E15" s="338">
        <f>SUM(E8:E13)</f>
        <v>0</v>
      </c>
    </row>
    <row r="16" spans="2:5">
      <c r="B16" s="335" t="s">
        <v>115</v>
      </c>
      <c r="C16" s="338">
        <f>C6+C15</f>
        <v>0</v>
      </c>
      <c r="D16" s="338">
        <f>D6+D15</f>
        <v>0</v>
      </c>
      <c r="E16" s="338">
        <f>E6+E15</f>
        <v>0</v>
      </c>
    </row>
    <row r="17" spans="2:5">
      <c r="B17" s="177" t="s">
        <v>117</v>
      </c>
      <c r="C17" s="327"/>
      <c r="D17" s="327"/>
      <c r="E17" s="327"/>
    </row>
    <row r="18" spans="2:5">
      <c r="B18" s="329"/>
      <c r="C18" s="137"/>
      <c r="D18" s="137"/>
      <c r="E18" s="137"/>
    </row>
    <row r="19" spans="2:5">
      <c r="B19" s="329"/>
      <c r="C19" s="137"/>
      <c r="D19" s="137"/>
      <c r="E19" s="137"/>
    </row>
    <row r="20" spans="2:5">
      <c r="B20" s="329"/>
      <c r="C20" s="137"/>
      <c r="D20" s="137"/>
      <c r="E20" s="137"/>
    </row>
    <row r="21" spans="2:5">
      <c r="B21" s="329"/>
      <c r="C21" s="137"/>
      <c r="D21" s="137"/>
      <c r="E21" s="137"/>
    </row>
    <row r="22" spans="2:5">
      <c r="B22" s="329"/>
      <c r="C22" s="137"/>
      <c r="D22" s="137"/>
      <c r="E22" s="137"/>
    </row>
    <row r="23" spans="2:5">
      <c r="B23" s="329"/>
      <c r="C23" s="137"/>
      <c r="D23" s="137"/>
      <c r="E23" s="137"/>
    </row>
    <row r="24" spans="2:5">
      <c r="B24" s="329"/>
      <c r="C24" s="137"/>
      <c r="D24" s="137"/>
      <c r="E24" s="137"/>
    </row>
    <row r="25" spans="2:5">
      <c r="B25" s="329"/>
      <c r="C25" s="137"/>
      <c r="D25" s="137"/>
      <c r="E25" s="137"/>
    </row>
    <row r="26" spans="2:5">
      <c r="B26" s="339" t="s">
        <v>14</v>
      </c>
      <c r="C26" s="137"/>
      <c r="D26" s="345"/>
      <c r="E26" s="345"/>
    </row>
    <row r="27" spans="2:5">
      <c r="B27" s="339" t="s">
        <v>773</v>
      </c>
      <c r="C27" s="340" t="str">
        <f>IF(C28*0.1&lt;C26,"Exceed 10% Rule","")</f>
        <v/>
      </c>
      <c r="D27" s="334" t="str">
        <f>IF(D28*0.1&lt;D26,"Exceed 10% Rule","")</f>
        <v/>
      </c>
      <c r="E27" s="334" t="str">
        <f>IF(E28*0.1&lt;E26,"Exceed 10% Rule","")</f>
        <v/>
      </c>
    </row>
    <row r="28" spans="2:5">
      <c r="B28" s="335" t="s">
        <v>121</v>
      </c>
      <c r="C28" s="338">
        <f>SUM(C18:C26)</f>
        <v>0</v>
      </c>
      <c r="D28" s="338">
        <f>SUM(D18:D26)</f>
        <v>0</v>
      </c>
      <c r="E28" s="338">
        <f>SUM(E18:E26)</f>
        <v>0</v>
      </c>
    </row>
    <row r="29" spans="2:5">
      <c r="B29" s="177" t="s">
        <v>229</v>
      </c>
      <c r="C29" s="151">
        <f>C16-C28</f>
        <v>0</v>
      </c>
      <c r="D29" s="151">
        <f>D16-D28</f>
        <v>0</v>
      </c>
      <c r="E29" s="151">
        <f>E16-E28</f>
        <v>0</v>
      </c>
    </row>
    <row r="30" spans="2:5">
      <c r="B30" s="119" t="str">
        <f>CONCATENATE("",E1-2,"/",E1-1," Budget Authority Amount:")</f>
        <v>2012/2013 Budget Authority Amount:</v>
      </c>
      <c r="C30" s="280">
        <f>inputOth!B84</f>
        <v>0</v>
      </c>
      <c r="D30" s="280">
        <f>inputPrYr!D44</f>
        <v>0</v>
      </c>
      <c r="E30" s="601" t="str">
        <f>IF(E29&lt;0,"See Tab E","")</f>
        <v/>
      </c>
    </row>
    <row r="31" spans="2:5">
      <c r="B31" s="119"/>
      <c r="C31" s="342" t="str">
        <f>IF(C28&gt;C30,"See Tab A","")</f>
        <v/>
      </c>
      <c r="D31" s="342" t="str">
        <f>IF(D28&gt;D30,"See Tab C","")</f>
        <v/>
      </c>
      <c r="E31" s="165"/>
    </row>
    <row r="32" spans="2:5">
      <c r="B32" s="119"/>
      <c r="C32" s="342" t="str">
        <f>IF(C29&lt;0,"See Tab B","")</f>
        <v/>
      </c>
      <c r="D32" s="342" t="str">
        <f>IF(D29&lt;0,"See Tab D","")</f>
        <v/>
      </c>
      <c r="E32" s="165"/>
    </row>
    <row r="33" spans="2:5">
      <c r="B33" s="85"/>
      <c r="C33" s="165"/>
      <c r="D33" s="165"/>
      <c r="E33" s="165"/>
    </row>
    <row r="34" spans="2:5">
      <c r="B34" s="103" t="s">
        <v>105</v>
      </c>
      <c r="C34" s="348"/>
      <c r="D34" s="348"/>
      <c r="E34" s="348"/>
    </row>
    <row r="35" spans="2:5">
      <c r="B35" s="85"/>
      <c r="C35" s="321" t="s">
        <v>848</v>
      </c>
      <c r="D35" s="322" t="s">
        <v>854</v>
      </c>
      <c r="E35" s="96" t="s">
        <v>850</v>
      </c>
    </row>
    <row r="36" spans="2:5">
      <c r="B36" s="560">
        <f>inputPrYr!B45</f>
        <v>0</v>
      </c>
      <c r="C36" s="323" t="str">
        <f>C5</f>
        <v>Actual for 2012</v>
      </c>
      <c r="D36" s="323" t="str">
        <f>D5</f>
        <v>Estimate for 2013</v>
      </c>
      <c r="E36" s="324" t="str">
        <f>E5</f>
        <v>Year for 2014</v>
      </c>
    </row>
    <row r="37" spans="2:5">
      <c r="B37" s="274" t="s">
        <v>228</v>
      </c>
      <c r="C37" s="137"/>
      <c r="D37" s="327">
        <f>C60</f>
        <v>0</v>
      </c>
      <c r="E37" s="327">
        <f>D60</f>
        <v>0</v>
      </c>
    </row>
    <row r="38" spans="2:5" s="121" customFormat="1">
      <c r="B38" s="346" t="s">
        <v>230</v>
      </c>
      <c r="C38" s="100"/>
      <c r="D38" s="100"/>
      <c r="E38" s="100"/>
    </row>
    <row r="39" spans="2:5">
      <c r="B39" s="329"/>
      <c r="C39" s="137"/>
      <c r="D39" s="137"/>
      <c r="E39" s="137"/>
    </row>
    <row r="40" spans="2:5">
      <c r="B40" s="329"/>
      <c r="C40" s="137"/>
      <c r="D40" s="137"/>
      <c r="E40" s="137"/>
    </row>
    <row r="41" spans="2:5">
      <c r="B41" s="329"/>
      <c r="C41" s="137"/>
      <c r="D41" s="137"/>
      <c r="E41" s="137"/>
    </row>
    <row r="42" spans="2:5">
      <c r="B42" s="329"/>
      <c r="C42" s="137"/>
      <c r="D42" s="137"/>
      <c r="E42" s="137"/>
    </row>
    <row r="43" spans="2:5">
      <c r="B43" s="347" t="s">
        <v>113</v>
      </c>
      <c r="C43" s="137"/>
      <c r="D43" s="137"/>
      <c r="E43" s="137"/>
    </row>
    <row r="44" spans="2:5">
      <c r="B44" s="217" t="s">
        <v>14</v>
      </c>
      <c r="C44" s="137"/>
      <c r="D44" s="345"/>
      <c r="E44" s="345"/>
    </row>
    <row r="45" spans="2:5">
      <c r="B45" s="274" t="s">
        <v>774</v>
      </c>
      <c r="C45" s="340" t="str">
        <f>IF(C46*0.1&lt;C44,"Exceed 10% Rule","")</f>
        <v/>
      </c>
      <c r="D45" s="334" t="str">
        <f>IF(D46*0.1&lt;D44,"Exceed 10% Rule","")</f>
        <v/>
      </c>
      <c r="E45" s="334" t="str">
        <f>IF(E46*0.1&lt;E44,"Exceed 10% Rule","")</f>
        <v/>
      </c>
    </row>
    <row r="46" spans="2:5">
      <c r="B46" s="335" t="s">
        <v>114</v>
      </c>
      <c r="C46" s="338">
        <f>SUM(C39:C44)</f>
        <v>0</v>
      </c>
      <c r="D46" s="338">
        <f>SUM(D39:D44)</f>
        <v>0</v>
      </c>
      <c r="E46" s="338">
        <f>SUM(E39:E44)</f>
        <v>0</v>
      </c>
    </row>
    <row r="47" spans="2:5">
      <c r="B47" s="335" t="s">
        <v>115</v>
      </c>
      <c r="C47" s="338">
        <f>C37+C46</f>
        <v>0</v>
      </c>
      <c r="D47" s="338">
        <f>D37+D46</f>
        <v>0</v>
      </c>
      <c r="E47" s="338">
        <f>E37+E46</f>
        <v>0</v>
      </c>
    </row>
    <row r="48" spans="2:5">
      <c r="B48" s="177" t="s">
        <v>117</v>
      </c>
      <c r="C48" s="327"/>
      <c r="D48" s="327"/>
      <c r="E48" s="327"/>
    </row>
    <row r="49" spans="2:5">
      <c r="B49" s="329"/>
      <c r="C49" s="137"/>
      <c r="D49" s="137"/>
      <c r="E49" s="137"/>
    </row>
    <row r="50" spans="2:5">
      <c r="B50" s="329"/>
      <c r="C50" s="137"/>
      <c r="D50" s="137"/>
      <c r="E50" s="137"/>
    </row>
    <row r="51" spans="2:5">
      <c r="B51" s="329"/>
      <c r="C51" s="137"/>
      <c r="D51" s="137"/>
      <c r="E51" s="137"/>
    </row>
    <row r="52" spans="2:5">
      <c r="B52" s="329"/>
      <c r="C52" s="137"/>
      <c r="D52" s="137"/>
      <c r="E52" s="137"/>
    </row>
    <row r="53" spans="2:5">
      <c r="B53" s="329"/>
      <c r="C53" s="137"/>
      <c r="D53" s="137"/>
      <c r="E53" s="137"/>
    </row>
    <row r="54" spans="2:5">
      <c r="B54" s="329"/>
      <c r="C54" s="137"/>
      <c r="D54" s="137"/>
      <c r="E54" s="137"/>
    </row>
    <row r="55" spans="2:5">
      <c r="B55" s="329"/>
      <c r="C55" s="137"/>
      <c r="D55" s="137"/>
      <c r="E55" s="137"/>
    </row>
    <row r="56" spans="2:5">
      <c r="B56" s="329"/>
      <c r="C56" s="137"/>
      <c r="D56" s="137"/>
      <c r="E56" s="137"/>
    </row>
    <row r="57" spans="2:5">
      <c r="B57" s="339" t="s">
        <v>14</v>
      </c>
      <c r="C57" s="137"/>
      <c r="D57" s="345"/>
      <c r="E57" s="345"/>
    </row>
    <row r="58" spans="2:5">
      <c r="B58" s="339" t="s">
        <v>773</v>
      </c>
      <c r="C58" s="340" t="str">
        <f>IF(C59*0.1&lt;C57,"Exceed 10% Rule","")</f>
        <v/>
      </c>
      <c r="D58" s="334" t="str">
        <f>IF(D59*0.1&lt;D57,"Exceed 10% Rule","")</f>
        <v/>
      </c>
      <c r="E58" s="334" t="str">
        <f>IF(E59*0.1&lt;E57,"Exceed 10% Rule","")</f>
        <v/>
      </c>
    </row>
    <row r="59" spans="2:5">
      <c r="B59" s="335" t="s">
        <v>121</v>
      </c>
      <c r="C59" s="338">
        <f>SUM(C49:C57)</f>
        <v>0</v>
      </c>
      <c r="D59" s="338">
        <f>SUM(D49:D57)</f>
        <v>0</v>
      </c>
      <c r="E59" s="338">
        <f>SUM(E49:E57)</f>
        <v>0</v>
      </c>
    </row>
    <row r="60" spans="2:5">
      <c r="B60" s="177" t="s">
        <v>229</v>
      </c>
      <c r="C60" s="151">
        <f>C47-C59</f>
        <v>0</v>
      </c>
      <c r="D60" s="151">
        <f>D47-D59</f>
        <v>0</v>
      </c>
      <c r="E60" s="151">
        <f>E47-E59</f>
        <v>0</v>
      </c>
    </row>
    <row r="61" spans="2:5">
      <c r="B61" s="119" t="str">
        <f>CONCATENATE("",E1-2,"/",E1-1," Budget Authority Amount:")</f>
        <v>2012/2013 Budget Authority Amount:</v>
      </c>
      <c r="C61" s="280">
        <f>inputOth!B85</f>
        <v>0</v>
      </c>
      <c r="D61" s="280">
        <f>inputPrYr!D45</f>
        <v>0</v>
      </c>
      <c r="E61" s="601" t="str">
        <f>IF(E60&lt;0,"See Tab E","")</f>
        <v/>
      </c>
    </row>
    <row r="62" spans="2:5">
      <c r="B62" s="119"/>
      <c r="C62" s="342" t="str">
        <f>IF(C59&gt;C61,"See Tab A","")</f>
        <v/>
      </c>
      <c r="D62" s="342" t="str">
        <f>IF(D59&gt;D61,"See Tab C","")</f>
        <v/>
      </c>
      <c r="E62" s="85"/>
    </row>
    <row r="63" spans="2:5">
      <c r="B63" s="119"/>
      <c r="C63" s="342" t="str">
        <f>IF(C60&lt;0,"See Tab B","")</f>
        <v/>
      </c>
      <c r="D63" s="342" t="str">
        <f>IF(D60&lt;0,"See Tab D","")</f>
        <v/>
      </c>
      <c r="E63" s="85"/>
    </row>
    <row r="64" spans="2:5">
      <c r="B64" s="85"/>
      <c r="C64" s="85"/>
      <c r="D64" s="85"/>
      <c r="E64" s="85"/>
    </row>
    <row r="65" spans="2:5">
      <c r="B65" s="118" t="s">
        <v>124</v>
      </c>
      <c r="C65" s="120"/>
      <c r="D65" s="85"/>
      <c r="E65" s="85"/>
    </row>
  </sheetData>
  <sheetProtection sheet="1"/>
  <phoneticPr fontId="0" type="noConversion"/>
  <conditionalFormatting sqref="C13">
    <cfRule type="cellIs" dxfId="57" priority="3" stopIfTrue="1" operator="greaterThan">
      <formula>$C$15*0.1</formula>
    </cfRule>
  </conditionalFormatting>
  <conditionalFormatting sqref="D13">
    <cfRule type="cellIs" dxfId="56" priority="4" stopIfTrue="1" operator="greaterThan">
      <formula>$D$15*0.1</formula>
    </cfRule>
  </conditionalFormatting>
  <conditionalFormatting sqref="E13">
    <cfRule type="cellIs" dxfId="55" priority="5" stopIfTrue="1" operator="greaterThan">
      <formula>$E$15*0.1</formula>
    </cfRule>
  </conditionalFormatting>
  <conditionalFormatting sqref="C26">
    <cfRule type="cellIs" dxfId="54" priority="6" stopIfTrue="1" operator="greaterThan">
      <formula>$C$28*0.1</formula>
    </cfRule>
  </conditionalFormatting>
  <conditionalFormatting sqref="D26">
    <cfRule type="cellIs" dxfId="53" priority="7" stopIfTrue="1" operator="greaterThan">
      <formula>$D$28*0.1</formula>
    </cfRule>
  </conditionalFormatting>
  <conditionalFormatting sqref="E26">
    <cfRule type="cellIs" dxfId="52" priority="8" stopIfTrue="1" operator="greaterThan">
      <formula>$E$28*0.1</formula>
    </cfRule>
  </conditionalFormatting>
  <conditionalFormatting sqref="C44">
    <cfRule type="cellIs" dxfId="51" priority="9" stopIfTrue="1" operator="greaterThan">
      <formula>$C$46*0.1</formula>
    </cfRule>
  </conditionalFormatting>
  <conditionalFormatting sqref="D44">
    <cfRule type="cellIs" dxfId="50" priority="10" stopIfTrue="1" operator="greaterThan">
      <formula>$D$46*0.1</formula>
    </cfRule>
  </conditionalFormatting>
  <conditionalFormatting sqref="E44">
    <cfRule type="cellIs" dxfId="49" priority="11" stopIfTrue="1" operator="greaterThan">
      <formula>$E$46*0.1</formula>
    </cfRule>
  </conditionalFormatting>
  <conditionalFormatting sqref="C57">
    <cfRule type="cellIs" dxfId="48" priority="12" stopIfTrue="1" operator="greaterThan">
      <formula>$C$59*0.1</formula>
    </cfRule>
  </conditionalFormatting>
  <conditionalFormatting sqref="D57">
    <cfRule type="cellIs" dxfId="47" priority="13" stopIfTrue="1" operator="greaterThan">
      <formula>$D$59*0.1</formula>
    </cfRule>
  </conditionalFormatting>
  <conditionalFormatting sqref="E57">
    <cfRule type="cellIs" dxfId="46" priority="14" stopIfTrue="1" operator="greaterThan">
      <formula>$E$59*0.1</formula>
    </cfRule>
  </conditionalFormatting>
  <conditionalFormatting sqref="C59:D59">
    <cfRule type="cellIs" dxfId="45" priority="15" stopIfTrue="1" operator="greaterThan">
      <formula>$D$61</formula>
    </cfRule>
  </conditionalFormatting>
  <conditionalFormatting sqref="C60 E60 C29 E29">
    <cfRule type="cellIs" dxfId="44" priority="16" stopIfTrue="1" operator="lessThan">
      <formula>0</formula>
    </cfRule>
  </conditionalFormatting>
  <conditionalFormatting sqref="D28">
    <cfRule type="cellIs" dxfId="43" priority="17" stopIfTrue="1" operator="greaterThan">
      <formula>$D$30</formula>
    </cfRule>
  </conditionalFormatting>
  <conditionalFormatting sqref="C28">
    <cfRule type="cellIs" dxfId="42" priority="18" stopIfTrue="1" operator="greaterThan">
      <formula>$C$30</formula>
    </cfRule>
  </conditionalFormatting>
  <conditionalFormatting sqref="D29">
    <cfRule type="cellIs" dxfId="41" priority="2" stopIfTrue="1" operator="lessThan">
      <formula>0</formula>
    </cfRule>
  </conditionalFormatting>
  <conditionalFormatting sqref="D60">
    <cfRule type="cellIs" dxfId="40"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workbookViewId="0">
      <selection activeCell="C14" sqref="C14:D14"/>
    </sheetView>
  </sheetViews>
  <sheetFormatPr defaultColWidth="8.88671875" defaultRowHeight="15"/>
  <cols>
    <col min="1" max="1" width="2.44140625" style="47" customWidth="1"/>
    <col min="2" max="2" width="31.109375" style="47" customWidth="1"/>
    <col min="3" max="4" width="15.77734375" style="47" customWidth="1"/>
    <col min="5" max="5" width="16.33203125" style="47" customWidth="1"/>
    <col min="6" max="16384" width="8.88671875" style="47"/>
  </cols>
  <sheetData>
    <row r="1" spans="2:5" ht="15.75">
      <c r="B1" s="105" t="str">
        <f>(inputPrYr!D2)</f>
        <v>City of Hiawatha</v>
      </c>
      <c r="C1" s="85"/>
      <c r="D1" s="85"/>
      <c r="E1" s="317">
        <f>inputPrYr!$C$5</f>
        <v>2014</v>
      </c>
    </row>
    <row r="2" spans="2:5" ht="15.75">
      <c r="B2" s="85"/>
      <c r="C2" s="85"/>
      <c r="D2" s="85"/>
      <c r="E2" s="118"/>
    </row>
    <row r="3" spans="2:5" ht="15.75">
      <c r="B3" s="318" t="s">
        <v>174</v>
      </c>
      <c r="C3" s="319"/>
      <c r="D3" s="319"/>
      <c r="E3" s="320"/>
    </row>
    <row r="4" spans="2:5" ht="15.75">
      <c r="B4" s="103" t="s">
        <v>105</v>
      </c>
      <c r="C4" s="321" t="s">
        <v>848</v>
      </c>
      <c r="D4" s="322" t="s">
        <v>849</v>
      </c>
      <c r="E4" s="96" t="s">
        <v>850</v>
      </c>
    </row>
    <row r="5" spans="2:5" ht="15.75">
      <c r="B5" s="560">
        <f>(inputPrYr!B47)</f>
        <v>0</v>
      </c>
      <c r="C5" s="323" t="str">
        <f>CONCATENATE("Actual for ",E1-2,"")</f>
        <v>Actual for 2012</v>
      </c>
      <c r="D5" s="323" t="str">
        <f>CONCATENATE("Estimate for ",E1-1,"")</f>
        <v>Estimate for 2013</v>
      </c>
      <c r="E5" s="324" t="str">
        <f>CONCATENATE("Year for ",E1,"")</f>
        <v>Year for 2014</v>
      </c>
    </row>
    <row r="6" spans="2:5" ht="15.75">
      <c r="B6" s="177" t="s">
        <v>228</v>
      </c>
      <c r="C6" s="325"/>
      <c r="D6" s="326">
        <f>C48</f>
        <v>0</v>
      </c>
      <c r="E6" s="327">
        <f>D48</f>
        <v>0</v>
      </c>
    </row>
    <row r="7" spans="2:5" ht="15.75">
      <c r="B7" s="328" t="s">
        <v>230</v>
      </c>
      <c r="C7" s="217"/>
      <c r="D7" s="217"/>
      <c r="E7" s="100"/>
    </row>
    <row r="8" spans="2:5" ht="15.75">
      <c r="B8" s="329"/>
      <c r="C8" s="325"/>
      <c r="D8" s="325"/>
      <c r="E8" s="330"/>
    </row>
    <row r="9" spans="2:5" ht="15.75">
      <c r="B9" s="329"/>
      <c r="C9" s="325"/>
      <c r="D9" s="325"/>
      <c r="E9" s="330"/>
    </row>
    <row r="10" spans="2:5" ht="15.75">
      <c r="B10" s="329"/>
      <c r="C10" s="325"/>
      <c r="D10" s="325"/>
      <c r="E10" s="330"/>
    </row>
    <row r="11" spans="2:5" ht="15.75">
      <c r="B11" s="329"/>
      <c r="C11" s="325"/>
      <c r="D11" s="325"/>
      <c r="E11" s="330"/>
    </row>
    <row r="12" spans="2:5" ht="15.75">
      <c r="B12" s="329"/>
      <c r="C12" s="325"/>
      <c r="D12" s="325"/>
      <c r="E12" s="330"/>
    </row>
    <row r="13" spans="2:5" ht="15.75">
      <c r="B13" s="329"/>
      <c r="C13" s="325"/>
      <c r="D13" s="325"/>
      <c r="E13" s="330"/>
    </row>
    <row r="14" spans="2:5" ht="15.75">
      <c r="B14" s="331"/>
      <c r="C14" s="325"/>
      <c r="D14" s="325"/>
      <c r="E14" s="175"/>
    </row>
    <row r="15" spans="2:5" ht="15.75">
      <c r="B15" s="329"/>
      <c r="C15" s="325"/>
      <c r="D15" s="325"/>
      <c r="E15" s="330"/>
    </row>
    <row r="16" spans="2:5" ht="15.75">
      <c r="B16" s="332" t="s">
        <v>113</v>
      </c>
      <c r="C16" s="325"/>
      <c r="D16" s="325"/>
      <c r="E16" s="330"/>
    </row>
    <row r="17" spans="2:5" ht="15.75">
      <c r="B17" s="217" t="s">
        <v>14</v>
      </c>
      <c r="C17" s="325"/>
      <c r="D17" s="325"/>
      <c r="E17" s="330"/>
    </row>
    <row r="18" spans="2:5" ht="15.75">
      <c r="B18" s="274" t="s">
        <v>774</v>
      </c>
      <c r="C18" s="333" t="str">
        <f>IF(C19*0.1&lt;C17,"Exceed 10% Rule","")</f>
        <v/>
      </c>
      <c r="D18" s="333" t="str">
        <f>IF(D19*0.1&lt;D17,"Exceed 10% Rule","")</f>
        <v/>
      </c>
      <c r="E18" s="340" t="str">
        <f>IF(E19*0.1&lt;E17,"Exceed 10% Rule","")</f>
        <v/>
      </c>
    </row>
    <row r="19" spans="2:5" ht="15.75">
      <c r="B19" s="335" t="s">
        <v>114</v>
      </c>
      <c r="C19" s="337">
        <f>SUM(C8:C17)</f>
        <v>0</v>
      </c>
      <c r="D19" s="337">
        <f>SUM(D8:D17)</f>
        <v>0</v>
      </c>
      <c r="E19" s="338">
        <f>SUM(E8:E17)</f>
        <v>0</v>
      </c>
    </row>
    <row r="20" spans="2:5" ht="15.75">
      <c r="B20" s="335" t="s">
        <v>115</v>
      </c>
      <c r="C20" s="337">
        <f>C6+C19</f>
        <v>0</v>
      </c>
      <c r="D20" s="337">
        <f>D6+D19</f>
        <v>0</v>
      </c>
      <c r="E20" s="338">
        <f>E6+E19</f>
        <v>0</v>
      </c>
    </row>
    <row r="21" spans="2:5" ht="15.75">
      <c r="B21" s="177" t="s">
        <v>117</v>
      </c>
      <c r="C21" s="217"/>
      <c r="D21" s="217"/>
      <c r="E21" s="100"/>
    </row>
    <row r="22" spans="2:5" ht="15.75">
      <c r="B22" s="329" t="s">
        <v>275</v>
      </c>
      <c r="C22" s="325"/>
      <c r="D22" s="325"/>
      <c r="E22" s="330"/>
    </row>
    <row r="23" spans="2:5" ht="15.75">
      <c r="B23" s="329" t="s">
        <v>24</v>
      </c>
      <c r="C23" s="325"/>
      <c r="D23" s="325"/>
      <c r="E23" s="330"/>
    </row>
    <row r="24" spans="2:5" ht="15.75">
      <c r="B24" s="329"/>
      <c r="C24" s="325"/>
      <c r="D24" s="325"/>
      <c r="E24" s="175"/>
    </row>
    <row r="25" spans="2:5" ht="15.75">
      <c r="B25" s="329"/>
      <c r="C25" s="325"/>
      <c r="D25" s="325"/>
      <c r="E25" s="175"/>
    </row>
    <row r="26" spans="2:5" ht="15.75">
      <c r="B26" s="329"/>
      <c r="C26" s="325"/>
      <c r="D26" s="325"/>
      <c r="E26" s="175"/>
    </row>
    <row r="27" spans="2:5" ht="15.75">
      <c r="B27" s="329"/>
      <c r="C27" s="325"/>
      <c r="D27" s="325"/>
      <c r="E27" s="175"/>
    </row>
    <row r="28" spans="2:5" ht="15.75">
      <c r="B28" s="329"/>
      <c r="C28" s="325"/>
      <c r="D28" s="325"/>
      <c r="E28" s="175"/>
    </row>
    <row r="29" spans="2:5" ht="15.75">
      <c r="B29" s="329"/>
      <c r="C29" s="325"/>
      <c r="D29" s="325"/>
      <c r="E29" s="175"/>
    </row>
    <row r="30" spans="2:5" ht="15.75">
      <c r="B30" s="329"/>
      <c r="C30" s="325"/>
      <c r="D30" s="325"/>
      <c r="E30" s="175"/>
    </row>
    <row r="31" spans="2:5" ht="15.75">
      <c r="B31" s="329"/>
      <c r="C31" s="325"/>
      <c r="D31" s="325"/>
      <c r="E31" s="175"/>
    </row>
    <row r="32" spans="2:5" ht="15.75">
      <c r="B32" s="329"/>
      <c r="C32" s="325"/>
      <c r="D32" s="325"/>
      <c r="E32" s="175"/>
    </row>
    <row r="33" spans="2:5" ht="15.75">
      <c r="B33" s="329"/>
      <c r="C33" s="325"/>
      <c r="D33" s="325"/>
      <c r="E33" s="175"/>
    </row>
    <row r="34" spans="2:5" ht="15.75">
      <c r="B34" s="329"/>
      <c r="C34" s="325"/>
      <c r="D34" s="325"/>
      <c r="E34" s="175"/>
    </row>
    <row r="35" spans="2:5" ht="15.75">
      <c r="B35" s="329"/>
      <c r="C35" s="325"/>
      <c r="D35" s="325"/>
      <c r="E35" s="330"/>
    </row>
    <row r="36" spans="2:5" ht="15.75">
      <c r="B36" s="329"/>
      <c r="C36" s="325"/>
      <c r="D36" s="325"/>
      <c r="E36" s="330"/>
    </row>
    <row r="37" spans="2:5" ht="15.75">
      <c r="B37" s="329"/>
      <c r="C37" s="325"/>
      <c r="D37" s="325"/>
      <c r="E37" s="330"/>
    </row>
    <row r="38" spans="2:5" ht="15.75">
      <c r="B38" s="329"/>
      <c r="C38" s="325"/>
      <c r="D38" s="325"/>
      <c r="E38" s="330"/>
    </row>
    <row r="39" spans="2:5" ht="15.75">
      <c r="B39" s="329"/>
      <c r="C39" s="325"/>
      <c r="D39" s="325"/>
      <c r="E39" s="330"/>
    </row>
    <row r="40" spans="2:5" ht="15.75">
      <c r="B40" s="329"/>
      <c r="C40" s="325"/>
      <c r="D40" s="325"/>
      <c r="E40" s="330"/>
    </row>
    <row r="41" spans="2:5" ht="15.75">
      <c r="B41" s="329"/>
      <c r="C41" s="325"/>
      <c r="D41" s="325"/>
      <c r="E41" s="330"/>
    </row>
    <row r="42" spans="2:5" ht="15.75">
      <c r="B42" s="329"/>
      <c r="C42" s="325"/>
      <c r="D42" s="325"/>
      <c r="E42" s="330"/>
    </row>
    <row r="43" spans="2:5" ht="15.75">
      <c r="B43" s="329"/>
      <c r="C43" s="325"/>
      <c r="D43" s="325"/>
      <c r="E43" s="330"/>
    </row>
    <row r="44" spans="2:5" ht="15.75">
      <c r="B44" s="329"/>
      <c r="C44" s="325"/>
      <c r="D44" s="325"/>
      <c r="E44" s="330"/>
    </row>
    <row r="45" spans="2:5" ht="15.75">
      <c r="B45" s="339" t="s">
        <v>14</v>
      </c>
      <c r="C45" s="325"/>
      <c r="D45" s="325"/>
      <c r="E45" s="330"/>
    </row>
    <row r="46" spans="2:5" ht="15.75">
      <c r="B46" s="339" t="s">
        <v>773</v>
      </c>
      <c r="C46" s="333" t="str">
        <f>IF(C47*0.1&lt;C45,"Exceed 10% Rule","")</f>
        <v/>
      </c>
      <c r="D46" s="333" t="str">
        <f>IF(D47*0.1&lt;D45,"Exceed 10% Rule","")</f>
        <v/>
      </c>
      <c r="E46" s="340" t="str">
        <f>IF(E47*0.1&lt;E45,"Exceed 10% Rule","")</f>
        <v/>
      </c>
    </row>
    <row r="47" spans="2:5" ht="15.75">
      <c r="B47" s="335" t="s">
        <v>121</v>
      </c>
      <c r="C47" s="337">
        <f>SUM(C22:C45)</f>
        <v>0</v>
      </c>
      <c r="D47" s="337">
        <f>SUM(D22:D45)</f>
        <v>0</v>
      </c>
      <c r="E47" s="338">
        <f>SUM(E22:E45)</f>
        <v>0</v>
      </c>
    </row>
    <row r="48" spans="2:5" ht="15.75">
      <c r="B48" s="177" t="s">
        <v>229</v>
      </c>
      <c r="C48" s="341">
        <f>C20-C47</f>
        <v>0</v>
      </c>
      <c r="D48" s="341">
        <f>D20-D47</f>
        <v>0</v>
      </c>
      <c r="E48" s="151">
        <f>E20-E47</f>
        <v>0</v>
      </c>
    </row>
    <row r="49" spans="2:5" ht="15.75">
      <c r="B49" s="119" t="str">
        <f>CONCATENATE("",E1-2," Budget Authority Limited Amount:")</f>
        <v>2012 Budget Authority Limited Amount:</v>
      </c>
      <c r="C49" s="280">
        <f>inputOth!B86</f>
        <v>0</v>
      </c>
      <c r="D49" s="280">
        <f>inputPrYr!D47</f>
        <v>0</v>
      </c>
      <c r="E49" s="601" t="str">
        <f>IF(E48&lt;0,"See Tab E","")</f>
        <v/>
      </c>
    </row>
    <row r="50" spans="2:5" ht="15.75">
      <c r="B50" s="119"/>
      <c r="C50" s="342" t="str">
        <f>IF(C47&gt;C49,"See Tab A","")</f>
        <v/>
      </c>
      <c r="D50" s="342" t="str">
        <f>IF(D47&gt;D49,"See Tab C","")</f>
        <v/>
      </c>
      <c r="E50" s="138"/>
    </row>
    <row r="51" spans="2:5" ht="15.75">
      <c r="B51" s="119"/>
      <c r="C51" s="342" t="str">
        <f>IF(C48&lt;0,"See Tab B","")</f>
        <v/>
      </c>
      <c r="D51" s="342" t="str">
        <f>IF(D48&lt;0,"See Tab D","")</f>
        <v/>
      </c>
      <c r="E51" s="138"/>
    </row>
    <row r="52" spans="2:5">
      <c r="B52" s="138"/>
      <c r="C52" s="138"/>
      <c r="D52" s="138"/>
      <c r="E52" s="138"/>
    </row>
    <row r="53" spans="2:5" ht="15.75">
      <c r="B53" s="118" t="s">
        <v>124</v>
      </c>
      <c r="C53" s="120"/>
      <c r="D53" s="138"/>
      <c r="E53" s="138"/>
    </row>
  </sheetData>
  <sheetProtection sheet="1"/>
  <phoneticPr fontId="9" type="noConversion"/>
  <conditionalFormatting sqref="E17">
    <cfRule type="cellIs" dxfId="39" priority="4" stopIfTrue="1" operator="greaterThan">
      <formula>$E$19*0.1</formula>
    </cfRule>
  </conditionalFormatting>
  <conditionalFormatting sqref="E45">
    <cfRule type="cellIs" dxfId="38" priority="5" stopIfTrue="1" operator="greaterThan">
      <formula>$E$47*0.1</formula>
    </cfRule>
  </conditionalFormatting>
  <conditionalFormatting sqref="C45">
    <cfRule type="cellIs" dxfId="37" priority="6" stopIfTrue="1" operator="greaterThan">
      <formula>$C$47*0.1</formula>
    </cfRule>
  </conditionalFormatting>
  <conditionalFormatting sqref="D45">
    <cfRule type="cellIs" dxfId="36" priority="7" stopIfTrue="1" operator="greaterThan">
      <formula>$D$47*0.1</formula>
    </cfRule>
  </conditionalFormatting>
  <conditionalFormatting sqref="D47">
    <cfRule type="cellIs" dxfId="35" priority="8" stopIfTrue="1" operator="greaterThan">
      <formula>$D$49</formula>
    </cfRule>
  </conditionalFormatting>
  <conditionalFormatting sqref="C47">
    <cfRule type="cellIs" dxfId="34" priority="9" stopIfTrue="1" operator="greaterThan">
      <formula>$C$49</formula>
    </cfRule>
  </conditionalFormatting>
  <conditionalFormatting sqref="C48 E48">
    <cfRule type="cellIs" dxfId="33" priority="10" stopIfTrue="1" operator="lessThan">
      <formula>0</formula>
    </cfRule>
  </conditionalFormatting>
  <conditionalFormatting sqref="D48">
    <cfRule type="cellIs" dxfId="32" priority="3" stopIfTrue="1" operator="lessThan">
      <formula>0</formula>
    </cfRule>
  </conditionalFormatting>
  <conditionalFormatting sqref="D17">
    <cfRule type="cellIs" dxfId="31" priority="2" stopIfTrue="1" operator="greaterThan">
      <formula>$D$19*0.1</formula>
    </cfRule>
  </conditionalFormatting>
  <conditionalFormatting sqref="C17">
    <cfRule type="cellIs" dxfId="3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workbookViewId="0">
      <selection activeCell="C13" sqref="C13:D13"/>
    </sheetView>
  </sheetViews>
  <sheetFormatPr defaultColWidth="8.88671875" defaultRowHeight="15"/>
  <cols>
    <col min="1" max="1" width="2.44140625" style="47" customWidth="1"/>
    <col min="2" max="2" width="31.109375" style="47" customWidth="1"/>
    <col min="3" max="4" width="15.77734375" style="47" customWidth="1"/>
    <col min="5" max="5" width="16.21875" style="47" customWidth="1"/>
    <col min="6" max="16384" width="8.88671875" style="47"/>
  </cols>
  <sheetData>
    <row r="1" spans="2:5" ht="15.75">
      <c r="B1" s="105" t="str">
        <f>(inputPrYr!D2)</f>
        <v>City of Hiawatha</v>
      </c>
      <c r="C1" s="85"/>
      <c r="D1" s="85"/>
      <c r="E1" s="317">
        <f>inputPrYr!$C$5</f>
        <v>2014</v>
      </c>
    </row>
    <row r="2" spans="2:5" ht="15.75">
      <c r="B2" s="85"/>
      <c r="C2" s="85"/>
      <c r="D2" s="85"/>
      <c r="E2" s="118"/>
    </row>
    <row r="3" spans="2:5" ht="15.75">
      <c r="B3" s="318" t="s">
        <v>174</v>
      </c>
      <c r="C3" s="319"/>
      <c r="D3" s="319"/>
      <c r="E3" s="320"/>
    </row>
    <row r="4" spans="2:5" ht="15.75">
      <c r="B4" s="103" t="s">
        <v>105</v>
      </c>
      <c r="C4" s="321" t="s">
        <v>848</v>
      </c>
      <c r="D4" s="322" t="s">
        <v>849</v>
      </c>
      <c r="E4" s="96" t="s">
        <v>850</v>
      </c>
    </row>
    <row r="5" spans="2:5" ht="15.75">
      <c r="B5" s="560">
        <f>(inputPrYr!B48)</f>
        <v>0</v>
      </c>
      <c r="C5" s="323" t="str">
        <f>CONCATENATE("Actual for ",E1-2,"")</f>
        <v>Actual for 2012</v>
      </c>
      <c r="D5" s="323" t="str">
        <f>CONCATENATE("Estimate for ",E1-1,"")</f>
        <v>Estimate for 2013</v>
      </c>
      <c r="E5" s="324" t="str">
        <f>CONCATENATE("Year for ",E1,"")</f>
        <v>Year for 2014</v>
      </c>
    </row>
    <row r="6" spans="2:5" ht="15.75">
      <c r="B6" s="177" t="s">
        <v>228</v>
      </c>
      <c r="C6" s="137"/>
      <c r="D6" s="327">
        <f>C48</f>
        <v>0</v>
      </c>
      <c r="E6" s="327">
        <f>D48</f>
        <v>0</v>
      </c>
    </row>
    <row r="7" spans="2:5" ht="15.75">
      <c r="B7" s="328" t="s">
        <v>230</v>
      </c>
      <c r="C7" s="100"/>
      <c r="D7" s="100"/>
      <c r="E7" s="100"/>
    </row>
    <row r="8" spans="2:5" ht="15.75">
      <c r="B8" s="329"/>
      <c r="C8" s="330"/>
      <c r="D8" s="330"/>
      <c r="E8" s="330"/>
    </row>
    <row r="9" spans="2:5" ht="15.75">
      <c r="B9" s="329"/>
      <c r="C9" s="330"/>
      <c r="D9" s="330"/>
      <c r="E9" s="330"/>
    </row>
    <row r="10" spans="2:5" ht="15.75">
      <c r="B10" s="329"/>
      <c r="C10" s="330"/>
      <c r="D10" s="330"/>
      <c r="E10" s="330"/>
    </row>
    <row r="11" spans="2:5" ht="15.75">
      <c r="B11" s="329"/>
      <c r="C11" s="330"/>
      <c r="D11" s="330"/>
      <c r="E11" s="330"/>
    </row>
    <row r="12" spans="2:5" ht="15.75">
      <c r="B12" s="329"/>
      <c r="C12" s="330"/>
      <c r="D12" s="330"/>
      <c r="E12" s="330"/>
    </row>
    <row r="13" spans="2:5" ht="15.75">
      <c r="B13" s="329"/>
      <c r="C13" s="330"/>
      <c r="D13" s="330"/>
      <c r="E13" s="330"/>
    </row>
    <row r="14" spans="2:5" ht="15.75">
      <c r="B14" s="331"/>
      <c r="C14" s="175"/>
      <c r="D14" s="175"/>
      <c r="E14" s="175"/>
    </row>
    <row r="15" spans="2:5" ht="15.75">
      <c r="B15" s="329"/>
      <c r="C15" s="330"/>
      <c r="D15" s="330"/>
      <c r="E15" s="330"/>
    </row>
    <row r="16" spans="2:5" ht="15.75">
      <c r="B16" s="332" t="s">
        <v>113</v>
      </c>
      <c r="C16" s="330"/>
      <c r="D16" s="330"/>
      <c r="E16" s="330"/>
    </row>
    <row r="17" spans="2:5" ht="15.75">
      <c r="B17" s="217" t="s">
        <v>14</v>
      </c>
      <c r="C17" s="330"/>
      <c r="D17" s="351"/>
      <c r="E17" s="351"/>
    </row>
    <row r="18" spans="2:5" ht="15.75">
      <c r="B18" s="274" t="s">
        <v>774</v>
      </c>
      <c r="C18" s="340" t="str">
        <f>IF(C19*0.1&lt;C17,"Exceed 10% Rule","")</f>
        <v/>
      </c>
      <c r="D18" s="334" t="str">
        <f>IF(D19*0.1&lt;D17,"Exceed 10% Rule","")</f>
        <v/>
      </c>
      <c r="E18" s="334" t="str">
        <f>IF(E19*0.1&lt;E17,"Exceed 10% Rule","")</f>
        <v/>
      </c>
    </row>
    <row r="19" spans="2:5" ht="15.75">
      <c r="B19" s="335" t="s">
        <v>114</v>
      </c>
      <c r="C19" s="338">
        <f>SUM(C8:C17)</f>
        <v>0</v>
      </c>
      <c r="D19" s="338">
        <f>SUM(D8:D17)</f>
        <v>0</v>
      </c>
      <c r="E19" s="338">
        <f>SUM(E8:E17)</f>
        <v>0</v>
      </c>
    </row>
    <row r="20" spans="2:5" ht="15.75">
      <c r="B20" s="335" t="s">
        <v>115</v>
      </c>
      <c r="C20" s="338">
        <f>C6+C19</f>
        <v>0</v>
      </c>
      <c r="D20" s="338">
        <f>D6+D19</f>
        <v>0</v>
      </c>
      <c r="E20" s="338">
        <f>E6+E19</f>
        <v>0</v>
      </c>
    </row>
    <row r="21" spans="2:5" ht="15.75">
      <c r="B21" s="177" t="s">
        <v>117</v>
      </c>
      <c r="C21" s="100"/>
      <c r="D21" s="100"/>
      <c r="E21" s="100"/>
    </row>
    <row r="22" spans="2:5" ht="15.75">
      <c r="B22" s="329" t="s">
        <v>275</v>
      </c>
      <c r="C22" s="330"/>
      <c r="D22" s="330"/>
      <c r="E22" s="330"/>
    </row>
    <row r="23" spans="2:5" ht="15.75">
      <c r="B23" s="329" t="s">
        <v>25</v>
      </c>
      <c r="C23" s="330"/>
      <c r="D23" s="330"/>
      <c r="E23" s="330"/>
    </row>
    <row r="24" spans="2:5" ht="15.75">
      <c r="B24" s="329"/>
      <c r="C24" s="175"/>
      <c r="D24" s="175"/>
      <c r="E24" s="175"/>
    </row>
    <row r="25" spans="2:5" ht="15.75">
      <c r="B25" s="329"/>
      <c r="C25" s="175"/>
      <c r="D25" s="175"/>
      <c r="E25" s="175"/>
    </row>
    <row r="26" spans="2:5" ht="15.75">
      <c r="B26" s="329"/>
      <c r="C26" s="175"/>
      <c r="D26" s="175"/>
      <c r="E26" s="175"/>
    </row>
    <row r="27" spans="2:5" ht="15.75">
      <c r="B27" s="329"/>
      <c r="C27" s="175"/>
      <c r="D27" s="175"/>
      <c r="E27" s="175"/>
    </row>
    <row r="28" spans="2:5" ht="15.75">
      <c r="B28" s="329"/>
      <c r="C28" s="175"/>
      <c r="D28" s="175"/>
      <c r="E28" s="175"/>
    </row>
    <row r="29" spans="2:5" ht="15.75">
      <c r="B29" s="329"/>
      <c r="C29" s="175"/>
      <c r="D29" s="175"/>
      <c r="E29" s="175"/>
    </row>
    <row r="30" spans="2:5" ht="15.75">
      <c r="B30" s="329"/>
      <c r="C30" s="175"/>
      <c r="D30" s="175"/>
      <c r="E30" s="175"/>
    </row>
    <row r="31" spans="2:5" ht="15.75">
      <c r="B31" s="329"/>
      <c r="C31" s="175"/>
      <c r="D31" s="175"/>
      <c r="E31" s="175"/>
    </row>
    <row r="32" spans="2:5" ht="15.75">
      <c r="B32" s="329"/>
      <c r="C32" s="175"/>
      <c r="D32" s="175"/>
      <c r="E32" s="175"/>
    </row>
    <row r="33" spans="2:5" ht="15.75">
      <c r="B33" s="329"/>
      <c r="C33" s="175"/>
      <c r="D33" s="175"/>
      <c r="E33" s="175"/>
    </row>
    <row r="34" spans="2:5" ht="15.75">
      <c r="B34" s="329"/>
      <c r="C34" s="175"/>
      <c r="D34" s="175"/>
      <c r="E34" s="175"/>
    </row>
    <row r="35" spans="2:5" ht="15.75">
      <c r="B35" s="329"/>
      <c r="C35" s="330"/>
      <c r="D35" s="330"/>
      <c r="E35" s="330"/>
    </row>
    <row r="36" spans="2:5" ht="15.75">
      <c r="B36" s="329"/>
      <c r="C36" s="330"/>
      <c r="D36" s="330"/>
      <c r="E36" s="330"/>
    </row>
    <row r="37" spans="2:5" ht="15.75">
      <c r="B37" s="329"/>
      <c r="C37" s="330"/>
      <c r="D37" s="330"/>
      <c r="E37" s="330"/>
    </row>
    <row r="38" spans="2:5" ht="15.75">
      <c r="B38" s="329"/>
      <c r="C38" s="330"/>
      <c r="D38" s="330"/>
      <c r="E38" s="330"/>
    </row>
    <row r="39" spans="2:5" ht="15.75">
      <c r="B39" s="329"/>
      <c r="C39" s="330"/>
      <c r="D39" s="330"/>
      <c r="E39" s="330"/>
    </row>
    <row r="40" spans="2:5" ht="15.75">
      <c r="B40" s="329"/>
      <c r="C40" s="330"/>
      <c r="D40" s="330"/>
      <c r="E40" s="330"/>
    </row>
    <row r="41" spans="2:5" ht="15.75">
      <c r="B41" s="329"/>
      <c r="C41" s="330"/>
      <c r="D41" s="330"/>
      <c r="E41" s="330"/>
    </row>
    <row r="42" spans="2:5" ht="15.75">
      <c r="B42" s="329"/>
      <c r="C42" s="330"/>
      <c r="D42" s="330"/>
      <c r="E42" s="330"/>
    </row>
    <row r="43" spans="2:5" ht="15.75">
      <c r="B43" s="329"/>
      <c r="C43" s="330"/>
      <c r="D43" s="330"/>
      <c r="E43" s="330"/>
    </row>
    <row r="44" spans="2:5" ht="15.75">
      <c r="B44" s="329"/>
      <c r="C44" s="330"/>
      <c r="D44" s="330"/>
      <c r="E44" s="330"/>
    </row>
    <row r="45" spans="2:5" ht="15.75">
      <c r="B45" s="339" t="s">
        <v>14</v>
      </c>
      <c r="C45" s="330"/>
      <c r="D45" s="351"/>
      <c r="E45" s="351"/>
    </row>
    <row r="46" spans="2:5" ht="15.75">
      <c r="B46" s="339" t="s">
        <v>773</v>
      </c>
      <c r="C46" s="340" t="str">
        <f>IF(C47*0.1&lt;C45,"Exceed 10% Rule","")</f>
        <v/>
      </c>
      <c r="D46" s="334" t="str">
        <f>IF(D47*0.1&lt;D45,"Exceed 10% Rule","")</f>
        <v/>
      </c>
      <c r="E46" s="334" t="str">
        <f>IF(E47*0.1&lt;E45,"Exceed 10% Rule","")</f>
        <v/>
      </c>
    </row>
    <row r="47" spans="2:5" ht="15.75">
      <c r="B47" s="335" t="s">
        <v>121</v>
      </c>
      <c r="C47" s="338">
        <f>SUM(C22:C45)</f>
        <v>0</v>
      </c>
      <c r="D47" s="338">
        <f>SUM(D22:D45)</f>
        <v>0</v>
      </c>
      <c r="E47" s="338">
        <f>SUM(E22:E45)</f>
        <v>0</v>
      </c>
    </row>
    <row r="48" spans="2:5" ht="15.75">
      <c r="B48" s="177" t="s">
        <v>229</v>
      </c>
      <c r="C48" s="151">
        <f>C20-C47</f>
        <v>0</v>
      </c>
      <c r="D48" s="151">
        <f>D20-D47</f>
        <v>0</v>
      </c>
      <c r="E48" s="151">
        <f>E20-E47</f>
        <v>0</v>
      </c>
    </row>
    <row r="49" spans="2:5" ht="15.75">
      <c r="B49" s="119" t="str">
        <f>CONCATENATE("",E1-2," Budget Authority Limited Amount:")</f>
        <v>2012 Budget Authority Limited Amount:</v>
      </c>
      <c r="C49" s="280">
        <f>inputOth!B87</f>
        <v>0</v>
      </c>
      <c r="D49" s="280">
        <f>inputPrYr!D48</f>
        <v>0</v>
      </c>
      <c r="E49" s="601" t="str">
        <f>IF(E48&lt;0,"See Tab E","")</f>
        <v/>
      </c>
    </row>
    <row r="50" spans="2:5" ht="15.75">
      <c r="B50" s="119"/>
      <c r="C50" s="342" t="str">
        <f>IF(C47&gt;C49,"See Tab A","")</f>
        <v/>
      </c>
      <c r="D50" s="342" t="str">
        <f>IF(D47&gt;D49,"See Tab C","")</f>
        <v/>
      </c>
      <c r="E50" s="138"/>
    </row>
    <row r="51" spans="2:5" ht="15.75">
      <c r="B51" s="119"/>
      <c r="C51" s="342" t="str">
        <f>IF(C48&lt;0,"See Tab B","")</f>
        <v/>
      </c>
      <c r="D51" s="342" t="str">
        <f>IF(D48&lt;0,"See Tab D","")</f>
        <v/>
      </c>
      <c r="E51" s="138"/>
    </row>
    <row r="52" spans="2:5">
      <c r="B52" s="138"/>
      <c r="C52" s="138"/>
      <c r="D52" s="138"/>
      <c r="E52" s="138"/>
    </row>
    <row r="53" spans="2:5" ht="15.75">
      <c r="B53" s="118" t="s">
        <v>124</v>
      </c>
      <c r="C53" s="120"/>
      <c r="D53" s="138"/>
      <c r="E53" s="138"/>
    </row>
  </sheetData>
  <sheetProtection sheet="1"/>
  <phoneticPr fontId="9" type="noConversion"/>
  <conditionalFormatting sqref="E17">
    <cfRule type="cellIs" dxfId="29" priority="2" stopIfTrue="1" operator="greaterThan">
      <formula>$E$19*0.1</formula>
    </cfRule>
  </conditionalFormatting>
  <conditionalFormatting sqref="E45">
    <cfRule type="cellIs" dxfId="28" priority="3" stopIfTrue="1" operator="greaterThan">
      <formula>$E$47*0.1</formula>
    </cfRule>
  </conditionalFormatting>
  <conditionalFormatting sqref="D17">
    <cfRule type="cellIs" dxfId="27" priority="4" stopIfTrue="1" operator="greaterThan">
      <formula>$D$19*0.1</formula>
    </cfRule>
  </conditionalFormatting>
  <conditionalFormatting sqref="D45">
    <cfRule type="cellIs" dxfId="26" priority="5" stopIfTrue="1" operator="greaterThan">
      <formula>$D$47*0.1</formula>
    </cfRule>
  </conditionalFormatting>
  <conditionalFormatting sqref="C17">
    <cfRule type="cellIs" dxfId="25" priority="6" stopIfTrue="1" operator="greaterThan">
      <formula>$C$19*0.1</formula>
    </cfRule>
  </conditionalFormatting>
  <conditionalFormatting sqref="C45">
    <cfRule type="cellIs" dxfId="24" priority="7" stopIfTrue="1" operator="greaterThan">
      <formula>$C$47*0.1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workbookViewId="0">
      <selection activeCell="C15" sqref="C15:E15"/>
    </sheetView>
  </sheetViews>
  <sheetFormatPr defaultColWidth="8.88671875" defaultRowHeight="15"/>
  <cols>
    <col min="1" max="1" width="2.44140625" style="47" customWidth="1"/>
    <col min="2" max="2" width="31.109375" style="47" customWidth="1"/>
    <col min="3" max="4" width="15.77734375" style="47" customWidth="1"/>
    <col min="5" max="5" width="16.44140625" style="47" customWidth="1"/>
    <col min="6" max="16384" width="8.88671875" style="47"/>
  </cols>
  <sheetData>
    <row r="1" spans="2:5" ht="15.75">
      <c r="B1" s="105" t="str">
        <f>(inputPrYr!D2)</f>
        <v>City of Hiawatha</v>
      </c>
      <c r="C1" s="85"/>
      <c r="D1" s="85"/>
      <c r="E1" s="317">
        <f>inputPrYr!$C$5</f>
        <v>2014</v>
      </c>
    </row>
    <row r="2" spans="2:5" ht="15.75">
      <c r="B2" s="85"/>
      <c r="C2" s="85"/>
      <c r="D2" s="85"/>
      <c r="E2" s="118"/>
    </row>
    <row r="3" spans="2:5" ht="15.75">
      <c r="B3" s="318" t="s">
        <v>174</v>
      </c>
      <c r="C3" s="319"/>
      <c r="D3" s="319"/>
      <c r="E3" s="320"/>
    </row>
    <row r="4" spans="2:5" ht="15.75">
      <c r="B4" s="103" t="s">
        <v>105</v>
      </c>
      <c r="C4" s="321" t="s">
        <v>848</v>
      </c>
      <c r="D4" s="322" t="s">
        <v>849</v>
      </c>
      <c r="E4" s="96" t="s">
        <v>850</v>
      </c>
    </row>
    <row r="5" spans="2:5" ht="15.75">
      <c r="B5" s="560">
        <f>(inputPrYr!B49)</f>
        <v>0</v>
      </c>
      <c r="C5" s="323" t="str">
        <f>CONCATENATE("Actual for ",E1-2,"")</f>
        <v>Actual for 2012</v>
      </c>
      <c r="D5" s="323" t="str">
        <f>CONCATENATE("Estimate for ",E1-1,"")</f>
        <v>Estimate for 2013</v>
      </c>
      <c r="E5" s="324" t="str">
        <f>CONCATENATE("Year for ",E1,"")</f>
        <v>Year for 2014</v>
      </c>
    </row>
    <row r="6" spans="2:5" ht="15.75">
      <c r="B6" s="177" t="s">
        <v>228</v>
      </c>
      <c r="C6" s="325"/>
      <c r="D6" s="326">
        <f>C48</f>
        <v>0</v>
      </c>
      <c r="E6" s="327">
        <f>D48</f>
        <v>0</v>
      </c>
    </row>
    <row r="7" spans="2:5" ht="15.75">
      <c r="B7" s="328" t="s">
        <v>230</v>
      </c>
      <c r="C7" s="217"/>
      <c r="D7" s="217"/>
      <c r="E7" s="100"/>
    </row>
    <row r="8" spans="2:5" ht="15.75">
      <c r="B8" s="329"/>
      <c r="C8" s="325"/>
      <c r="D8" s="325"/>
      <c r="E8" s="330"/>
    </row>
    <row r="9" spans="2:5" ht="15.75">
      <c r="B9" s="329"/>
      <c r="C9" s="325"/>
      <c r="D9" s="325"/>
      <c r="E9" s="330"/>
    </row>
    <row r="10" spans="2:5" ht="15.75">
      <c r="B10" s="329"/>
      <c r="C10" s="325"/>
      <c r="D10" s="325"/>
      <c r="E10" s="330"/>
    </row>
    <row r="11" spans="2:5" ht="15.75">
      <c r="B11" s="329"/>
      <c r="C11" s="325"/>
      <c r="D11" s="325"/>
      <c r="E11" s="330"/>
    </row>
    <row r="12" spans="2:5" ht="15.75">
      <c r="B12" s="329"/>
      <c r="C12" s="325"/>
      <c r="D12" s="325"/>
      <c r="E12" s="330"/>
    </row>
    <row r="13" spans="2:5" ht="15.75">
      <c r="B13" s="329"/>
      <c r="C13" s="325"/>
      <c r="D13" s="325"/>
      <c r="E13" s="330"/>
    </row>
    <row r="14" spans="2:5" ht="15.75">
      <c r="B14" s="331"/>
      <c r="C14" s="325"/>
      <c r="D14" s="325"/>
      <c r="E14" s="175"/>
    </row>
    <row r="15" spans="2:5" ht="15.75">
      <c r="B15" s="329"/>
      <c r="C15" s="325"/>
      <c r="D15" s="325"/>
      <c r="E15" s="330"/>
    </row>
    <row r="16" spans="2:5" ht="15.75">
      <c r="B16" s="332" t="s">
        <v>113</v>
      </c>
      <c r="C16" s="325"/>
      <c r="D16" s="325"/>
      <c r="E16" s="330"/>
    </row>
    <row r="17" spans="2:5" ht="15.75">
      <c r="B17" s="217" t="s">
        <v>14</v>
      </c>
      <c r="C17" s="325"/>
      <c r="D17" s="325"/>
      <c r="E17" s="330"/>
    </row>
    <row r="18" spans="2:5" ht="15.75">
      <c r="B18" s="274" t="s">
        <v>774</v>
      </c>
      <c r="C18" s="333" t="str">
        <f>IF(C19*0.1&lt;C17,"Exceed 10% Rule","")</f>
        <v/>
      </c>
      <c r="D18" s="333" t="str">
        <f>IF(D19*0.1&lt;D17,"Exceed 10% Rule","")</f>
        <v/>
      </c>
      <c r="E18" s="340" t="str">
        <f>IF(E19*0.1&lt;E17,"Exceed 10% Rule","")</f>
        <v/>
      </c>
    </row>
    <row r="19" spans="2:5" ht="15.75">
      <c r="B19" s="335" t="s">
        <v>114</v>
      </c>
      <c r="C19" s="337">
        <f>SUM(C8:C17)</f>
        <v>0</v>
      </c>
      <c r="D19" s="337">
        <f>SUM(D8:D17)</f>
        <v>0</v>
      </c>
      <c r="E19" s="338">
        <f>SUM(E8:E17)</f>
        <v>0</v>
      </c>
    </row>
    <row r="20" spans="2:5" ht="15.75">
      <c r="B20" s="335" t="s">
        <v>115</v>
      </c>
      <c r="C20" s="337">
        <f>C6+C19</f>
        <v>0</v>
      </c>
      <c r="D20" s="337">
        <f>D6+D19</f>
        <v>0</v>
      </c>
      <c r="E20" s="338">
        <f>E6+E19</f>
        <v>0</v>
      </c>
    </row>
    <row r="21" spans="2:5" ht="15.75">
      <c r="B21" s="177" t="s">
        <v>117</v>
      </c>
      <c r="C21" s="217"/>
      <c r="D21" s="217"/>
      <c r="E21" s="100"/>
    </row>
    <row r="22" spans="2:5" ht="15.75">
      <c r="B22" s="329" t="s">
        <v>275</v>
      </c>
      <c r="C22" s="325"/>
      <c r="D22" s="325"/>
      <c r="E22" s="330"/>
    </row>
    <row r="23" spans="2:5" ht="15.75">
      <c r="B23" s="329" t="s">
        <v>24</v>
      </c>
      <c r="C23" s="325"/>
      <c r="D23" s="325"/>
      <c r="E23" s="330"/>
    </row>
    <row r="24" spans="2:5" ht="15.75">
      <c r="B24" s="329"/>
      <c r="C24" s="325"/>
      <c r="D24" s="325"/>
      <c r="E24" s="175"/>
    </row>
    <row r="25" spans="2:5" ht="15.75">
      <c r="B25" s="329"/>
      <c r="C25" s="325"/>
      <c r="D25" s="325"/>
      <c r="E25" s="175"/>
    </row>
    <row r="26" spans="2:5" ht="15.75">
      <c r="B26" s="329"/>
      <c r="C26" s="325"/>
      <c r="D26" s="325"/>
      <c r="E26" s="175"/>
    </row>
    <row r="27" spans="2:5" ht="15.75">
      <c r="B27" s="329"/>
      <c r="C27" s="325"/>
      <c r="D27" s="325"/>
      <c r="E27" s="175"/>
    </row>
    <row r="28" spans="2:5" ht="15.75">
      <c r="B28" s="329"/>
      <c r="C28" s="325"/>
      <c r="D28" s="325"/>
      <c r="E28" s="175"/>
    </row>
    <row r="29" spans="2:5" ht="15.75">
      <c r="B29" s="329"/>
      <c r="C29" s="325"/>
      <c r="D29" s="325"/>
      <c r="E29" s="175"/>
    </row>
    <row r="30" spans="2:5" ht="15.75">
      <c r="B30" s="329"/>
      <c r="C30" s="325"/>
      <c r="D30" s="325"/>
      <c r="E30" s="175"/>
    </row>
    <row r="31" spans="2:5" ht="15.75">
      <c r="B31" s="329"/>
      <c r="C31" s="325"/>
      <c r="D31" s="325"/>
      <c r="E31" s="175"/>
    </row>
    <row r="32" spans="2:5" ht="15.75">
      <c r="B32" s="329"/>
      <c r="C32" s="325"/>
      <c r="D32" s="325"/>
      <c r="E32" s="175"/>
    </row>
    <row r="33" spans="2:5" ht="15.75">
      <c r="B33" s="329"/>
      <c r="C33" s="325"/>
      <c r="D33" s="325"/>
      <c r="E33" s="175"/>
    </row>
    <row r="34" spans="2:5" ht="15.75">
      <c r="B34" s="329"/>
      <c r="C34" s="325"/>
      <c r="D34" s="325"/>
      <c r="E34" s="175"/>
    </row>
    <row r="35" spans="2:5" ht="15.75">
      <c r="B35" s="329"/>
      <c r="C35" s="325"/>
      <c r="D35" s="325"/>
      <c r="E35" s="330"/>
    </row>
    <row r="36" spans="2:5" ht="15.75">
      <c r="B36" s="329"/>
      <c r="C36" s="325"/>
      <c r="D36" s="325"/>
      <c r="E36" s="330"/>
    </row>
    <row r="37" spans="2:5" ht="15.75">
      <c r="B37" s="329"/>
      <c r="C37" s="325"/>
      <c r="D37" s="325"/>
      <c r="E37" s="330"/>
    </row>
    <row r="38" spans="2:5" ht="15.75">
      <c r="B38" s="329"/>
      <c r="C38" s="325"/>
      <c r="D38" s="325"/>
      <c r="E38" s="330"/>
    </row>
    <row r="39" spans="2:5" ht="15.75">
      <c r="B39" s="329"/>
      <c r="C39" s="325"/>
      <c r="D39" s="325"/>
      <c r="E39" s="330"/>
    </row>
    <row r="40" spans="2:5" ht="15.75">
      <c r="B40" s="329"/>
      <c r="C40" s="325"/>
      <c r="D40" s="325"/>
      <c r="E40" s="330"/>
    </row>
    <row r="41" spans="2:5" ht="15.75">
      <c r="B41" s="329"/>
      <c r="C41" s="325"/>
      <c r="D41" s="325"/>
      <c r="E41" s="330"/>
    </row>
    <row r="42" spans="2:5" ht="15.75">
      <c r="B42" s="329"/>
      <c r="C42" s="325"/>
      <c r="D42" s="325"/>
      <c r="E42" s="330"/>
    </row>
    <row r="43" spans="2:5" ht="15.75">
      <c r="B43" s="329"/>
      <c r="C43" s="325"/>
      <c r="D43" s="325"/>
      <c r="E43" s="330"/>
    </row>
    <row r="44" spans="2:5" ht="15.75">
      <c r="B44" s="329"/>
      <c r="C44" s="325"/>
      <c r="D44" s="325"/>
      <c r="E44" s="330"/>
    </row>
    <row r="45" spans="2:5" ht="15.75">
      <c r="B45" s="339" t="s">
        <v>14</v>
      </c>
      <c r="C45" s="325"/>
      <c r="D45" s="325"/>
      <c r="E45" s="330"/>
    </row>
    <row r="46" spans="2:5" ht="15.75">
      <c r="B46" s="339" t="s">
        <v>773</v>
      </c>
      <c r="C46" s="333" t="str">
        <f>IF(C47*0.1&lt;C45,"Exceed 10% Rule","")</f>
        <v/>
      </c>
      <c r="D46" s="333" t="str">
        <f>IF(D47*0.1&lt;D45,"Exceed 10% Rule","")</f>
        <v/>
      </c>
      <c r="E46" s="340" t="str">
        <f>IF(E47*0.1&lt;E45,"Exceed 10% Rule","")</f>
        <v/>
      </c>
    </row>
    <row r="47" spans="2:5" ht="15.75">
      <c r="B47" s="335" t="s">
        <v>121</v>
      </c>
      <c r="C47" s="337">
        <f>SUM(C22:C45)</f>
        <v>0</v>
      </c>
      <c r="D47" s="337">
        <f>SUM(D22:D45)</f>
        <v>0</v>
      </c>
      <c r="E47" s="338">
        <f>SUM(E22:E45)</f>
        <v>0</v>
      </c>
    </row>
    <row r="48" spans="2:5" ht="15.75">
      <c r="B48" s="177" t="s">
        <v>229</v>
      </c>
      <c r="C48" s="341">
        <f>C20-C47</f>
        <v>0</v>
      </c>
      <c r="D48" s="341">
        <f>D20-D47</f>
        <v>0</v>
      </c>
      <c r="E48" s="151">
        <f>E20-E47</f>
        <v>0</v>
      </c>
    </row>
    <row r="49" spans="2:5" ht="15.75">
      <c r="B49" s="119" t="str">
        <f>CONCATENATE("",E1-2,"/",E1-1," Budget Authority Amount:")</f>
        <v>2012/2013 Budget Authority Amount:</v>
      </c>
      <c r="C49" s="280">
        <f>inputOth!B88</f>
        <v>0</v>
      </c>
      <c r="D49" s="280">
        <f>inputPrYr!D49</f>
        <v>0</v>
      </c>
      <c r="E49" s="601" t="str">
        <f>IF(E48&lt;0,"See Tab E","")</f>
        <v/>
      </c>
    </row>
    <row r="50" spans="2:5" ht="15.75">
      <c r="B50" s="119"/>
      <c r="C50" s="342" t="str">
        <f>IF(C47&gt;C49,"See Tab A","")</f>
        <v/>
      </c>
      <c r="D50" s="342" t="str">
        <f>IF(D47&gt;D49,"See Tab C","")</f>
        <v/>
      </c>
      <c r="E50" s="138"/>
    </row>
    <row r="51" spans="2:5" ht="15.75">
      <c r="B51" s="119"/>
      <c r="C51" s="342" t="str">
        <f>IF(C48&lt;0,"See Tab B","")</f>
        <v/>
      </c>
      <c r="D51" s="342" t="str">
        <f>IF(D48&lt;0,"See Tab D","")</f>
        <v/>
      </c>
      <c r="E51" s="138"/>
    </row>
    <row r="52" spans="2:5">
      <c r="B52" s="138"/>
      <c r="C52" s="138"/>
      <c r="D52" s="138"/>
      <c r="E52" s="138"/>
    </row>
    <row r="53" spans="2:5" ht="15.75">
      <c r="B53" s="118" t="s">
        <v>124</v>
      </c>
      <c r="C53" s="120"/>
      <c r="D53" s="138"/>
      <c r="E53" s="138"/>
    </row>
  </sheetData>
  <sheetProtection sheet="1"/>
  <phoneticPr fontId="9" type="noConversion"/>
  <conditionalFormatting sqref="E17">
    <cfRule type="cellIs" dxfId="19" priority="4" stopIfTrue="1" operator="greaterThan">
      <formula>$E$19*0.1</formula>
    </cfRule>
  </conditionalFormatting>
  <conditionalFormatting sqref="E45">
    <cfRule type="cellIs" dxfId="18" priority="5" stopIfTrue="1" operator="greaterThan">
      <formula>$E$47*0.1</formula>
    </cfRule>
  </conditionalFormatting>
  <conditionalFormatting sqref="C45">
    <cfRule type="cellIs" dxfId="17" priority="6" stopIfTrue="1" operator="greaterThan">
      <formula>$C$47*0.1</formula>
    </cfRule>
  </conditionalFormatting>
  <conditionalFormatting sqref="D45">
    <cfRule type="cellIs" dxfId="16" priority="7" stopIfTrue="1" operator="greaterThan">
      <formula>$D$47*0.1</formula>
    </cfRule>
  </conditionalFormatting>
  <conditionalFormatting sqref="D47">
    <cfRule type="cellIs" dxfId="15" priority="8" stopIfTrue="1" operator="greaterThan">
      <formula>$D$49</formula>
    </cfRule>
  </conditionalFormatting>
  <conditionalFormatting sqref="C47">
    <cfRule type="cellIs" dxfId="14" priority="9" stopIfTrue="1" operator="greaterThan">
      <formula>$C$49</formula>
    </cfRule>
  </conditionalFormatting>
  <conditionalFormatting sqref="C48 E48">
    <cfRule type="cellIs" dxfId="13" priority="10" stopIfTrue="1" operator="lessThan">
      <formula>0</formula>
    </cfRule>
  </conditionalFormatting>
  <conditionalFormatting sqref="D48">
    <cfRule type="cellIs" dxfId="12" priority="3" stopIfTrue="1" operator="lessThan">
      <formula>0</formula>
    </cfRule>
  </conditionalFormatting>
  <conditionalFormatting sqref="D17">
    <cfRule type="cellIs" dxfId="11" priority="2" stopIfTrue="1" operator="greaterThan">
      <formula>$D$19*0.1</formula>
    </cfRule>
  </conditionalFormatting>
  <conditionalFormatting sqref="C17">
    <cfRule type="cellIs" dxfId="1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9"/>
  <sheetViews>
    <sheetView topLeftCell="A56" workbookViewId="0">
      <selection activeCell="B83" sqref="B83"/>
    </sheetView>
  </sheetViews>
  <sheetFormatPr defaultColWidth="8.88671875" defaultRowHeight="15"/>
  <cols>
    <col min="1" max="1" width="15.77734375" style="47" customWidth="1"/>
    <col min="2" max="2" width="20.77734375" style="47" customWidth="1"/>
    <col min="3" max="3" width="9.77734375" style="47" customWidth="1"/>
    <col min="4" max="4" width="15.109375" style="47" customWidth="1"/>
    <col min="5" max="5" width="15.77734375" style="47" customWidth="1"/>
    <col min="6" max="16384" width="8.88671875" style="47"/>
  </cols>
  <sheetData>
    <row r="1" spans="1:5" ht="15.75">
      <c r="A1" s="225" t="str">
        <f>inputPrYr!$D$2</f>
        <v>City of Hiawatha</v>
      </c>
      <c r="B1" s="138"/>
      <c r="C1" s="138"/>
      <c r="D1" s="138"/>
      <c r="E1" s="224">
        <f>inputPrYr!C5</f>
        <v>2014</v>
      </c>
    </row>
    <row r="2" spans="1:5">
      <c r="A2" s="138"/>
      <c r="B2" s="138"/>
      <c r="C2" s="138"/>
      <c r="D2" s="138"/>
      <c r="E2" s="138"/>
    </row>
    <row r="3" spans="1:5" ht="15.75">
      <c r="A3" s="836" t="s">
        <v>329</v>
      </c>
      <c r="B3" s="837"/>
      <c r="C3" s="837"/>
      <c r="D3" s="837"/>
      <c r="E3" s="837"/>
    </row>
    <row r="4" spans="1:5">
      <c r="A4" s="138"/>
      <c r="B4" s="138"/>
      <c r="C4" s="138"/>
      <c r="D4" s="138"/>
      <c r="E4" s="138"/>
    </row>
    <row r="5" spans="1:5" ht="15.75">
      <c r="A5" s="131" t="str">
        <f>CONCATENATE("From the County Clerks ",E1," Budget Information:")</f>
        <v>From the County Clerks 2014 Budget Information:</v>
      </c>
      <c r="B5" s="132"/>
      <c r="C5" s="85"/>
      <c r="D5" s="85"/>
      <c r="E5" s="165"/>
    </row>
    <row r="6" spans="1:5" ht="15.75">
      <c r="A6" s="174" t="str">
        <f>CONCATENATE("Total Assessed Valuation for ",E1-1,"")</f>
        <v>Total Assessed Valuation for 2013</v>
      </c>
      <c r="B6" s="141"/>
      <c r="C6" s="141"/>
      <c r="D6" s="141"/>
      <c r="E6" s="137">
        <v>21836937</v>
      </c>
    </row>
    <row r="7" spans="1:5" ht="15.75">
      <c r="A7" s="174" t="str">
        <f>CONCATENATE("New Improvements for ",E1-1,"")</f>
        <v>New Improvements for 2013</v>
      </c>
      <c r="B7" s="141"/>
      <c r="C7" s="141"/>
      <c r="D7" s="141"/>
      <c r="E7" s="175">
        <v>318578</v>
      </c>
    </row>
    <row r="8" spans="1:5" ht="15.75">
      <c r="A8" s="174" t="str">
        <f>CONCATENATE("Personal Property excluding oil, gas, mobile homes - ",E1-1,"")</f>
        <v>Personal Property excluding oil, gas, mobile homes - 2013</v>
      </c>
      <c r="B8" s="141"/>
      <c r="C8" s="141"/>
      <c r="D8" s="141"/>
      <c r="E8" s="175">
        <v>745767</v>
      </c>
    </row>
    <row r="9" spans="1:5" ht="15.75">
      <c r="A9" s="176" t="s">
        <v>262</v>
      </c>
      <c r="B9" s="141"/>
      <c r="C9" s="141"/>
      <c r="D9" s="141"/>
      <c r="E9" s="100"/>
    </row>
    <row r="10" spans="1:5" ht="15.75">
      <c r="A10" s="174" t="s">
        <v>221</v>
      </c>
      <c r="B10" s="141"/>
      <c r="C10" s="141"/>
      <c r="D10" s="141"/>
      <c r="E10" s="175">
        <v>0</v>
      </c>
    </row>
    <row r="11" spans="1:5" ht="15.75">
      <c r="A11" s="174" t="s">
        <v>222</v>
      </c>
      <c r="B11" s="141"/>
      <c r="C11" s="141"/>
      <c r="D11" s="141"/>
      <c r="E11" s="175">
        <v>0</v>
      </c>
    </row>
    <row r="12" spans="1:5" ht="15.75">
      <c r="A12" s="174" t="s">
        <v>223</v>
      </c>
      <c r="B12" s="141"/>
      <c r="C12" s="141"/>
      <c r="D12" s="141"/>
      <c r="E12" s="175">
        <v>0</v>
      </c>
    </row>
    <row r="13" spans="1:5" ht="15.75">
      <c r="A13" s="174" t="str">
        <f>CONCATENATE("Property that has changed in use for ",E1-1,"")</f>
        <v>Property that has changed in use for 2013</v>
      </c>
      <c r="B13" s="141"/>
      <c r="C13" s="141"/>
      <c r="D13" s="141"/>
      <c r="E13" s="175">
        <v>69909</v>
      </c>
    </row>
    <row r="14" spans="1:5" ht="15.75">
      <c r="A14" s="174" t="str">
        <f>CONCATENATE("Personal Property  excluding oil, gas, mobile homes- ",E1-2,"")</f>
        <v>Personal Property  excluding oil, gas, mobile homes- 2012</v>
      </c>
      <c r="B14" s="141"/>
      <c r="C14" s="141"/>
      <c r="D14" s="141"/>
      <c r="E14" s="175">
        <v>696140</v>
      </c>
    </row>
    <row r="15" spans="1:5" ht="15.75">
      <c r="A15" s="174" t="str">
        <f>CONCATENATE("Gross earnings (intangible) tax estimate for ",E1,"")</f>
        <v>Gross earnings (intangible) tax estimate for 2014</v>
      </c>
      <c r="B15" s="141"/>
      <c r="C15" s="141"/>
      <c r="D15" s="161"/>
      <c r="E15" s="137"/>
    </row>
    <row r="16" spans="1:5" ht="15.75">
      <c r="A16" s="174" t="s">
        <v>263</v>
      </c>
      <c r="B16" s="141"/>
      <c r="C16" s="141"/>
      <c r="D16" s="141"/>
      <c r="E16" s="171">
        <v>1058806</v>
      </c>
    </row>
    <row r="17" spans="1:5" ht="15.75">
      <c r="A17" s="177" t="s">
        <v>362</v>
      </c>
      <c r="B17" s="141"/>
      <c r="C17" s="141"/>
      <c r="D17" s="161"/>
      <c r="E17" s="171"/>
    </row>
    <row r="18" spans="1:5" ht="15.75">
      <c r="A18" s="177" t="s">
        <v>363</v>
      </c>
      <c r="B18" s="141"/>
      <c r="C18" s="141"/>
      <c r="D18" s="161"/>
      <c r="E18" s="171"/>
    </row>
    <row r="19" spans="1:5" ht="15.75">
      <c r="A19" s="144"/>
      <c r="B19" s="108"/>
      <c r="C19" s="108"/>
      <c r="D19" s="108"/>
      <c r="E19" s="153"/>
    </row>
    <row r="20" spans="1:5" ht="15.75">
      <c r="A20" s="144" t="str">
        <f>CONCATENATE("Actual Tax Rates for the ",E1-1," Budget:")</f>
        <v>Actual Tax Rates for the 2013 Budget:</v>
      </c>
      <c r="B20" s="108"/>
      <c r="C20" s="108"/>
      <c r="D20" s="108"/>
      <c r="E20" s="153"/>
    </row>
    <row r="21" spans="1:5" ht="15.75">
      <c r="A21" s="845" t="s">
        <v>91</v>
      </c>
      <c r="B21" s="846"/>
      <c r="C21" s="138"/>
      <c r="D21" s="178" t="s">
        <v>146</v>
      </c>
      <c r="E21" s="153"/>
    </row>
    <row r="22" spans="1:5" ht="15.75">
      <c r="A22" s="140" t="s">
        <v>75</v>
      </c>
      <c r="B22" s="117"/>
      <c r="C22" s="108"/>
      <c r="D22" s="179">
        <v>9.9149999999999991</v>
      </c>
      <c r="E22" s="153"/>
    </row>
    <row r="23" spans="1:5" ht="15.75">
      <c r="A23" s="174" t="s">
        <v>48</v>
      </c>
      <c r="B23" s="141"/>
      <c r="C23" s="108"/>
      <c r="D23" s="180">
        <v>16.332000000000001</v>
      </c>
      <c r="E23" s="153"/>
    </row>
    <row r="24" spans="1:5" ht="15.75">
      <c r="A24" s="174" t="str">
        <f>IF(inputPrYr!B19&gt;" ",(inputPrYr!B19)," ")</f>
        <v>Library</v>
      </c>
      <c r="B24" s="141"/>
      <c r="C24" s="108"/>
      <c r="D24" s="180">
        <v>5.601</v>
      </c>
      <c r="E24" s="153"/>
    </row>
    <row r="25" spans="1:5" ht="15.75">
      <c r="A25" s="174" t="str">
        <f>IF(inputPrYr!B21&gt;" ",(inputPrYr!B21)," ")</f>
        <v>Industrial</v>
      </c>
      <c r="B25" s="141"/>
      <c r="C25" s="108"/>
      <c r="D25" s="180">
        <v>0</v>
      </c>
      <c r="E25" s="153"/>
    </row>
    <row r="26" spans="1:5" ht="15.75">
      <c r="A26" s="174" t="str">
        <f>IF(inputPrYr!B22&gt;" ",(inputPrYr!B22)," ")</f>
        <v>Recreation</v>
      </c>
      <c r="B26" s="141"/>
      <c r="C26" s="108"/>
      <c r="D26" s="180">
        <v>1.6559999999999999</v>
      </c>
      <c r="E26" s="153"/>
    </row>
    <row r="27" spans="1:5" ht="15.75">
      <c r="A27" s="174" t="str">
        <f>IF(inputPrYr!B23&gt;" ",(inputPrYr!B23)," ")</f>
        <v>Employee Benefits</v>
      </c>
      <c r="B27" s="181"/>
      <c r="C27" s="108"/>
      <c r="D27" s="182">
        <v>14.256</v>
      </c>
      <c r="E27" s="153"/>
    </row>
    <row r="28" spans="1:5" ht="15.75">
      <c r="A28" s="174" t="str">
        <f>IF(inputPrYr!B24&gt;" ",(inputPrYr!B24)," ")</f>
        <v xml:space="preserve"> </v>
      </c>
      <c r="B28" s="181"/>
      <c r="C28" s="108"/>
      <c r="D28" s="182"/>
      <c r="E28" s="153"/>
    </row>
    <row r="29" spans="1:5" ht="15.75">
      <c r="A29" s="174" t="str">
        <f>IF(inputPrYr!B25&gt;" ",(inputPrYr!B25)," ")</f>
        <v xml:space="preserve"> </v>
      </c>
      <c r="B29" s="181"/>
      <c r="C29" s="108"/>
      <c r="D29" s="182"/>
      <c r="E29" s="153"/>
    </row>
    <row r="30" spans="1:5" ht="15.75">
      <c r="A30" s="174" t="str">
        <f>IF(inputPrYr!B26&gt;" ",(inputPrYr!B26)," ")</f>
        <v xml:space="preserve"> </v>
      </c>
      <c r="B30" s="181"/>
      <c r="C30" s="108"/>
      <c r="D30" s="182"/>
      <c r="E30" s="153"/>
    </row>
    <row r="31" spans="1:5" ht="15.75">
      <c r="A31" s="174" t="str">
        <f>IF(inputPrYr!B27&gt;" ",(inputPrYr!B27)," ")</f>
        <v xml:space="preserve"> </v>
      </c>
      <c r="B31" s="181"/>
      <c r="C31" s="108"/>
      <c r="D31" s="182"/>
      <c r="E31" s="153"/>
    </row>
    <row r="32" spans="1:5" ht="15.75">
      <c r="A32" s="174" t="str">
        <f>IF(inputPrYr!B28&gt;" ",(inputPrYr!B28)," ")</f>
        <v xml:space="preserve"> </v>
      </c>
      <c r="B32" s="181"/>
      <c r="C32" s="108"/>
      <c r="D32" s="182"/>
      <c r="E32" s="153"/>
    </row>
    <row r="33" spans="1:5" ht="15.75">
      <c r="A33" s="174" t="str">
        <f>IF(inputPrYr!B29&gt;" ",(inputPrYr!B29)," ")</f>
        <v xml:space="preserve"> </v>
      </c>
      <c r="B33" s="181"/>
      <c r="C33" s="108"/>
      <c r="D33" s="182"/>
      <c r="E33" s="153"/>
    </row>
    <row r="34" spans="1:5" ht="15.75">
      <c r="A34" s="174" t="str">
        <f>IF(inputPrYr!B30&gt;" ",(inputPrYr!B30)," ")</f>
        <v xml:space="preserve"> </v>
      </c>
      <c r="B34" s="181"/>
      <c r="C34" s="108"/>
      <c r="D34" s="182"/>
      <c r="E34" s="153"/>
    </row>
    <row r="35" spans="1:5" ht="15.75">
      <c r="A35" s="184"/>
      <c r="B35" s="181"/>
      <c r="C35" s="339" t="s">
        <v>77</v>
      </c>
      <c r="D35" s="750">
        <f>SUM(D22:D34)</f>
        <v>47.76</v>
      </c>
      <c r="E35" s="183"/>
    </row>
    <row r="36" spans="1:5">
      <c r="A36" s="183"/>
      <c r="B36" s="184"/>
      <c r="C36" s="183"/>
      <c r="D36" s="183"/>
      <c r="E36" s="183"/>
    </row>
    <row r="37" spans="1:5" ht="15.75">
      <c r="A37" s="117" t="str">
        <f>CONCATENATE("Final Assessed Valuation from the November 1, ",E1-2," Abstract")</f>
        <v>Final Assessed Valuation from the November 1, 2012 Abstract</v>
      </c>
      <c r="B37" s="186"/>
      <c r="C37" s="186"/>
      <c r="D37" s="186"/>
      <c r="E37" s="171">
        <v>20511061</v>
      </c>
    </row>
    <row r="38" spans="1:5">
      <c r="A38" s="183"/>
      <c r="B38" s="183"/>
      <c r="C38" s="183"/>
      <c r="D38" s="183"/>
      <c r="E38" s="183"/>
    </row>
    <row r="39" spans="1:5" ht="15.75">
      <c r="A39" s="187" t="str">
        <f>CONCATENATE("From the County Treasurer's Budget Information - ",E1," Budget Year Estimates:")</f>
        <v>From the County Treasurer's Budget Information - 2014 Budget Year Estimates:</v>
      </c>
      <c r="B39" s="130"/>
      <c r="C39" s="130"/>
      <c r="D39" s="188"/>
      <c r="E39" s="165"/>
    </row>
    <row r="40" spans="1:5" ht="15.75">
      <c r="A40" s="140" t="s">
        <v>78</v>
      </c>
      <c r="B40" s="117"/>
      <c r="C40" s="117"/>
      <c r="D40" s="189"/>
      <c r="E40" s="137">
        <v>124158</v>
      </c>
    </row>
    <row r="41" spans="1:5" ht="15.75">
      <c r="A41" s="174" t="s">
        <v>79</v>
      </c>
      <c r="B41" s="141"/>
      <c r="C41" s="141"/>
      <c r="D41" s="190"/>
      <c r="E41" s="137">
        <v>1706</v>
      </c>
    </row>
    <row r="42" spans="1:5" ht="15.75">
      <c r="A42" s="174" t="s">
        <v>264</v>
      </c>
      <c r="B42" s="141"/>
      <c r="C42" s="141"/>
      <c r="D42" s="190"/>
      <c r="E42" s="137">
        <v>2023</v>
      </c>
    </row>
    <row r="43" spans="1:5" ht="15.75">
      <c r="A43" s="174" t="s">
        <v>265</v>
      </c>
      <c r="B43" s="141"/>
      <c r="C43" s="141"/>
      <c r="D43" s="190"/>
      <c r="E43" s="137"/>
    </row>
    <row r="44" spans="1:5" ht="15.75">
      <c r="A44" s="174" t="s">
        <v>266</v>
      </c>
      <c r="B44" s="141"/>
      <c r="C44" s="141"/>
      <c r="D44" s="190"/>
      <c r="E44" s="137"/>
    </row>
    <row r="45" spans="1:5" ht="15.75">
      <c r="A45" s="85" t="s">
        <v>267</v>
      </c>
      <c r="B45" s="85"/>
      <c r="C45" s="85"/>
      <c r="D45" s="85"/>
      <c r="E45" s="85"/>
    </row>
    <row r="46" spans="1:5" ht="15.75">
      <c r="A46" s="122" t="s">
        <v>99</v>
      </c>
      <c r="B46" s="88"/>
      <c r="C46" s="88"/>
      <c r="D46" s="85"/>
      <c r="E46" s="85"/>
    </row>
    <row r="47" spans="1:5" ht="15.75">
      <c r="A47" s="851" t="str">
        <f>CONCATENATE("Actual Delinquency for ",E1-3," Taxes - (rate .01213 = 1.213%, key in 1.2)")</f>
        <v>Actual Delinquency for 2011 Taxes - (rate .01213 = 1.213%, key in 1.2)</v>
      </c>
      <c r="B47" s="852"/>
      <c r="C47" s="852"/>
      <c r="D47" s="853"/>
      <c r="E47" s="737">
        <v>2.5000000000000001E-2</v>
      </c>
    </row>
    <row r="48" spans="1:5" ht="15.75">
      <c r="A48" s="140" t="s">
        <v>931</v>
      </c>
      <c r="B48" s="140"/>
      <c r="C48" s="117"/>
      <c r="D48" s="117"/>
      <c r="E48" s="751">
        <v>2.5000000000000001E-2</v>
      </c>
    </row>
    <row r="49" spans="1:5" ht="15.75">
      <c r="A49" s="85"/>
      <c r="B49" s="85"/>
      <c r="C49" s="85"/>
      <c r="D49" s="85"/>
      <c r="E49" s="85"/>
    </row>
    <row r="50" spans="1:5" ht="15.75">
      <c r="A50" s="191" t="s">
        <v>4</v>
      </c>
      <c r="B50" s="192"/>
      <c r="C50" s="193"/>
      <c r="D50" s="193"/>
      <c r="E50" s="193"/>
    </row>
    <row r="51" spans="1:5" ht="15.75">
      <c r="A51" s="194" t="str">
        <f>CONCATENATE("",E1," State Distribution for Kansas Gas Tax")</f>
        <v>2014 State Distribution for Kansas Gas Tax</v>
      </c>
      <c r="B51" s="195"/>
      <c r="C51" s="195"/>
      <c r="D51" s="196"/>
      <c r="E51" s="171">
        <v>82870</v>
      </c>
    </row>
    <row r="52" spans="1:5" ht="15.75">
      <c r="A52" s="197" t="str">
        <f>CONCATENATE("",E1," County Transfers for Gas**")</f>
        <v>2014 County Transfers for Gas**</v>
      </c>
      <c r="B52" s="198"/>
      <c r="C52" s="198"/>
      <c r="D52" s="199"/>
      <c r="E52" s="171">
        <v>0</v>
      </c>
    </row>
    <row r="53" spans="1:5" ht="15.75">
      <c r="A53" s="197" t="str">
        <f>CONCATENATE("Adjusted ",E1-1," State Distribution for Kansas Gas Tax")</f>
        <v>Adjusted 2013 State Distribution for Kansas Gas Tax</v>
      </c>
      <c r="B53" s="198"/>
      <c r="C53" s="198"/>
      <c r="D53" s="199"/>
      <c r="E53" s="171">
        <v>82870</v>
      </c>
    </row>
    <row r="54" spans="1:5" ht="15.75">
      <c r="A54" s="197" t="str">
        <f>CONCATENATE("Adjusted ",E1-1," County Transfers for Gas**")</f>
        <v>Adjusted 2013 County Transfers for Gas**</v>
      </c>
      <c r="B54" s="198"/>
      <c r="C54" s="198"/>
      <c r="D54" s="199"/>
      <c r="E54" s="171"/>
    </row>
    <row r="55" spans="1:5">
      <c r="A55" s="847" t="s">
        <v>324</v>
      </c>
      <c r="B55" s="848"/>
      <c r="C55" s="848"/>
      <c r="D55" s="848"/>
      <c r="E55" s="848"/>
    </row>
    <row r="56" spans="1:5">
      <c r="A56" s="200" t="s">
        <v>325</v>
      </c>
      <c r="B56" s="200"/>
      <c r="C56" s="200"/>
      <c r="D56" s="200"/>
      <c r="E56" s="200"/>
    </row>
    <row r="57" spans="1:5">
      <c r="A57" s="138"/>
      <c r="B57" s="138"/>
      <c r="C57" s="138"/>
      <c r="D57" s="138"/>
      <c r="E57" s="138"/>
    </row>
    <row r="58" spans="1:5" ht="15.75">
      <c r="A58" s="849" t="str">
        <f>CONCATENATE("From the ",E1-2," Budget Certificate Page")</f>
        <v>From the 2012 Budget Certificate Page</v>
      </c>
      <c r="B58" s="850"/>
      <c r="C58" s="138"/>
      <c r="D58" s="138"/>
      <c r="E58" s="138"/>
    </row>
    <row r="59" spans="1:5" ht="15.75">
      <c r="A59" s="201"/>
      <c r="B59" s="201" t="str">
        <f>CONCATENATE("",E1-2," Expenditure Amounts")</f>
        <v>2012 Expenditure Amounts</v>
      </c>
      <c r="C59" s="843" t="str">
        <f>CONCATENATE("Note: If the ",E1-2," budget was amended, then the")</f>
        <v>Note: If the 2012 budget was amended, then the</v>
      </c>
      <c r="D59" s="844"/>
      <c r="E59" s="844"/>
    </row>
    <row r="60" spans="1:5" ht="15.75">
      <c r="A60" s="202" t="s">
        <v>7</v>
      </c>
      <c r="B60" s="202" t="s">
        <v>8</v>
      </c>
      <c r="C60" s="203" t="s">
        <v>9</v>
      </c>
      <c r="D60" s="204"/>
      <c r="E60" s="204"/>
    </row>
    <row r="61" spans="1:5" ht="15.75">
      <c r="A61" s="205" t="str">
        <f>inputPrYr!B17</f>
        <v>General</v>
      </c>
      <c r="B61" s="171">
        <v>1709963</v>
      </c>
      <c r="C61" s="203" t="s">
        <v>10</v>
      </c>
      <c r="D61" s="204"/>
      <c r="E61" s="204"/>
    </row>
    <row r="62" spans="1:5" ht="15.75">
      <c r="A62" s="205" t="str">
        <f>inputPrYr!B18</f>
        <v>Debt Service</v>
      </c>
      <c r="B62" s="171">
        <v>853790</v>
      </c>
      <c r="C62" s="203"/>
      <c r="D62" s="204"/>
      <c r="E62" s="204"/>
    </row>
    <row r="63" spans="1:5" ht="15.75">
      <c r="A63" s="205" t="str">
        <f>inputPrYr!B19</f>
        <v>Library</v>
      </c>
      <c r="B63" s="171">
        <v>127918</v>
      </c>
      <c r="C63" s="138"/>
      <c r="D63" s="138"/>
      <c r="E63" s="138"/>
    </row>
    <row r="64" spans="1:5" ht="15.75">
      <c r="A64" s="205" t="str">
        <f>inputPrYr!B21</f>
        <v>Industrial</v>
      </c>
      <c r="B64" s="171">
        <v>205285</v>
      </c>
      <c r="C64" s="138"/>
      <c r="D64" s="138"/>
      <c r="E64" s="138"/>
    </row>
    <row r="65" spans="1:5" ht="15.75">
      <c r="A65" s="205" t="str">
        <f>inputPrYr!B22</f>
        <v>Recreation</v>
      </c>
      <c r="B65" s="171">
        <v>50475</v>
      </c>
      <c r="C65" s="138"/>
      <c r="D65" s="138"/>
      <c r="E65" s="138"/>
    </row>
    <row r="66" spans="1:5" ht="15.75">
      <c r="A66" s="205" t="str">
        <f>inputPrYr!B23</f>
        <v>Employee Benefits</v>
      </c>
      <c r="B66" s="171">
        <v>465200</v>
      </c>
      <c r="C66" s="138"/>
      <c r="D66" s="138"/>
      <c r="E66" s="138"/>
    </row>
    <row r="67" spans="1:5" ht="15.75">
      <c r="A67" s="205">
        <f>inputPrYr!B24</f>
        <v>0</v>
      </c>
      <c r="B67" s="171"/>
      <c r="C67" s="138"/>
      <c r="D67" s="138"/>
      <c r="E67" s="138"/>
    </row>
    <row r="68" spans="1:5" ht="15.75">
      <c r="A68" s="205">
        <f>inputPrYr!B25</f>
        <v>0</v>
      </c>
      <c r="B68" s="171"/>
      <c r="C68" s="138"/>
      <c r="D68" s="138"/>
      <c r="E68" s="138"/>
    </row>
    <row r="69" spans="1:5" ht="15.75">
      <c r="A69" s="205">
        <f>inputPrYr!B26</f>
        <v>0</v>
      </c>
      <c r="B69" s="171"/>
      <c r="C69" s="138"/>
      <c r="D69" s="138"/>
      <c r="E69" s="138"/>
    </row>
    <row r="70" spans="1:5" ht="15.75">
      <c r="A70" s="205">
        <f>inputPrYr!B27</f>
        <v>0</v>
      </c>
      <c r="B70" s="171"/>
      <c r="C70" s="138"/>
      <c r="D70" s="138"/>
      <c r="E70" s="138"/>
    </row>
    <row r="71" spans="1:5" ht="15.75">
      <c r="A71" s="205">
        <f>inputPrYr!B28</f>
        <v>0</v>
      </c>
      <c r="B71" s="171"/>
      <c r="C71" s="138"/>
      <c r="D71" s="138"/>
      <c r="E71" s="138"/>
    </row>
    <row r="72" spans="1:5" ht="15.75">
      <c r="A72" s="205">
        <f>inputPrYr!B29</f>
        <v>0</v>
      </c>
      <c r="B72" s="171"/>
      <c r="C72" s="138"/>
      <c r="D72" s="138"/>
      <c r="E72" s="138"/>
    </row>
    <row r="73" spans="1:5" ht="15.75">
      <c r="A73" s="205">
        <f>inputPrYr!B30</f>
        <v>0</v>
      </c>
      <c r="B73" s="171"/>
      <c r="C73" s="138"/>
      <c r="D73" s="138"/>
      <c r="E73" s="138"/>
    </row>
    <row r="74" spans="1:5" ht="15.75">
      <c r="A74" s="205" t="str">
        <f>inputPrYr!B34</f>
        <v>Special Highway</v>
      </c>
      <c r="B74" s="171">
        <v>901475</v>
      </c>
      <c r="C74" s="138"/>
      <c r="D74" s="138"/>
      <c r="E74" s="138"/>
    </row>
    <row r="75" spans="1:5" ht="15.75">
      <c r="A75" s="205" t="str">
        <f>inputPrYr!B35</f>
        <v>TIF</v>
      </c>
      <c r="B75" s="171"/>
      <c r="C75" s="138"/>
      <c r="D75" s="138"/>
      <c r="E75" s="138"/>
    </row>
    <row r="76" spans="1:5" ht="15.75">
      <c r="A76" s="205" t="str">
        <f>inputPrYr!B36</f>
        <v>Parks and Recreation</v>
      </c>
      <c r="B76" s="171">
        <v>15000</v>
      </c>
      <c r="C76" s="138"/>
      <c r="D76" s="138"/>
      <c r="E76" s="138"/>
    </row>
    <row r="77" spans="1:5" ht="15.75">
      <c r="A77" s="205" t="str">
        <f>inputPrYr!B37</f>
        <v>Pool</v>
      </c>
      <c r="B77" s="171">
        <v>127375</v>
      </c>
      <c r="C77" s="138"/>
      <c r="D77" s="138"/>
      <c r="E77" s="138"/>
    </row>
    <row r="78" spans="1:5" ht="15.75">
      <c r="A78" s="205" t="str">
        <f>inputPrYr!B38</f>
        <v>Water</v>
      </c>
      <c r="B78" s="171">
        <v>869057</v>
      </c>
      <c r="C78" s="138"/>
      <c r="D78" s="138"/>
      <c r="E78" s="138"/>
    </row>
    <row r="79" spans="1:5" ht="15.75">
      <c r="A79" s="205" t="str">
        <f>inputPrYr!B39</f>
        <v>Sewer</v>
      </c>
      <c r="B79" s="171">
        <v>767410</v>
      </c>
      <c r="C79" s="138"/>
      <c r="D79" s="138"/>
      <c r="E79" s="138"/>
    </row>
    <row r="80" spans="1:5" ht="15.75">
      <c r="A80" s="205" t="str">
        <f>inputPrYr!B40</f>
        <v>Airport</v>
      </c>
      <c r="B80" s="171">
        <v>30500</v>
      </c>
      <c r="C80" s="138"/>
      <c r="D80" s="138"/>
      <c r="E80" s="138"/>
    </row>
    <row r="81" spans="1:5" ht="15.75">
      <c r="A81" s="205" t="str">
        <f>inputPrYr!B41</f>
        <v>Post Lantern St Light Proj</v>
      </c>
      <c r="B81" s="171">
        <v>127205</v>
      </c>
      <c r="C81" s="138"/>
      <c r="D81" s="138"/>
      <c r="E81" s="138"/>
    </row>
    <row r="82" spans="1:5" ht="15.75">
      <c r="A82" s="205" t="str">
        <f>inputPrYr!B42</f>
        <v>Storm Water Utility</v>
      </c>
      <c r="B82" s="171">
        <v>118000</v>
      </c>
      <c r="C82" s="138"/>
      <c r="D82" s="138"/>
      <c r="E82" s="138"/>
    </row>
    <row r="83" spans="1:5" ht="15.75">
      <c r="A83" s="205">
        <f>inputPrYr!B43</f>
        <v>0</v>
      </c>
      <c r="B83" s="171"/>
      <c r="C83" s="138"/>
      <c r="D83" s="138"/>
      <c r="E83" s="138"/>
    </row>
    <row r="84" spans="1:5" ht="15.75">
      <c r="A84" s="205">
        <f>inputPrYr!B44</f>
        <v>0</v>
      </c>
      <c r="B84" s="171"/>
      <c r="C84" s="138"/>
      <c r="D84" s="138"/>
      <c r="E84" s="138"/>
    </row>
    <row r="85" spans="1:5" ht="15.75">
      <c r="A85" s="205">
        <f>inputPrYr!B45</f>
        <v>0</v>
      </c>
      <c r="B85" s="171"/>
      <c r="C85" s="138"/>
      <c r="D85" s="138"/>
      <c r="E85" s="138"/>
    </row>
    <row r="86" spans="1:5" ht="15.75">
      <c r="A86" s="205">
        <f>inputPrYr!B47</f>
        <v>0</v>
      </c>
      <c r="B86" s="171"/>
      <c r="C86" s="138"/>
      <c r="D86" s="138"/>
      <c r="E86" s="138"/>
    </row>
    <row r="87" spans="1:5" ht="15.75">
      <c r="A87" s="205">
        <f>inputPrYr!B48</f>
        <v>0</v>
      </c>
      <c r="B87" s="171"/>
      <c r="C87" s="138"/>
      <c r="D87" s="138"/>
      <c r="E87" s="138"/>
    </row>
    <row r="88" spans="1:5" ht="15.75">
      <c r="A88" s="205">
        <f>inputPrYr!B49</f>
        <v>0</v>
      </c>
      <c r="B88" s="171"/>
      <c r="C88" s="138"/>
      <c r="D88" s="138"/>
      <c r="E88" s="138"/>
    </row>
    <row r="89" spans="1:5" ht="15.75">
      <c r="A89" s="205">
        <f>inputPrYr!B50</f>
        <v>0</v>
      </c>
      <c r="B89" s="171"/>
      <c r="C89" s="138"/>
      <c r="D89" s="138"/>
      <c r="E89" s="138"/>
    </row>
  </sheetData>
  <sheetProtection sheet="1"/>
  <mergeCells count="6">
    <mergeCell ref="C59:E59"/>
    <mergeCell ref="A21:B21"/>
    <mergeCell ref="A55:E55"/>
    <mergeCell ref="A3:E3"/>
    <mergeCell ref="A58:B58"/>
    <mergeCell ref="A47:D47"/>
  </mergeCells>
  <phoneticPr fontId="9"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workbookViewId="0">
      <selection activeCell="C13" sqref="C13:E13"/>
    </sheetView>
  </sheetViews>
  <sheetFormatPr defaultColWidth="8.88671875" defaultRowHeight="15"/>
  <cols>
    <col min="1" max="1" width="2.44140625" style="47" customWidth="1"/>
    <col min="2" max="2" width="31.109375" style="47" customWidth="1"/>
    <col min="3" max="4" width="15.77734375" style="47" customWidth="1"/>
    <col min="5" max="5" width="16.5546875" style="47" customWidth="1"/>
    <col min="6" max="16384" width="8.88671875" style="47"/>
  </cols>
  <sheetData>
    <row r="1" spans="2:5" ht="15.75">
      <c r="B1" s="105" t="str">
        <f>(inputPrYr!D2)</f>
        <v>City of Hiawatha</v>
      </c>
      <c r="C1" s="85"/>
      <c r="D1" s="85"/>
      <c r="E1" s="317">
        <f>inputPrYr!$C$5</f>
        <v>2014</v>
      </c>
    </row>
    <row r="2" spans="2:5" ht="15.75">
      <c r="B2" s="85"/>
      <c r="C2" s="85"/>
      <c r="D2" s="85"/>
      <c r="E2" s="118"/>
    </row>
    <row r="3" spans="2:5" ht="15.75">
      <c r="B3" s="318" t="s">
        <v>174</v>
      </c>
      <c r="C3" s="319"/>
      <c r="D3" s="319"/>
      <c r="E3" s="320"/>
    </row>
    <row r="4" spans="2:5" ht="15.75">
      <c r="B4" s="103" t="s">
        <v>105</v>
      </c>
      <c r="C4" s="321" t="s">
        <v>848</v>
      </c>
      <c r="D4" s="322" t="s">
        <v>849</v>
      </c>
      <c r="E4" s="96" t="s">
        <v>850</v>
      </c>
    </row>
    <row r="5" spans="2:5" ht="15.75">
      <c r="B5" s="560">
        <f>(inputPrYr!B50)</f>
        <v>0</v>
      </c>
      <c r="C5" s="323" t="str">
        <f>CONCATENATE("Actual for ",E1-2,"")</f>
        <v>Actual for 2012</v>
      </c>
      <c r="D5" s="323" t="str">
        <f>CONCATENATE("Estimate for ",E1-1,"")</f>
        <v>Estimate for 2013</v>
      </c>
      <c r="E5" s="324" t="str">
        <f>CONCATENATE("Year for ",E1,"")</f>
        <v>Year for 2014</v>
      </c>
    </row>
    <row r="6" spans="2:5" ht="15.75">
      <c r="B6" s="177" t="s">
        <v>228</v>
      </c>
      <c r="C6" s="325"/>
      <c r="D6" s="326">
        <f>C48</f>
        <v>0</v>
      </c>
      <c r="E6" s="327">
        <f>D48</f>
        <v>0</v>
      </c>
    </row>
    <row r="7" spans="2:5" ht="15.75">
      <c r="B7" s="328" t="s">
        <v>230</v>
      </c>
      <c r="C7" s="217"/>
      <c r="D7" s="217"/>
      <c r="E7" s="100"/>
    </row>
    <row r="8" spans="2:5" ht="15.75">
      <c r="B8" s="329"/>
      <c r="C8" s="325"/>
      <c r="D8" s="325"/>
      <c r="E8" s="330"/>
    </row>
    <row r="9" spans="2:5" ht="15.75">
      <c r="B9" s="329"/>
      <c r="C9" s="325"/>
      <c r="D9" s="325"/>
      <c r="E9" s="330"/>
    </row>
    <row r="10" spans="2:5" ht="15.75">
      <c r="B10" s="329"/>
      <c r="C10" s="325"/>
      <c r="D10" s="325"/>
      <c r="E10" s="330"/>
    </row>
    <row r="11" spans="2:5" ht="15.75">
      <c r="B11" s="329"/>
      <c r="C11" s="325"/>
      <c r="D11" s="325"/>
      <c r="E11" s="330"/>
    </row>
    <row r="12" spans="2:5" ht="15.75">
      <c r="B12" s="329"/>
      <c r="C12" s="325"/>
      <c r="D12" s="325"/>
      <c r="E12" s="330"/>
    </row>
    <row r="13" spans="2:5" ht="15.75">
      <c r="B13" s="329"/>
      <c r="C13" s="325"/>
      <c r="D13" s="325"/>
      <c r="E13" s="330"/>
    </row>
    <row r="14" spans="2:5" ht="15.75">
      <c r="B14" s="331"/>
      <c r="C14" s="325"/>
      <c r="D14" s="325"/>
      <c r="E14" s="175"/>
    </row>
    <row r="15" spans="2:5" ht="15.75">
      <c r="B15" s="329"/>
      <c r="C15" s="325"/>
      <c r="D15" s="325"/>
      <c r="E15" s="330"/>
    </row>
    <row r="16" spans="2:5" ht="15.75">
      <c r="B16" s="332" t="s">
        <v>113</v>
      </c>
      <c r="C16" s="325"/>
      <c r="D16" s="325"/>
      <c r="E16" s="330"/>
    </row>
    <row r="17" spans="2:5" ht="15.75">
      <c r="B17" s="217" t="s">
        <v>14</v>
      </c>
      <c r="C17" s="325"/>
      <c r="D17" s="325"/>
      <c r="E17" s="330"/>
    </row>
    <row r="18" spans="2:5" ht="15.75">
      <c r="B18" s="274" t="s">
        <v>774</v>
      </c>
      <c r="C18" s="333" t="str">
        <f>IF(C19*0.1&lt;C17,"Exceed 10% Rule","")</f>
        <v/>
      </c>
      <c r="D18" s="333" t="str">
        <f>IF(D19*0.1&lt;D17,"Exceed 10% Rule","")</f>
        <v/>
      </c>
      <c r="E18" s="340" t="str">
        <f>IF(E19*0.1&lt;E17,"Exceed 10% Rule","")</f>
        <v/>
      </c>
    </row>
    <row r="19" spans="2:5" ht="15.75">
      <c r="B19" s="335" t="s">
        <v>114</v>
      </c>
      <c r="C19" s="337">
        <f>SUM(C8:C17)</f>
        <v>0</v>
      </c>
      <c r="D19" s="337">
        <f>SUM(D8:D17)</f>
        <v>0</v>
      </c>
      <c r="E19" s="338">
        <f>SUM(E8:E17)</f>
        <v>0</v>
      </c>
    </row>
    <row r="20" spans="2:5" ht="15.75">
      <c r="B20" s="335" t="s">
        <v>115</v>
      </c>
      <c r="C20" s="337">
        <f>C6+C19</f>
        <v>0</v>
      </c>
      <c r="D20" s="337">
        <f>D6+D19</f>
        <v>0</v>
      </c>
      <c r="E20" s="338">
        <f>E6+E19</f>
        <v>0</v>
      </c>
    </row>
    <row r="21" spans="2:5" ht="15.75">
      <c r="B21" s="177" t="s">
        <v>117</v>
      </c>
      <c r="C21" s="217"/>
      <c r="D21" s="217"/>
      <c r="E21" s="100"/>
    </row>
    <row r="22" spans="2:5" ht="15.75">
      <c r="B22" s="329" t="s">
        <v>275</v>
      </c>
      <c r="C22" s="325"/>
      <c r="D22" s="325"/>
      <c r="E22" s="330"/>
    </row>
    <row r="23" spans="2:5" ht="15.75">
      <c r="B23" s="329" t="s">
        <v>25</v>
      </c>
      <c r="C23" s="325"/>
      <c r="D23" s="325"/>
      <c r="E23" s="330"/>
    </row>
    <row r="24" spans="2:5" ht="15.75">
      <c r="B24" s="329"/>
      <c r="C24" s="325"/>
      <c r="D24" s="325"/>
      <c r="E24" s="175"/>
    </row>
    <row r="25" spans="2:5" ht="15.75">
      <c r="B25" s="329"/>
      <c r="C25" s="325"/>
      <c r="D25" s="325"/>
      <c r="E25" s="175"/>
    </row>
    <row r="26" spans="2:5" ht="15.75">
      <c r="B26" s="329"/>
      <c r="C26" s="325"/>
      <c r="D26" s="325"/>
      <c r="E26" s="175"/>
    </row>
    <row r="27" spans="2:5" ht="15.75">
      <c r="B27" s="329"/>
      <c r="C27" s="325"/>
      <c r="D27" s="325"/>
      <c r="E27" s="175"/>
    </row>
    <row r="28" spans="2:5" ht="15.75">
      <c r="B28" s="329"/>
      <c r="C28" s="325"/>
      <c r="D28" s="325"/>
      <c r="E28" s="175"/>
    </row>
    <row r="29" spans="2:5" ht="15.75">
      <c r="B29" s="329"/>
      <c r="C29" s="325"/>
      <c r="D29" s="325"/>
      <c r="E29" s="175"/>
    </row>
    <row r="30" spans="2:5" ht="15.75">
      <c r="B30" s="329"/>
      <c r="C30" s="325"/>
      <c r="D30" s="325"/>
      <c r="E30" s="175"/>
    </row>
    <row r="31" spans="2:5" ht="15.75">
      <c r="B31" s="329"/>
      <c r="C31" s="325"/>
      <c r="D31" s="325"/>
      <c r="E31" s="175"/>
    </row>
    <row r="32" spans="2:5" ht="15.75">
      <c r="B32" s="329"/>
      <c r="C32" s="325"/>
      <c r="D32" s="325"/>
      <c r="E32" s="175"/>
    </row>
    <row r="33" spans="2:5" ht="15.75">
      <c r="B33" s="329"/>
      <c r="C33" s="325"/>
      <c r="D33" s="325"/>
      <c r="E33" s="175"/>
    </row>
    <row r="34" spans="2:5" ht="15.75">
      <c r="B34" s="329"/>
      <c r="C34" s="325"/>
      <c r="D34" s="325"/>
      <c r="E34" s="175"/>
    </row>
    <row r="35" spans="2:5" ht="15.75">
      <c r="B35" s="329"/>
      <c r="C35" s="325"/>
      <c r="D35" s="325"/>
      <c r="E35" s="330"/>
    </row>
    <row r="36" spans="2:5" ht="15.75">
      <c r="B36" s="329"/>
      <c r="C36" s="325"/>
      <c r="D36" s="325"/>
      <c r="E36" s="330"/>
    </row>
    <row r="37" spans="2:5" ht="15.75">
      <c r="B37" s="329"/>
      <c r="C37" s="325"/>
      <c r="D37" s="325"/>
      <c r="E37" s="330"/>
    </row>
    <row r="38" spans="2:5" ht="15.75">
      <c r="B38" s="329"/>
      <c r="C38" s="325"/>
      <c r="D38" s="325"/>
      <c r="E38" s="330"/>
    </row>
    <row r="39" spans="2:5" ht="15.75">
      <c r="B39" s="329"/>
      <c r="C39" s="325"/>
      <c r="D39" s="325"/>
      <c r="E39" s="330"/>
    </row>
    <row r="40" spans="2:5" ht="15.75">
      <c r="B40" s="329"/>
      <c r="C40" s="325"/>
      <c r="D40" s="325"/>
      <c r="E40" s="330"/>
    </row>
    <row r="41" spans="2:5" ht="15.75">
      <c r="B41" s="329"/>
      <c r="C41" s="325"/>
      <c r="D41" s="325"/>
      <c r="E41" s="330"/>
    </row>
    <row r="42" spans="2:5" ht="15.75">
      <c r="B42" s="329"/>
      <c r="C42" s="325"/>
      <c r="D42" s="325"/>
      <c r="E42" s="330"/>
    </row>
    <row r="43" spans="2:5" ht="15.75">
      <c r="B43" s="329"/>
      <c r="C43" s="325"/>
      <c r="D43" s="325"/>
      <c r="E43" s="330"/>
    </row>
    <row r="44" spans="2:5" ht="15.75">
      <c r="B44" s="329"/>
      <c r="C44" s="325"/>
      <c r="D44" s="325"/>
      <c r="E44" s="330"/>
    </row>
    <row r="45" spans="2:5" ht="15.75">
      <c r="B45" s="339" t="s">
        <v>14</v>
      </c>
      <c r="C45" s="325"/>
      <c r="D45" s="325"/>
      <c r="E45" s="330"/>
    </row>
    <row r="46" spans="2:5" ht="15.75">
      <c r="B46" s="339" t="s">
        <v>773</v>
      </c>
      <c r="C46" s="333" t="str">
        <f>IF(C47*0.1&lt;C45,"Exceed 10% Rule","")</f>
        <v/>
      </c>
      <c r="D46" s="333" t="str">
        <f>IF(D47*0.1&lt;D45,"Exceed 10% Rule","")</f>
        <v/>
      </c>
      <c r="E46" s="340" t="str">
        <f>IF(E47*0.1&lt;E45,"Exceed 10% Rule","")</f>
        <v/>
      </c>
    </row>
    <row r="47" spans="2:5" ht="15.75">
      <c r="B47" s="335" t="s">
        <v>121</v>
      </c>
      <c r="C47" s="337">
        <f>SUM(C22:C45)</f>
        <v>0</v>
      </c>
      <c r="D47" s="337">
        <f>SUM(D22:D45)</f>
        <v>0</v>
      </c>
      <c r="E47" s="338">
        <f>SUM(E22:E45)</f>
        <v>0</v>
      </c>
    </row>
    <row r="48" spans="2:5" ht="15.75">
      <c r="B48" s="177" t="s">
        <v>229</v>
      </c>
      <c r="C48" s="341">
        <f>C20-C47</f>
        <v>0</v>
      </c>
      <c r="D48" s="341">
        <f>D20-D47</f>
        <v>0</v>
      </c>
      <c r="E48" s="151">
        <f>E20-E47</f>
        <v>0</v>
      </c>
    </row>
    <row r="49" spans="2:5" ht="15.75">
      <c r="B49" s="119" t="str">
        <f>CONCATENATE("",E1-2,"/",E1-1," Budget Authority Amount:")</f>
        <v>2012/2013 Budget Authority Amount:</v>
      </c>
      <c r="C49" s="280">
        <f>inputOth!B89</f>
        <v>0</v>
      </c>
      <c r="D49" s="280">
        <f>inputPrYr!D50</f>
        <v>0</v>
      </c>
      <c r="E49" s="601" t="str">
        <f>IF(E48&lt;0,"See Tab E","")</f>
        <v/>
      </c>
    </row>
    <row r="50" spans="2:5" ht="15.75">
      <c r="B50" s="119"/>
      <c r="C50" s="342" t="str">
        <f>IF(C47&gt;C49,"See Tab A","")</f>
        <v/>
      </c>
      <c r="D50" s="342" t="str">
        <f>IF(D47&gt;D49,"See Tab C","")</f>
        <v/>
      </c>
      <c r="E50" s="138"/>
    </row>
    <row r="51" spans="2:5" ht="15.75">
      <c r="B51" s="119"/>
      <c r="C51" s="342" t="str">
        <f>IF(C48&lt;0,"See Tab B","")</f>
        <v/>
      </c>
      <c r="D51" s="342" t="str">
        <f>IF(D48&lt;0,"See Tab D","")</f>
        <v/>
      </c>
      <c r="E51" s="138"/>
    </row>
    <row r="52" spans="2:5">
      <c r="B52" s="138"/>
      <c r="C52" s="138"/>
      <c r="D52" s="138"/>
      <c r="E52" s="138"/>
    </row>
    <row r="53" spans="2:5" ht="15.75">
      <c r="B53" s="118" t="s">
        <v>116</v>
      </c>
      <c r="C53" s="120"/>
      <c r="D53" s="138"/>
      <c r="E53" s="138"/>
    </row>
  </sheetData>
  <sheetProtection sheet="1"/>
  <phoneticPr fontId="9" type="noConversion"/>
  <conditionalFormatting sqref="E17">
    <cfRule type="cellIs" dxfId="9" priority="4" stopIfTrue="1" operator="greaterThan">
      <formula>$E$19*0.1</formula>
    </cfRule>
  </conditionalFormatting>
  <conditionalFormatting sqref="E45">
    <cfRule type="cellIs" dxfId="8" priority="5" stopIfTrue="1" operator="greaterThan">
      <formula>$E$47*0.1</formula>
    </cfRule>
  </conditionalFormatting>
  <conditionalFormatting sqref="E48 C48">
    <cfRule type="cellIs" dxfId="7" priority="6" stopIfTrue="1" operator="lessThan">
      <formula>0</formula>
    </cfRule>
  </conditionalFormatting>
  <conditionalFormatting sqref="D45">
    <cfRule type="cellIs" dxfId="6" priority="7" stopIfTrue="1" operator="greaterThan">
      <formula>$D$47*0.1</formula>
    </cfRule>
  </conditionalFormatting>
  <conditionalFormatting sqref="C45">
    <cfRule type="cellIs" dxfId="5" priority="8" stopIfTrue="1" operator="greaterThan">
      <formula>$C$47*0.1</formula>
    </cfRule>
  </conditionalFormatting>
  <conditionalFormatting sqref="D47">
    <cfRule type="cellIs" dxfId="4" priority="9" stopIfTrue="1" operator="greaterThan">
      <formula>$D$49</formula>
    </cfRule>
  </conditionalFormatting>
  <conditionalFormatting sqref="C47">
    <cfRule type="cellIs" dxfId="3" priority="10" stopIfTrue="1" operator="greaterThan">
      <formula>$C$49</formula>
    </cfRule>
  </conditionalFormatting>
  <conditionalFormatting sqref="D48">
    <cfRule type="cellIs" dxfId="2" priority="3" stopIfTrue="1" operator="lessThan">
      <formula>0</formula>
    </cfRule>
  </conditionalFormatting>
  <conditionalFormatting sqref="D17">
    <cfRule type="cellIs" dxfId="1" priority="2" stopIfTrue="1" operator="greaterThan">
      <formula>$D$19*0.1</formula>
    </cfRule>
  </conditionalFormatting>
  <conditionalFormatting sqref="C17">
    <cfRule type="cellIs" dxfId="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workbookViewId="0">
      <selection activeCell="B22" sqref="B22:J22"/>
    </sheetView>
  </sheetViews>
  <sheetFormatPr defaultColWidth="8.88671875" defaultRowHeight="15.75"/>
  <cols>
    <col min="1" max="1" width="11.5546875" style="62" customWidth="1"/>
    <col min="2" max="2" width="7.44140625" style="62" customWidth="1"/>
    <col min="3" max="3" width="11.5546875" style="62" customWidth="1"/>
    <col min="4" max="4" width="7.44140625" style="62" customWidth="1"/>
    <col min="5" max="5" width="11.5546875" style="62" customWidth="1"/>
    <col min="6" max="6" width="7.44140625" style="62" customWidth="1"/>
    <col min="7" max="7" width="11.5546875" style="62" customWidth="1"/>
    <col min="8" max="8" width="7.44140625" style="62" customWidth="1"/>
    <col min="9" max="9" width="11.5546875" style="62" customWidth="1"/>
    <col min="10" max="16384" width="8.88671875" style="62"/>
  </cols>
  <sheetData>
    <row r="1" spans="1:11">
      <c r="A1" s="225" t="str">
        <f>inputPrYr!$D$2</f>
        <v>City of Hiawatha</v>
      </c>
      <c r="B1" s="290"/>
      <c r="C1" s="224"/>
      <c r="D1" s="224"/>
      <c r="E1" s="224"/>
      <c r="F1" s="226" t="s">
        <v>251</v>
      </c>
      <c r="G1" s="224"/>
      <c r="H1" s="224"/>
      <c r="I1" s="224"/>
      <c r="J1" s="224"/>
      <c r="K1" s="224">
        <f>inputPrYr!$C$5</f>
        <v>2014</v>
      </c>
    </row>
    <row r="2" spans="1:11">
      <c r="A2" s="224"/>
      <c r="B2" s="224"/>
      <c r="C2" s="224"/>
      <c r="D2" s="224"/>
      <c r="E2" s="224"/>
      <c r="F2" s="291" t="str">
        <f>CONCATENATE("(Only the actual budget year for ",K1-2," is to be shown)")</f>
        <v>(Only the actual budget year for 2012 is to be shown)</v>
      </c>
      <c r="G2" s="224"/>
      <c r="H2" s="224"/>
      <c r="I2" s="224"/>
      <c r="J2" s="224"/>
      <c r="K2" s="224"/>
    </row>
    <row r="3" spans="1:11">
      <c r="A3" s="224" t="s">
        <v>297</v>
      </c>
      <c r="B3" s="224"/>
      <c r="C3" s="224"/>
      <c r="D3" s="224"/>
      <c r="E3" s="224"/>
      <c r="F3" s="292"/>
      <c r="G3" s="224"/>
      <c r="H3" s="224"/>
      <c r="I3" s="224"/>
      <c r="J3" s="224"/>
      <c r="K3" s="224"/>
    </row>
    <row r="4" spans="1:11">
      <c r="A4" s="224" t="s">
        <v>252</v>
      </c>
      <c r="B4" s="224"/>
      <c r="C4" s="224" t="s">
        <v>253</v>
      </c>
      <c r="D4" s="224"/>
      <c r="E4" s="224" t="s">
        <v>254</v>
      </c>
      <c r="F4" s="290"/>
      <c r="G4" s="224" t="s">
        <v>255</v>
      </c>
      <c r="H4" s="224"/>
      <c r="I4" s="224" t="s">
        <v>256</v>
      </c>
      <c r="J4" s="224"/>
      <c r="K4" s="224"/>
    </row>
    <row r="5" spans="1:11">
      <c r="A5" s="901" t="str">
        <f>IF(inputPrYr!B53&gt;" ",(inputPrYr!B53)," ")</f>
        <v xml:space="preserve"> </v>
      </c>
      <c r="B5" s="902"/>
      <c r="C5" s="901" t="str">
        <f>IF(inputPrYr!B54&gt;" ",(inputPrYr!B54)," ")</f>
        <v xml:space="preserve"> </v>
      </c>
      <c r="D5" s="902"/>
      <c r="E5" s="901" t="str">
        <f>IF(inputPrYr!B55&gt;" ",(inputPrYr!B55)," ")</f>
        <v xml:space="preserve"> </v>
      </c>
      <c r="F5" s="902"/>
      <c r="G5" s="901" t="str">
        <f>IF(inputPrYr!B56&gt;" ",(inputPrYr!B56)," ")</f>
        <v xml:space="preserve"> </v>
      </c>
      <c r="H5" s="902"/>
      <c r="I5" s="901" t="str">
        <f>IF(inputPrYr!B57&gt;" ",(inputPrYr!B57)," ")</f>
        <v xml:space="preserve"> </v>
      </c>
      <c r="J5" s="902"/>
      <c r="K5" s="194"/>
    </row>
    <row r="6" spans="1:11">
      <c r="A6" s="294" t="s">
        <v>257</v>
      </c>
      <c r="B6" s="295"/>
      <c r="C6" s="296" t="s">
        <v>257</v>
      </c>
      <c r="D6" s="297"/>
      <c r="E6" s="296" t="s">
        <v>257</v>
      </c>
      <c r="F6" s="293"/>
      <c r="G6" s="296" t="s">
        <v>257</v>
      </c>
      <c r="H6" s="298"/>
      <c r="I6" s="296" t="s">
        <v>257</v>
      </c>
      <c r="J6" s="224"/>
      <c r="K6" s="299" t="s">
        <v>77</v>
      </c>
    </row>
    <row r="7" spans="1:11">
      <c r="A7" s="300" t="s">
        <v>22</v>
      </c>
      <c r="B7" s="301"/>
      <c r="C7" s="302" t="s">
        <v>22</v>
      </c>
      <c r="D7" s="301"/>
      <c r="E7" s="302" t="s">
        <v>22</v>
      </c>
      <c r="F7" s="301"/>
      <c r="G7" s="302" t="s">
        <v>22</v>
      </c>
      <c r="H7" s="301"/>
      <c r="I7" s="302" t="s">
        <v>22</v>
      </c>
      <c r="J7" s="301"/>
      <c r="K7" s="303">
        <f>SUM(B7+D7+F7+H7+J7)</f>
        <v>0</v>
      </c>
    </row>
    <row r="8" spans="1:11">
      <c r="A8" s="304" t="s">
        <v>230</v>
      </c>
      <c r="B8" s="305"/>
      <c r="C8" s="304" t="s">
        <v>230</v>
      </c>
      <c r="D8" s="306"/>
      <c r="E8" s="304" t="s">
        <v>230</v>
      </c>
      <c r="F8" s="290"/>
      <c r="G8" s="304" t="s">
        <v>230</v>
      </c>
      <c r="H8" s="224"/>
      <c r="I8" s="304" t="s">
        <v>230</v>
      </c>
      <c r="J8" s="224"/>
      <c r="K8" s="290"/>
    </row>
    <row r="9" spans="1:11">
      <c r="A9" s="307"/>
      <c r="B9" s="301"/>
      <c r="C9" s="307"/>
      <c r="D9" s="301"/>
      <c r="E9" s="307"/>
      <c r="F9" s="301"/>
      <c r="G9" s="307"/>
      <c r="H9" s="301"/>
      <c r="I9" s="307"/>
      <c r="J9" s="301"/>
      <c r="K9" s="290"/>
    </row>
    <row r="10" spans="1:11">
      <c r="A10" s="307"/>
      <c r="B10" s="301"/>
      <c r="C10" s="307"/>
      <c r="D10" s="301"/>
      <c r="E10" s="307"/>
      <c r="F10" s="301"/>
      <c r="G10" s="307"/>
      <c r="H10" s="301"/>
      <c r="I10" s="307"/>
      <c r="J10" s="301"/>
      <c r="K10" s="290"/>
    </row>
    <row r="11" spans="1:11">
      <c r="A11" s="307"/>
      <c r="B11" s="301"/>
      <c r="C11" s="308"/>
      <c r="D11" s="301"/>
      <c r="E11" s="308"/>
      <c r="F11" s="301"/>
      <c r="G11" s="308"/>
      <c r="H11" s="301"/>
      <c r="I11" s="309"/>
      <c r="J11" s="301"/>
      <c r="K11" s="290"/>
    </row>
    <row r="12" spans="1:11">
      <c r="A12" s="307"/>
      <c r="B12" s="301"/>
      <c r="C12" s="307"/>
      <c r="D12" s="301"/>
      <c r="E12" s="310"/>
      <c r="F12" s="301"/>
      <c r="G12" s="310"/>
      <c r="H12" s="301"/>
      <c r="I12" s="310"/>
      <c r="J12" s="301"/>
      <c r="K12" s="290"/>
    </row>
    <row r="13" spans="1:11">
      <c r="A13" s="311"/>
      <c r="B13" s="301"/>
      <c r="C13" s="312"/>
      <c r="D13" s="301"/>
      <c r="E13" s="312"/>
      <c r="F13" s="301"/>
      <c r="G13" s="312"/>
      <c r="H13" s="301"/>
      <c r="I13" s="309"/>
      <c r="J13" s="301"/>
      <c r="K13" s="290"/>
    </row>
    <row r="14" spans="1:11">
      <c r="A14" s="307"/>
      <c r="B14" s="301"/>
      <c r="C14" s="310"/>
      <c r="D14" s="301"/>
      <c r="E14" s="310"/>
      <c r="F14" s="301"/>
      <c r="G14" s="310"/>
      <c r="H14" s="301"/>
      <c r="I14" s="310"/>
      <c r="J14" s="301"/>
      <c r="K14" s="290"/>
    </row>
    <row r="15" spans="1:11">
      <c r="A15" s="307"/>
      <c r="B15" s="301"/>
      <c r="C15" s="310"/>
      <c r="D15" s="301"/>
      <c r="E15" s="310"/>
      <c r="F15" s="301"/>
      <c r="G15" s="310"/>
      <c r="H15" s="301"/>
      <c r="I15" s="310"/>
      <c r="J15" s="301"/>
      <c r="K15" s="290"/>
    </row>
    <row r="16" spans="1:11">
      <c r="A16" s="307"/>
      <c r="B16" s="301"/>
      <c r="C16" s="307"/>
      <c r="D16" s="301"/>
      <c r="E16" s="307"/>
      <c r="F16" s="301"/>
      <c r="G16" s="310"/>
      <c r="H16" s="301"/>
      <c r="I16" s="307"/>
      <c r="J16" s="301"/>
      <c r="K16" s="290"/>
    </row>
    <row r="17" spans="1:12">
      <c r="A17" s="304" t="s">
        <v>114</v>
      </c>
      <c r="B17" s="303">
        <f>SUM(B9:B16)</f>
        <v>0</v>
      </c>
      <c r="C17" s="304" t="s">
        <v>114</v>
      </c>
      <c r="D17" s="303">
        <f>SUM(D9:D16)</f>
        <v>0</v>
      </c>
      <c r="E17" s="304" t="s">
        <v>114</v>
      </c>
      <c r="F17" s="481">
        <f>SUM(F9:F16)</f>
        <v>0</v>
      </c>
      <c r="G17" s="304" t="s">
        <v>114</v>
      </c>
      <c r="H17" s="303">
        <f>SUM(H9:H16)</f>
        <v>0</v>
      </c>
      <c r="I17" s="304" t="s">
        <v>114</v>
      </c>
      <c r="J17" s="303">
        <f>SUM(J9:J16)</f>
        <v>0</v>
      </c>
      <c r="K17" s="303">
        <f>SUM(B17+D17+F17+H17+J17)</f>
        <v>0</v>
      </c>
    </row>
    <row r="18" spans="1:12">
      <c r="A18" s="304" t="s">
        <v>115</v>
      </c>
      <c r="B18" s="303">
        <f>SUM(B7+B17)</f>
        <v>0</v>
      </c>
      <c r="C18" s="304" t="s">
        <v>115</v>
      </c>
      <c r="D18" s="303">
        <f>SUM(D7+D17)</f>
        <v>0</v>
      </c>
      <c r="E18" s="304" t="s">
        <v>115</v>
      </c>
      <c r="F18" s="303">
        <f>SUM(F7+F17)</f>
        <v>0</v>
      </c>
      <c r="G18" s="304" t="s">
        <v>115</v>
      </c>
      <c r="H18" s="303">
        <f>SUM(H7+H17)</f>
        <v>0</v>
      </c>
      <c r="I18" s="304" t="s">
        <v>115</v>
      </c>
      <c r="J18" s="303">
        <f>SUM(J7+J17)</f>
        <v>0</v>
      </c>
      <c r="K18" s="303">
        <f>SUM(B18+D18+F18+H18+J18)</f>
        <v>0</v>
      </c>
    </row>
    <row r="19" spans="1:12">
      <c r="A19" s="304" t="s">
        <v>117</v>
      </c>
      <c r="B19" s="305"/>
      <c r="C19" s="304" t="s">
        <v>117</v>
      </c>
      <c r="D19" s="306"/>
      <c r="E19" s="304" t="s">
        <v>117</v>
      </c>
      <c r="F19" s="290"/>
      <c r="G19" s="304" t="s">
        <v>117</v>
      </c>
      <c r="H19" s="224"/>
      <c r="I19" s="304" t="s">
        <v>117</v>
      </c>
      <c r="J19" s="224"/>
      <c r="K19" s="290"/>
    </row>
    <row r="20" spans="1:12">
      <c r="A20" s="307"/>
      <c r="B20" s="301"/>
      <c r="C20" s="310"/>
      <c r="D20" s="301"/>
      <c r="E20" s="310"/>
      <c r="F20" s="301"/>
      <c r="G20" s="310"/>
      <c r="H20" s="301"/>
      <c r="I20" s="310"/>
      <c r="J20" s="301"/>
      <c r="K20" s="290"/>
    </row>
    <row r="21" spans="1:12">
      <c r="A21" s="307"/>
      <c r="B21" s="301"/>
      <c r="C21" s="310"/>
      <c r="D21" s="301"/>
      <c r="E21" s="310"/>
      <c r="F21" s="301"/>
      <c r="G21" s="310"/>
      <c r="H21" s="301"/>
      <c r="I21" s="310"/>
      <c r="J21" s="301"/>
      <c r="K21" s="290"/>
    </row>
    <row r="22" spans="1:12">
      <c r="A22" s="307"/>
      <c r="B22" s="301"/>
      <c r="C22" s="312"/>
      <c r="D22" s="301"/>
      <c r="E22" s="312"/>
      <c r="F22" s="301"/>
      <c r="G22" s="312"/>
      <c r="H22" s="301"/>
      <c r="I22" s="309"/>
      <c r="J22" s="301"/>
      <c r="K22" s="290"/>
    </row>
    <row r="23" spans="1:12">
      <c r="A23" s="307"/>
      <c r="B23" s="301"/>
      <c r="C23" s="310"/>
      <c r="D23" s="301"/>
      <c r="E23" s="310"/>
      <c r="F23" s="301"/>
      <c r="G23" s="310"/>
      <c r="H23" s="301"/>
      <c r="I23" s="310"/>
      <c r="J23" s="301"/>
      <c r="K23" s="290"/>
    </row>
    <row r="24" spans="1:12">
      <c r="A24" s="307"/>
      <c r="B24" s="301"/>
      <c r="C24" s="312"/>
      <c r="D24" s="301"/>
      <c r="E24" s="312"/>
      <c r="F24" s="301"/>
      <c r="G24" s="312"/>
      <c r="H24" s="301"/>
      <c r="I24" s="309"/>
      <c r="J24" s="301"/>
      <c r="K24" s="290"/>
    </row>
    <row r="25" spans="1:12">
      <c r="A25" s="307"/>
      <c r="B25" s="301"/>
      <c r="C25" s="310"/>
      <c r="D25" s="301"/>
      <c r="E25" s="310"/>
      <c r="F25" s="301"/>
      <c r="G25" s="310"/>
      <c r="H25" s="301"/>
      <c r="I25" s="310"/>
      <c r="J25" s="301"/>
      <c r="K25" s="290"/>
    </row>
    <row r="26" spans="1:12">
      <c r="A26" s="307"/>
      <c r="B26" s="301"/>
      <c r="C26" s="310"/>
      <c r="D26" s="301"/>
      <c r="E26" s="310"/>
      <c r="F26" s="301"/>
      <c r="G26" s="310"/>
      <c r="H26" s="301"/>
      <c r="I26" s="310"/>
      <c r="J26" s="301"/>
      <c r="K26" s="290"/>
    </row>
    <row r="27" spans="1:12">
      <c r="A27" s="307"/>
      <c r="B27" s="301"/>
      <c r="C27" s="307"/>
      <c r="D27" s="301"/>
      <c r="E27" s="307"/>
      <c r="F27" s="301"/>
      <c r="G27" s="310"/>
      <c r="H27" s="301"/>
      <c r="I27" s="310"/>
      <c r="J27" s="301"/>
      <c r="K27" s="290"/>
    </row>
    <row r="28" spans="1:12">
      <c r="A28" s="304" t="s">
        <v>121</v>
      </c>
      <c r="B28" s="303">
        <f>SUM(B20:B27)</f>
        <v>0</v>
      </c>
      <c r="C28" s="304" t="s">
        <v>121</v>
      </c>
      <c r="D28" s="303">
        <f>SUM(D20:D27)</f>
        <v>0</v>
      </c>
      <c r="E28" s="304" t="s">
        <v>121</v>
      </c>
      <c r="F28" s="481">
        <f>SUM(F20:F27)</f>
        <v>0</v>
      </c>
      <c r="G28" s="304" t="s">
        <v>121</v>
      </c>
      <c r="H28" s="481">
        <f>SUM(H20:H27)</f>
        <v>0</v>
      </c>
      <c r="I28" s="304" t="s">
        <v>121</v>
      </c>
      <c r="J28" s="303">
        <f>SUM(J20:J27)</f>
        <v>0</v>
      </c>
      <c r="K28" s="303">
        <f>SUM(B28+D28+F28+H28+J28)</f>
        <v>0</v>
      </c>
    </row>
    <row r="29" spans="1:12">
      <c r="A29" s="304" t="s">
        <v>258</v>
      </c>
      <c r="B29" s="303">
        <f>SUM(B18-B28)</f>
        <v>0</v>
      </c>
      <c r="C29" s="304" t="s">
        <v>258</v>
      </c>
      <c r="D29" s="303">
        <f>SUM(D18-D28)</f>
        <v>0</v>
      </c>
      <c r="E29" s="304" t="s">
        <v>258</v>
      </c>
      <c r="F29" s="303">
        <f>SUM(F18-F28)</f>
        <v>0</v>
      </c>
      <c r="G29" s="304" t="s">
        <v>258</v>
      </c>
      <c r="H29" s="303">
        <f>SUM(H18-H28)</f>
        <v>0</v>
      </c>
      <c r="I29" s="304" t="s">
        <v>258</v>
      </c>
      <c r="J29" s="303">
        <f>SUM(J18-J28)</f>
        <v>0</v>
      </c>
      <c r="K29" s="313">
        <f>SUM(B29+D29+F29+H29+J29)</f>
        <v>0</v>
      </c>
      <c r="L29" s="62" t="s">
        <v>333</v>
      </c>
    </row>
    <row r="30" spans="1:12">
      <c r="A30" s="304"/>
      <c r="B30" s="316" t="str">
        <f>IF(B29&lt;0,"See Tab B","")</f>
        <v/>
      </c>
      <c r="C30" s="304"/>
      <c r="D30" s="316" t="str">
        <f>IF(D29&lt;0,"See Tab B","")</f>
        <v/>
      </c>
      <c r="E30" s="304"/>
      <c r="F30" s="316" t="str">
        <f>IF(F29&lt;0,"See Tab B","")</f>
        <v/>
      </c>
      <c r="G30" s="224"/>
      <c r="H30" s="316" t="str">
        <f>IF(H29&lt;0,"See Tab B","")</f>
        <v/>
      </c>
      <c r="I30" s="224"/>
      <c r="J30" s="316" t="str">
        <f>IF(J29&lt;0,"See Tab B","")</f>
        <v/>
      </c>
      <c r="K30" s="313">
        <f>SUM(K7+K17-K28)</f>
        <v>0</v>
      </c>
      <c r="L30" s="62" t="s">
        <v>333</v>
      </c>
    </row>
    <row r="31" spans="1:12">
      <c r="A31" s="224"/>
      <c r="B31" s="229"/>
      <c r="C31" s="224"/>
      <c r="D31" s="290"/>
      <c r="E31" s="224"/>
      <c r="F31" s="224"/>
      <c r="G31" s="72" t="s">
        <v>335</v>
      </c>
      <c r="H31" s="72"/>
      <c r="I31" s="72"/>
      <c r="J31" s="72"/>
      <c r="K31" s="224"/>
    </row>
    <row r="32" spans="1:12">
      <c r="A32" s="224"/>
      <c r="B32" s="229"/>
      <c r="C32" s="224"/>
      <c r="D32" s="224"/>
      <c r="E32" s="224"/>
      <c r="F32" s="224"/>
      <c r="G32" s="224"/>
      <c r="H32" s="224"/>
      <c r="I32" s="224"/>
      <c r="J32" s="224"/>
      <c r="K32" s="224"/>
    </row>
    <row r="33" spans="1:11">
      <c r="A33" s="224"/>
      <c r="B33" s="229"/>
      <c r="C33" s="224"/>
      <c r="D33" s="224"/>
      <c r="E33" s="238" t="s">
        <v>124</v>
      </c>
      <c r="F33" s="120"/>
      <c r="G33" s="224"/>
      <c r="H33" s="224"/>
      <c r="I33" s="224"/>
      <c r="J33" s="224"/>
      <c r="K33" s="224"/>
    </row>
    <row r="34" spans="1:11">
      <c r="B34" s="314"/>
    </row>
    <row r="35" spans="1:11">
      <c r="B35" s="314"/>
    </row>
    <row r="36" spans="1:11">
      <c r="B36" s="314"/>
    </row>
    <row r="37" spans="1:11">
      <c r="B37" s="314"/>
    </row>
    <row r="38" spans="1:11">
      <c r="B38" s="314"/>
    </row>
    <row r="39" spans="1:11">
      <c r="B39" s="314"/>
    </row>
    <row r="40" spans="1:11">
      <c r="B40" s="314"/>
    </row>
    <row r="41" spans="1:11">
      <c r="B41" s="314"/>
    </row>
  </sheetData>
  <sheetProtection sheet="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Normal="100" workbookViewId="0">
      <selection activeCell="B23" sqref="B23:J23"/>
    </sheetView>
  </sheetViews>
  <sheetFormatPr defaultColWidth="8.88671875" defaultRowHeight="15.75"/>
  <cols>
    <col min="1" max="1" width="11.5546875" style="62" customWidth="1"/>
    <col min="2" max="2" width="7.44140625" style="62" customWidth="1"/>
    <col min="3" max="3" width="11.5546875" style="62" customWidth="1"/>
    <col min="4" max="4" width="7.44140625" style="62" customWidth="1"/>
    <col min="5" max="5" width="11.5546875" style="62" customWidth="1"/>
    <col min="6" max="6" width="7.44140625" style="62" customWidth="1"/>
    <col min="7" max="7" width="11.5546875" style="62" customWidth="1"/>
    <col min="8" max="8" width="7.44140625" style="62" customWidth="1"/>
    <col min="9" max="9" width="11.5546875" style="62" customWidth="1"/>
    <col min="10" max="16384" width="8.88671875" style="62"/>
  </cols>
  <sheetData>
    <row r="1" spans="1:11">
      <c r="A1" s="225" t="str">
        <f>inputPrYr!$D$2</f>
        <v>City of Hiawatha</v>
      </c>
      <c r="B1" s="290"/>
      <c r="C1" s="224"/>
      <c r="D1" s="224"/>
      <c r="E1" s="224"/>
      <c r="F1" s="226" t="s">
        <v>259</v>
      </c>
      <c r="G1" s="224"/>
      <c r="H1" s="224"/>
      <c r="I1" s="224"/>
      <c r="J1" s="224"/>
      <c r="K1" s="224">
        <f>inputPrYr!$C$5</f>
        <v>2014</v>
      </c>
    </row>
    <row r="2" spans="1:11">
      <c r="A2" s="224"/>
      <c r="B2" s="224"/>
      <c r="C2" s="224"/>
      <c r="D2" s="224"/>
      <c r="E2" s="224"/>
      <c r="F2" s="291" t="str">
        <f>CONCATENATE("(Only the actual budget year for ",K1-2," is to be shown)")</f>
        <v>(Only the actual budget year for 2012 is to be shown)</v>
      </c>
      <c r="G2" s="224"/>
      <c r="H2" s="224"/>
      <c r="I2" s="224"/>
      <c r="J2" s="224"/>
      <c r="K2" s="224"/>
    </row>
    <row r="3" spans="1:11">
      <c r="A3" s="224" t="s">
        <v>296</v>
      </c>
      <c r="B3" s="224"/>
      <c r="C3" s="224"/>
      <c r="D3" s="224"/>
      <c r="E3" s="224"/>
      <c r="F3" s="290"/>
      <c r="G3" s="224"/>
      <c r="H3" s="224"/>
      <c r="I3" s="224"/>
      <c r="J3" s="224"/>
      <c r="K3" s="224"/>
    </row>
    <row r="4" spans="1:11">
      <c r="A4" s="224" t="s">
        <v>252</v>
      </c>
      <c r="B4" s="224"/>
      <c r="C4" s="224" t="s">
        <v>253</v>
      </c>
      <c r="D4" s="224"/>
      <c r="E4" s="224" t="s">
        <v>254</v>
      </c>
      <c r="F4" s="290"/>
      <c r="G4" s="224" t="s">
        <v>255</v>
      </c>
      <c r="H4" s="224"/>
      <c r="I4" s="224" t="s">
        <v>256</v>
      </c>
      <c r="J4" s="224"/>
      <c r="K4" s="224"/>
    </row>
    <row r="5" spans="1:11">
      <c r="A5" s="901" t="str">
        <f>IF(inputPrYr!B59&gt;" ",(inputPrYr!B59)," ")</f>
        <v xml:space="preserve"> </v>
      </c>
      <c r="B5" s="902"/>
      <c r="C5" s="901" t="str">
        <f>IF(inputPrYr!B60&gt;" ",(inputPrYr!B60)," ")</f>
        <v xml:space="preserve"> </v>
      </c>
      <c r="D5" s="902"/>
      <c r="E5" s="901" t="str">
        <f>IF(inputPrYr!B61&gt;" ",(inputPrYr!B61)," ")</f>
        <v xml:space="preserve"> </v>
      </c>
      <c r="F5" s="902"/>
      <c r="G5" s="901" t="str">
        <f>IF(inputPrYr!B62&gt;" ",(inputPrYr!B62)," ")</f>
        <v xml:space="preserve"> </v>
      </c>
      <c r="H5" s="902"/>
      <c r="I5" s="901" t="str">
        <f>IF(inputPrYr!B63&gt;" ",(inputPrYr!B63)," ")</f>
        <v xml:space="preserve"> </v>
      </c>
      <c r="J5" s="902"/>
      <c r="K5" s="194"/>
    </row>
    <row r="6" spans="1:11">
      <c r="A6" s="294" t="s">
        <v>257</v>
      </c>
      <c r="B6" s="295"/>
      <c r="C6" s="296" t="s">
        <v>257</v>
      </c>
      <c r="D6" s="297"/>
      <c r="E6" s="296" t="s">
        <v>257</v>
      </c>
      <c r="F6" s="293"/>
      <c r="G6" s="296" t="s">
        <v>257</v>
      </c>
      <c r="H6" s="298"/>
      <c r="I6" s="296" t="s">
        <v>257</v>
      </c>
      <c r="J6" s="224"/>
      <c r="K6" s="299" t="s">
        <v>77</v>
      </c>
    </row>
    <row r="7" spans="1:11">
      <c r="A7" s="300" t="s">
        <v>22</v>
      </c>
      <c r="B7" s="301"/>
      <c r="C7" s="302" t="s">
        <v>22</v>
      </c>
      <c r="D7" s="301"/>
      <c r="E7" s="302" t="s">
        <v>22</v>
      </c>
      <c r="F7" s="301"/>
      <c r="G7" s="302" t="s">
        <v>22</v>
      </c>
      <c r="H7" s="301"/>
      <c r="I7" s="302" t="s">
        <v>22</v>
      </c>
      <c r="J7" s="301"/>
      <c r="K7" s="303">
        <f>SUM(B7+D7+F7+H7+J7)</f>
        <v>0</v>
      </c>
    </row>
    <row r="8" spans="1:11">
      <c r="A8" s="304" t="s">
        <v>230</v>
      </c>
      <c r="B8" s="305"/>
      <c r="C8" s="304" t="s">
        <v>230</v>
      </c>
      <c r="D8" s="306"/>
      <c r="E8" s="304" t="s">
        <v>230</v>
      </c>
      <c r="F8" s="290"/>
      <c r="G8" s="304" t="s">
        <v>230</v>
      </c>
      <c r="H8" s="224"/>
      <c r="I8" s="304" t="s">
        <v>230</v>
      </c>
      <c r="J8" s="224"/>
      <c r="K8" s="290"/>
    </row>
    <row r="9" spans="1:11">
      <c r="A9" s="307"/>
      <c r="B9" s="301"/>
      <c r="C9" s="307"/>
      <c r="D9" s="301"/>
      <c r="E9" s="307"/>
      <c r="F9" s="301"/>
      <c r="G9" s="307"/>
      <c r="H9" s="301"/>
      <c r="I9" s="307"/>
      <c r="J9" s="301"/>
      <c r="K9" s="290"/>
    </row>
    <row r="10" spans="1:11">
      <c r="A10" s="307"/>
      <c r="B10" s="301"/>
      <c r="C10" s="307"/>
      <c r="D10" s="301"/>
      <c r="E10" s="307"/>
      <c r="F10" s="301"/>
      <c r="G10" s="307"/>
      <c r="H10" s="301"/>
      <c r="I10" s="307"/>
      <c r="J10" s="301"/>
      <c r="K10" s="290"/>
    </row>
    <row r="11" spans="1:11">
      <c r="A11" s="307"/>
      <c r="B11" s="301"/>
      <c r="C11" s="308"/>
      <c r="D11" s="301"/>
      <c r="E11" s="308"/>
      <c r="F11" s="301"/>
      <c r="G11" s="308"/>
      <c r="H11" s="301"/>
      <c r="I11" s="309"/>
      <c r="J11" s="301"/>
      <c r="K11" s="290"/>
    </row>
    <row r="12" spans="1:11">
      <c r="A12" s="307"/>
      <c r="B12" s="301"/>
      <c r="C12" s="307"/>
      <c r="D12" s="301"/>
      <c r="E12" s="310"/>
      <c r="F12" s="301"/>
      <c r="G12" s="310"/>
      <c r="H12" s="301"/>
      <c r="I12" s="310"/>
      <c r="J12" s="301"/>
      <c r="K12" s="290"/>
    </row>
    <row r="13" spans="1:11">
      <c r="A13" s="311"/>
      <c r="B13" s="301"/>
      <c r="C13" s="312"/>
      <c r="D13" s="301"/>
      <c r="E13" s="312"/>
      <c r="F13" s="301"/>
      <c r="G13" s="312"/>
      <c r="H13" s="301"/>
      <c r="I13" s="309"/>
      <c r="J13" s="301"/>
      <c r="K13" s="290"/>
    </row>
    <row r="14" spans="1:11">
      <c r="A14" s="307"/>
      <c r="B14" s="301"/>
      <c r="C14" s="310"/>
      <c r="D14" s="301"/>
      <c r="E14" s="310"/>
      <c r="F14" s="301"/>
      <c r="G14" s="310"/>
      <c r="H14" s="301"/>
      <c r="I14" s="310"/>
      <c r="J14" s="301"/>
      <c r="K14" s="290"/>
    </row>
    <row r="15" spans="1:11">
      <c r="A15" s="307"/>
      <c r="B15" s="301"/>
      <c r="C15" s="310"/>
      <c r="D15" s="301"/>
      <c r="E15" s="310"/>
      <c r="F15" s="301"/>
      <c r="G15" s="310"/>
      <c r="H15" s="301"/>
      <c r="I15" s="310"/>
      <c r="J15" s="301"/>
      <c r="K15" s="290"/>
    </row>
    <row r="16" spans="1:11">
      <c r="A16" s="307"/>
      <c r="B16" s="301"/>
      <c r="C16" s="307"/>
      <c r="D16" s="301"/>
      <c r="E16" s="307"/>
      <c r="F16" s="301"/>
      <c r="G16" s="310"/>
      <c r="H16" s="301"/>
      <c r="I16" s="307"/>
      <c r="J16" s="301"/>
      <c r="K16" s="290"/>
    </row>
    <row r="17" spans="1:12">
      <c r="A17" s="304" t="s">
        <v>114</v>
      </c>
      <c r="B17" s="303">
        <f>SUM(B9:B16)</f>
        <v>0</v>
      </c>
      <c r="C17" s="304" t="s">
        <v>114</v>
      </c>
      <c r="D17" s="303">
        <f>SUM(D9:D16)</f>
        <v>0</v>
      </c>
      <c r="E17" s="304" t="s">
        <v>114</v>
      </c>
      <c r="F17" s="481">
        <f>SUM(F9:F16)</f>
        <v>0</v>
      </c>
      <c r="G17" s="304" t="s">
        <v>114</v>
      </c>
      <c r="H17" s="303">
        <f>SUM(H9:H16)</f>
        <v>0</v>
      </c>
      <c r="I17" s="304" t="s">
        <v>114</v>
      </c>
      <c r="J17" s="303">
        <f>SUM(J9:J16)</f>
        <v>0</v>
      </c>
      <c r="K17" s="303">
        <f>SUM(B17+D17+F17+H17+J17)</f>
        <v>0</v>
      </c>
    </row>
    <row r="18" spans="1:12">
      <c r="A18" s="304" t="s">
        <v>115</v>
      </c>
      <c r="B18" s="303">
        <f>SUM(B7+B17)</f>
        <v>0</v>
      </c>
      <c r="C18" s="304" t="s">
        <v>115</v>
      </c>
      <c r="D18" s="303">
        <f>SUM(D7+D17)</f>
        <v>0</v>
      </c>
      <c r="E18" s="304" t="s">
        <v>115</v>
      </c>
      <c r="F18" s="303">
        <f>SUM(F7+F17)</f>
        <v>0</v>
      </c>
      <c r="G18" s="304" t="s">
        <v>115</v>
      </c>
      <c r="H18" s="303">
        <f>SUM(H7+H17)</f>
        <v>0</v>
      </c>
      <c r="I18" s="304" t="s">
        <v>115</v>
      </c>
      <c r="J18" s="303">
        <f>SUM(J7+J17)</f>
        <v>0</v>
      </c>
      <c r="K18" s="303">
        <f>SUM(B18+D18+F18+H18+J18)</f>
        <v>0</v>
      </c>
    </row>
    <row r="19" spans="1:12">
      <c r="A19" s="304" t="s">
        <v>117</v>
      </c>
      <c r="B19" s="305"/>
      <c r="C19" s="304" t="s">
        <v>117</v>
      </c>
      <c r="D19" s="306"/>
      <c r="E19" s="304" t="s">
        <v>117</v>
      </c>
      <c r="F19" s="290"/>
      <c r="G19" s="304" t="s">
        <v>117</v>
      </c>
      <c r="H19" s="224"/>
      <c r="I19" s="304" t="s">
        <v>117</v>
      </c>
      <c r="J19" s="224"/>
      <c r="K19" s="290"/>
    </row>
    <row r="20" spans="1:12">
      <c r="A20" s="307"/>
      <c r="B20" s="301"/>
      <c r="C20" s="310"/>
      <c r="D20" s="301"/>
      <c r="E20" s="310"/>
      <c r="F20" s="301"/>
      <c r="G20" s="310"/>
      <c r="H20" s="301"/>
      <c r="I20" s="310"/>
      <c r="J20" s="301"/>
      <c r="K20" s="290"/>
    </row>
    <row r="21" spans="1:12">
      <c r="A21" s="307"/>
      <c r="B21" s="301"/>
      <c r="C21" s="310"/>
      <c r="D21" s="301"/>
      <c r="E21" s="310"/>
      <c r="F21" s="301"/>
      <c r="G21" s="310"/>
      <c r="H21" s="301"/>
      <c r="I21" s="310"/>
      <c r="J21" s="301"/>
      <c r="K21" s="290"/>
    </row>
    <row r="22" spans="1:12">
      <c r="A22" s="307"/>
      <c r="B22" s="301"/>
      <c r="C22" s="312"/>
      <c r="D22" s="301"/>
      <c r="E22" s="312"/>
      <c r="F22" s="301"/>
      <c r="G22" s="312"/>
      <c r="H22" s="301"/>
      <c r="I22" s="309"/>
      <c r="J22" s="301"/>
      <c r="K22" s="290"/>
    </row>
    <row r="23" spans="1:12">
      <c r="A23" s="307"/>
      <c r="B23" s="301"/>
      <c r="C23" s="310"/>
      <c r="D23" s="301"/>
      <c r="E23" s="310"/>
      <c r="F23" s="301"/>
      <c r="G23" s="310"/>
      <c r="H23" s="301"/>
      <c r="I23" s="310"/>
      <c r="J23" s="301"/>
      <c r="K23" s="290"/>
    </row>
    <row r="24" spans="1:12">
      <c r="A24" s="307"/>
      <c r="B24" s="301"/>
      <c r="C24" s="312"/>
      <c r="D24" s="301"/>
      <c r="E24" s="312"/>
      <c r="F24" s="301"/>
      <c r="G24" s="312"/>
      <c r="H24" s="301"/>
      <c r="I24" s="309"/>
      <c r="J24" s="301"/>
      <c r="K24" s="290"/>
    </row>
    <row r="25" spans="1:12">
      <c r="A25" s="307"/>
      <c r="B25" s="301"/>
      <c r="C25" s="310"/>
      <c r="D25" s="301"/>
      <c r="E25" s="310"/>
      <c r="F25" s="301"/>
      <c r="G25" s="310"/>
      <c r="H25" s="301"/>
      <c r="I25" s="310"/>
      <c r="J25" s="301"/>
      <c r="K25" s="290"/>
    </row>
    <row r="26" spans="1:12">
      <c r="A26" s="307"/>
      <c r="B26" s="301"/>
      <c r="C26" s="310"/>
      <c r="D26" s="301"/>
      <c r="E26" s="310"/>
      <c r="F26" s="301"/>
      <c r="G26" s="310"/>
      <c r="H26" s="301"/>
      <c r="I26" s="310"/>
      <c r="J26" s="301"/>
      <c r="K26" s="290"/>
    </row>
    <row r="27" spans="1:12">
      <c r="A27" s="307"/>
      <c r="B27" s="301"/>
      <c r="C27" s="307"/>
      <c r="D27" s="301"/>
      <c r="E27" s="307"/>
      <c r="F27" s="301"/>
      <c r="G27" s="310"/>
      <c r="H27" s="301"/>
      <c r="I27" s="310"/>
      <c r="J27" s="301"/>
      <c r="K27" s="290"/>
    </row>
    <row r="28" spans="1:12">
      <c r="A28" s="304" t="s">
        <v>121</v>
      </c>
      <c r="B28" s="303">
        <f>SUM(B20:B27)</f>
        <v>0</v>
      </c>
      <c r="C28" s="304" t="s">
        <v>121</v>
      </c>
      <c r="D28" s="303">
        <f>SUM(D20:D27)</f>
        <v>0</v>
      </c>
      <c r="E28" s="304" t="s">
        <v>121</v>
      </c>
      <c r="F28" s="481">
        <f>SUM(F20:F27)</f>
        <v>0</v>
      </c>
      <c r="G28" s="304" t="s">
        <v>121</v>
      </c>
      <c r="H28" s="481">
        <f>SUM(H20:H27)</f>
        <v>0</v>
      </c>
      <c r="I28" s="304" t="s">
        <v>121</v>
      </c>
      <c r="J28" s="303">
        <f>SUM(J20:J27)</f>
        <v>0</v>
      </c>
      <c r="K28" s="303">
        <f>SUM(B28+D28+F28+H28+J28)</f>
        <v>0</v>
      </c>
    </row>
    <row r="29" spans="1:12">
      <c r="A29" s="304" t="s">
        <v>258</v>
      </c>
      <c r="B29" s="303">
        <f>SUM(B18-B28)</f>
        <v>0</v>
      </c>
      <c r="C29" s="304" t="s">
        <v>258</v>
      </c>
      <c r="D29" s="303">
        <f>SUM(D18-D28)</f>
        <v>0</v>
      </c>
      <c r="E29" s="304" t="s">
        <v>258</v>
      </c>
      <c r="F29" s="303">
        <f>SUM(F18-F28)</f>
        <v>0</v>
      </c>
      <c r="G29" s="304" t="s">
        <v>258</v>
      </c>
      <c r="H29" s="303">
        <f>SUM(H18-H28)</f>
        <v>0</v>
      </c>
      <c r="I29" s="304" t="s">
        <v>258</v>
      </c>
      <c r="J29" s="303">
        <f>SUM(J18-J28)</f>
        <v>0</v>
      </c>
      <c r="K29" s="313">
        <f>SUM(B29+D29+F29+H29+J29)</f>
        <v>0</v>
      </c>
      <c r="L29" s="62" t="s">
        <v>333</v>
      </c>
    </row>
    <row r="30" spans="1:12">
      <c r="A30" s="304"/>
      <c r="B30" s="316" t="str">
        <f>IF(B29&lt;0,"See Tab B","")</f>
        <v/>
      </c>
      <c r="C30" s="304"/>
      <c r="D30" s="316" t="str">
        <f>IF(D29&lt;0,"See Tab B","")</f>
        <v/>
      </c>
      <c r="E30" s="304"/>
      <c r="F30" s="316" t="str">
        <f>IF(F29&lt;0,"See Tab B","")</f>
        <v/>
      </c>
      <c r="G30" s="224"/>
      <c r="H30" s="316" t="str">
        <f>IF(H29&lt;0,"See Tab B","")</f>
        <v/>
      </c>
      <c r="I30" s="224"/>
      <c r="J30" s="316" t="str">
        <f>IF(J29&lt;0,"See Tab B","")</f>
        <v/>
      </c>
      <c r="K30" s="313">
        <f>SUM(K7+K17-K28)</f>
        <v>0</v>
      </c>
      <c r="L30" s="62" t="s">
        <v>333</v>
      </c>
    </row>
    <row r="31" spans="1:12">
      <c r="A31" s="224"/>
      <c r="B31" s="229"/>
      <c r="C31" s="224"/>
      <c r="D31" s="290"/>
      <c r="E31" s="224"/>
      <c r="F31" s="224"/>
      <c r="G31" s="72" t="s">
        <v>335</v>
      </c>
      <c r="H31" s="72"/>
      <c r="I31" s="72"/>
      <c r="J31" s="72"/>
      <c r="K31" s="224"/>
    </row>
    <row r="32" spans="1:12">
      <c r="A32" s="224"/>
      <c r="B32" s="229"/>
      <c r="C32" s="224"/>
      <c r="D32" s="224"/>
      <c r="E32" s="224"/>
      <c r="F32" s="224"/>
      <c r="G32" s="224"/>
      <c r="H32" s="224"/>
      <c r="I32" s="224"/>
      <c r="J32" s="224"/>
      <c r="K32" s="224"/>
    </row>
    <row r="33" spans="1:11">
      <c r="A33" s="224"/>
      <c r="B33" s="229"/>
      <c r="C33" s="224"/>
      <c r="D33" s="224"/>
      <c r="E33" s="238" t="s">
        <v>124</v>
      </c>
      <c r="F33" s="120"/>
      <c r="G33" s="224"/>
      <c r="H33" s="224"/>
      <c r="I33" s="224"/>
      <c r="J33" s="224"/>
      <c r="K33" s="224"/>
    </row>
    <row r="34" spans="1:11">
      <c r="B34" s="314"/>
    </row>
    <row r="35" spans="1:11">
      <c r="B35" s="314"/>
    </row>
    <row r="36" spans="1:11">
      <c r="B36" s="314"/>
    </row>
    <row r="37" spans="1:11">
      <c r="B37" s="314"/>
    </row>
    <row r="38" spans="1:11">
      <c r="B38" s="314"/>
    </row>
    <row r="39" spans="1:11">
      <c r="B39" s="314"/>
    </row>
    <row r="40" spans="1:11">
      <c r="B40" s="314"/>
    </row>
    <row r="41" spans="1:11">
      <c r="B41" s="314"/>
    </row>
  </sheetData>
  <sheetProtection sheet="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workbookViewId="0">
      <selection activeCell="B23" sqref="B23:J23"/>
    </sheetView>
  </sheetViews>
  <sheetFormatPr defaultColWidth="8.88671875" defaultRowHeight="15.75"/>
  <cols>
    <col min="1" max="1" width="11.5546875" style="62" customWidth="1"/>
    <col min="2" max="2" width="7.44140625" style="62" customWidth="1"/>
    <col min="3" max="3" width="11.5546875" style="62" customWidth="1"/>
    <col min="4" max="4" width="7.44140625" style="62" customWidth="1"/>
    <col min="5" max="5" width="11.5546875" style="62" customWidth="1"/>
    <col min="6" max="6" width="7.44140625" style="62" customWidth="1"/>
    <col min="7" max="7" width="11.5546875" style="62" customWidth="1"/>
    <col min="8" max="8" width="7.44140625" style="62" customWidth="1"/>
    <col min="9" max="9" width="11.5546875" style="62" customWidth="1"/>
    <col min="10" max="16384" width="8.88671875" style="62"/>
  </cols>
  <sheetData>
    <row r="1" spans="1:11">
      <c r="A1" s="225" t="str">
        <f>inputPrYr!$D$2</f>
        <v>City of Hiawatha</v>
      </c>
      <c r="B1" s="290"/>
      <c r="C1" s="224"/>
      <c r="D1" s="224"/>
      <c r="E1" s="224"/>
      <c r="F1" s="226" t="s">
        <v>260</v>
      </c>
      <c r="G1" s="224"/>
      <c r="H1" s="224"/>
      <c r="I1" s="224"/>
      <c r="J1" s="224"/>
      <c r="K1" s="224">
        <f>inputPrYr!$C$5</f>
        <v>2014</v>
      </c>
    </row>
    <row r="2" spans="1:11">
      <c r="A2" s="224"/>
      <c r="B2" s="224"/>
      <c r="C2" s="224"/>
      <c r="D2" s="224"/>
      <c r="E2" s="224"/>
      <c r="F2" s="291" t="str">
        <f>CONCATENATE("(Only the actual budget year for ",K1-2," is to be shown)")</f>
        <v>(Only the actual budget year for 2012 is to be shown)</v>
      </c>
      <c r="G2" s="224"/>
      <c r="H2" s="224"/>
      <c r="I2" s="224"/>
      <c r="J2" s="224"/>
      <c r="K2" s="224"/>
    </row>
    <row r="3" spans="1:11">
      <c r="A3" s="224" t="s">
        <v>294</v>
      </c>
      <c r="B3" s="224"/>
      <c r="C3" s="224"/>
      <c r="D3" s="224"/>
      <c r="E3" s="224"/>
      <c r="F3" s="290"/>
      <c r="G3" s="224"/>
      <c r="H3" s="224"/>
      <c r="I3" s="224"/>
      <c r="J3" s="224"/>
      <c r="K3" s="224"/>
    </row>
    <row r="4" spans="1:11">
      <c r="A4" s="224" t="s">
        <v>252</v>
      </c>
      <c r="B4" s="224"/>
      <c r="C4" s="224" t="s">
        <v>253</v>
      </c>
      <c r="D4" s="224"/>
      <c r="E4" s="224" t="s">
        <v>254</v>
      </c>
      <c r="F4" s="290"/>
      <c r="G4" s="224" t="s">
        <v>255</v>
      </c>
      <c r="H4" s="224"/>
      <c r="I4" s="224" t="s">
        <v>256</v>
      </c>
      <c r="J4" s="224"/>
      <c r="K4" s="224"/>
    </row>
    <row r="5" spans="1:11">
      <c r="A5" s="903" t="str">
        <f>IF(inputPrYr!B65&gt;" ",(inputPrYr!B65)," ")</f>
        <v xml:space="preserve"> </v>
      </c>
      <c r="B5" s="904"/>
      <c r="C5" s="903" t="str">
        <f>IF(inputPrYr!B66&gt;" ",(inputPrYr!B66)," ")</f>
        <v xml:space="preserve"> </v>
      </c>
      <c r="D5" s="904"/>
      <c r="E5" s="903" t="str">
        <f>IF(inputPrYr!B67&gt;" ",(inputPrYr!B67)," ")</f>
        <v xml:space="preserve"> </v>
      </c>
      <c r="F5" s="904"/>
      <c r="G5" s="903" t="str">
        <f>IF(inputPrYr!B68&gt;" ",(inputPrYr!B68)," ")</f>
        <v xml:space="preserve"> </v>
      </c>
      <c r="H5" s="904"/>
      <c r="I5" s="903" t="str">
        <f>IF(inputPrYr!B69&gt;" ",(inputPrYr!B69)," ")</f>
        <v xml:space="preserve"> </v>
      </c>
      <c r="J5" s="904"/>
      <c r="K5" s="194"/>
    </row>
    <row r="6" spans="1:11">
      <c r="A6" s="294" t="s">
        <v>257</v>
      </c>
      <c r="B6" s="295"/>
      <c r="C6" s="296" t="s">
        <v>257</v>
      </c>
      <c r="D6" s="297"/>
      <c r="E6" s="296" t="s">
        <v>257</v>
      </c>
      <c r="F6" s="293"/>
      <c r="G6" s="296" t="s">
        <v>257</v>
      </c>
      <c r="H6" s="298"/>
      <c r="I6" s="296" t="s">
        <v>257</v>
      </c>
      <c r="J6" s="224"/>
      <c r="K6" s="299" t="s">
        <v>77</v>
      </c>
    </row>
    <row r="7" spans="1:11">
      <c r="A7" s="300" t="s">
        <v>22</v>
      </c>
      <c r="B7" s="301"/>
      <c r="C7" s="302" t="s">
        <v>22</v>
      </c>
      <c r="D7" s="301"/>
      <c r="E7" s="302" t="s">
        <v>22</v>
      </c>
      <c r="F7" s="301"/>
      <c r="G7" s="302" t="s">
        <v>22</v>
      </c>
      <c r="H7" s="301"/>
      <c r="I7" s="302" t="s">
        <v>22</v>
      </c>
      <c r="J7" s="301"/>
      <c r="K7" s="303">
        <f>SUM(B7+D7+F7+H7+J7)</f>
        <v>0</v>
      </c>
    </row>
    <row r="8" spans="1:11">
      <c r="A8" s="304" t="s">
        <v>230</v>
      </c>
      <c r="B8" s="305"/>
      <c r="C8" s="304" t="s">
        <v>230</v>
      </c>
      <c r="D8" s="306"/>
      <c r="E8" s="304" t="s">
        <v>230</v>
      </c>
      <c r="F8" s="290"/>
      <c r="G8" s="304" t="s">
        <v>230</v>
      </c>
      <c r="H8" s="224"/>
      <c r="I8" s="304" t="s">
        <v>230</v>
      </c>
      <c r="J8" s="224"/>
      <c r="K8" s="290"/>
    </row>
    <row r="9" spans="1:11">
      <c r="A9" s="307"/>
      <c r="B9" s="301"/>
      <c r="C9" s="307"/>
      <c r="D9" s="301"/>
      <c r="E9" s="307"/>
      <c r="F9" s="301"/>
      <c r="G9" s="307"/>
      <c r="H9" s="301"/>
      <c r="I9" s="307"/>
      <c r="J9" s="301"/>
      <c r="K9" s="290"/>
    </row>
    <row r="10" spans="1:11">
      <c r="A10" s="307"/>
      <c r="B10" s="301"/>
      <c r="C10" s="307"/>
      <c r="D10" s="301"/>
      <c r="E10" s="307"/>
      <c r="F10" s="301"/>
      <c r="G10" s="307"/>
      <c r="H10" s="301"/>
      <c r="I10" s="307"/>
      <c r="J10" s="301"/>
      <c r="K10" s="290"/>
    </row>
    <row r="11" spans="1:11">
      <c r="A11" s="307"/>
      <c r="B11" s="301"/>
      <c r="C11" s="308"/>
      <c r="D11" s="301"/>
      <c r="E11" s="308"/>
      <c r="F11" s="301"/>
      <c r="G11" s="308"/>
      <c r="H11" s="301"/>
      <c r="I11" s="309"/>
      <c r="J11" s="301"/>
      <c r="K11" s="290"/>
    </row>
    <row r="12" spans="1:11">
      <c r="A12" s="307"/>
      <c r="B12" s="301"/>
      <c r="C12" s="307"/>
      <c r="D12" s="301"/>
      <c r="E12" s="310"/>
      <c r="F12" s="301"/>
      <c r="G12" s="310"/>
      <c r="H12" s="301"/>
      <c r="I12" s="310"/>
      <c r="J12" s="301"/>
      <c r="K12" s="290"/>
    </row>
    <row r="13" spans="1:11">
      <c r="A13" s="311"/>
      <c r="B13" s="301"/>
      <c r="C13" s="312"/>
      <c r="D13" s="301"/>
      <c r="E13" s="312"/>
      <c r="F13" s="301"/>
      <c r="G13" s="312"/>
      <c r="H13" s="301"/>
      <c r="I13" s="309"/>
      <c r="J13" s="301"/>
      <c r="K13" s="290"/>
    </row>
    <row r="14" spans="1:11">
      <c r="A14" s="307"/>
      <c r="B14" s="301"/>
      <c r="C14" s="310"/>
      <c r="D14" s="301"/>
      <c r="E14" s="310"/>
      <c r="F14" s="301"/>
      <c r="G14" s="310"/>
      <c r="H14" s="301"/>
      <c r="I14" s="310"/>
      <c r="J14" s="301"/>
      <c r="K14" s="290"/>
    </row>
    <row r="15" spans="1:11">
      <c r="A15" s="307"/>
      <c r="B15" s="301"/>
      <c r="C15" s="310"/>
      <c r="D15" s="301"/>
      <c r="E15" s="310"/>
      <c r="F15" s="301"/>
      <c r="G15" s="310"/>
      <c r="H15" s="301"/>
      <c r="I15" s="310"/>
      <c r="J15" s="301"/>
      <c r="K15" s="290"/>
    </row>
    <row r="16" spans="1:11">
      <c r="A16" s="307"/>
      <c r="B16" s="301"/>
      <c r="C16" s="307"/>
      <c r="D16" s="301"/>
      <c r="E16" s="307"/>
      <c r="F16" s="301"/>
      <c r="G16" s="310"/>
      <c r="H16" s="301"/>
      <c r="I16" s="307"/>
      <c r="J16" s="301"/>
      <c r="K16" s="290"/>
    </row>
    <row r="17" spans="1:12">
      <c r="A17" s="304" t="s">
        <v>114</v>
      </c>
      <c r="B17" s="303">
        <f>SUM(B9:B16)</f>
        <v>0</v>
      </c>
      <c r="C17" s="304" t="s">
        <v>114</v>
      </c>
      <c r="D17" s="303">
        <f>SUM(D9:D16)</f>
        <v>0</v>
      </c>
      <c r="E17" s="304" t="s">
        <v>114</v>
      </c>
      <c r="F17" s="481">
        <f>SUM(F9:F16)</f>
        <v>0</v>
      </c>
      <c r="G17" s="304" t="s">
        <v>114</v>
      </c>
      <c r="H17" s="303">
        <f>SUM(H9:H16)</f>
        <v>0</v>
      </c>
      <c r="I17" s="304" t="s">
        <v>114</v>
      </c>
      <c r="J17" s="303">
        <f>SUM(J9:J16)</f>
        <v>0</v>
      </c>
      <c r="K17" s="303">
        <f>SUM(B17+D17+F17+H17+J17)</f>
        <v>0</v>
      </c>
    </row>
    <row r="18" spans="1:12">
      <c r="A18" s="304" t="s">
        <v>115</v>
      </c>
      <c r="B18" s="303">
        <f>SUM(B7+B17)</f>
        <v>0</v>
      </c>
      <c r="C18" s="304" t="s">
        <v>115</v>
      </c>
      <c r="D18" s="303">
        <f>SUM(D7+D17)</f>
        <v>0</v>
      </c>
      <c r="E18" s="304" t="s">
        <v>115</v>
      </c>
      <c r="F18" s="303">
        <f>SUM(F7+F17)</f>
        <v>0</v>
      </c>
      <c r="G18" s="304" t="s">
        <v>115</v>
      </c>
      <c r="H18" s="303">
        <f>SUM(H7+H17)</f>
        <v>0</v>
      </c>
      <c r="I18" s="304" t="s">
        <v>115</v>
      </c>
      <c r="J18" s="303">
        <f>SUM(J7+J17)</f>
        <v>0</v>
      </c>
      <c r="K18" s="303">
        <f>SUM(B18+D18+F18+H18+J18)</f>
        <v>0</v>
      </c>
    </row>
    <row r="19" spans="1:12">
      <c r="A19" s="304" t="s">
        <v>117</v>
      </c>
      <c r="B19" s="305"/>
      <c r="C19" s="304" t="s">
        <v>117</v>
      </c>
      <c r="D19" s="306"/>
      <c r="E19" s="304" t="s">
        <v>117</v>
      </c>
      <c r="F19" s="290"/>
      <c r="G19" s="304" t="s">
        <v>117</v>
      </c>
      <c r="H19" s="224"/>
      <c r="I19" s="304" t="s">
        <v>117</v>
      </c>
      <c r="J19" s="224"/>
      <c r="K19" s="290"/>
    </row>
    <row r="20" spans="1:12">
      <c r="A20" s="307"/>
      <c r="B20" s="301"/>
      <c r="C20" s="310"/>
      <c r="D20" s="301"/>
      <c r="E20" s="310"/>
      <c r="F20" s="301"/>
      <c r="G20" s="310"/>
      <c r="H20" s="301"/>
      <c r="I20" s="310"/>
      <c r="J20" s="301"/>
      <c r="K20" s="290"/>
    </row>
    <row r="21" spans="1:12">
      <c r="A21" s="307"/>
      <c r="B21" s="301"/>
      <c r="C21" s="310"/>
      <c r="D21" s="301"/>
      <c r="E21" s="310"/>
      <c r="F21" s="301"/>
      <c r="G21" s="310"/>
      <c r="H21" s="301"/>
      <c r="I21" s="310"/>
      <c r="J21" s="301"/>
      <c r="K21" s="290"/>
    </row>
    <row r="22" spans="1:12">
      <c r="A22" s="307"/>
      <c r="B22" s="301"/>
      <c r="C22" s="312"/>
      <c r="D22" s="301"/>
      <c r="E22" s="312"/>
      <c r="F22" s="301"/>
      <c r="G22" s="312"/>
      <c r="H22" s="301"/>
      <c r="I22" s="309"/>
      <c r="J22" s="301"/>
      <c r="K22" s="290"/>
    </row>
    <row r="23" spans="1:12">
      <c r="A23" s="307"/>
      <c r="B23" s="301"/>
      <c r="C23" s="310"/>
      <c r="D23" s="301"/>
      <c r="E23" s="310"/>
      <c r="F23" s="301"/>
      <c r="G23" s="310"/>
      <c r="H23" s="301"/>
      <c r="I23" s="310"/>
      <c r="J23" s="301"/>
      <c r="K23" s="290"/>
    </row>
    <row r="24" spans="1:12">
      <c r="A24" s="307"/>
      <c r="B24" s="301"/>
      <c r="C24" s="312"/>
      <c r="D24" s="301"/>
      <c r="E24" s="312"/>
      <c r="F24" s="301"/>
      <c r="G24" s="312"/>
      <c r="H24" s="301"/>
      <c r="I24" s="309"/>
      <c r="J24" s="301"/>
      <c r="K24" s="290"/>
    </row>
    <row r="25" spans="1:12">
      <c r="A25" s="307"/>
      <c r="B25" s="301"/>
      <c r="C25" s="310"/>
      <c r="D25" s="301"/>
      <c r="E25" s="310"/>
      <c r="F25" s="301"/>
      <c r="G25" s="310"/>
      <c r="H25" s="301"/>
      <c r="I25" s="310"/>
      <c r="J25" s="301"/>
      <c r="K25" s="290"/>
    </row>
    <row r="26" spans="1:12">
      <c r="A26" s="307"/>
      <c r="B26" s="301"/>
      <c r="C26" s="310"/>
      <c r="D26" s="301"/>
      <c r="E26" s="310"/>
      <c r="F26" s="301"/>
      <c r="G26" s="310"/>
      <c r="H26" s="301"/>
      <c r="I26" s="310"/>
      <c r="J26" s="301"/>
      <c r="K26" s="290"/>
    </row>
    <row r="27" spans="1:12">
      <c r="A27" s="307"/>
      <c r="B27" s="301"/>
      <c r="C27" s="307"/>
      <c r="D27" s="301"/>
      <c r="E27" s="307"/>
      <c r="F27" s="301"/>
      <c r="G27" s="310"/>
      <c r="H27" s="301"/>
      <c r="I27" s="310"/>
      <c r="J27" s="301"/>
      <c r="K27" s="290"/>
    </row>
    <row r="28" spans="1:12">
      <c r="A28" s="304" t="s">
        <v>121</v>
      </c>
      <c r="B28" s="303">
        <f>SUM(B20:B27)</f>
        <v>0</v>
      </c>
      <c r="C28" s="304" t="s">
        <v>121</v>
      </c>
      <c r="D28" s="303">
        <f>SUM(D20:D27)</f>
        <v>0</v>
      </c>
      <c r="E28" s="304" t="s">
        <v>121</v>
      </c>
      <c r="F28" s="481">
        <f>SUM(F20:F27)</f>
        <v>0</v>
      </c>
      <c r="G28" s="304" t="s">
        <v>121</v>
      </c>
      <c r="H28" s="481">
        <f>SUM(H20:H27)</f>
        <v>0</v>
      </c>
      <c r="I28" s="304" t="s">
        <v>121</v>
      </c>
      <c r="J28" s="303">
        <f>SUM(J20:J27)</f>
        <v>0</v>
      </c>
      <c r="K28" s="303">
        <f>SUM(B28+D28+F28+H28+J28)</f>
        <v>0</v>
      </c>
    </row>
    <row r="29" spans="1:12">
      <c r="A29" s="304" t="s">
        <v>258</v>
      </c>
      <c r="B29" s="303">
        <f>SUM(B18-B28)</f>
        <v>0</v>
      </c>
      <c r="C29" s="304" t="s">
        <v>258</v>
      </c>
      <c r="D29" s="303">
        <f>SUM(D18-D28)</f>
        <v>0</v>
      </c>
      <c r="E29" s="304" t="s">
        <v>258</v>
      </c>
      <c r="F29" s="303">
        <f>SUM(F18-F28)</f>
        <v>0</v>
      </c>
      <c r="G29" s="304" t="s">
        <v>258</v>
      </c>
      <c r="H29" s="303">
        <f>SUM(H18-H28)</f>
        <v>0</v>
      </c>
      <c r="I29" s="304" t="s">
        <v>258</v>
      </c>
      <c r="J29" s="303">
        <f>SUM(J18-J28)</f>
        <v>0</v>
      </c>
      <c r="K29" s="313">
        <f>SUM(B29+D29+F29+H29+J29)</f>
        <v>0</v>
      </c>
      <c r="L29" s="62" t="s">
        <v>333</v>
      </c>
    </row>
    <row r="30" spans="1:12">
      <c r="A30" s="304"/>
      <c r="B30" s="316" t="str">
        <f>IF(B29&lt;0,"See Tab B","")</f>
        <v/>
      </c>
      <c r="C30" s="304"/>
      <c r="D30" s="316" t="str">
        <f>IF(D29&lt;0,"See Tab B","")</f>
        <v/>
      </c>
      <c r="E30" s="304"/>
      <c r="F30" s="316" t="str">
        <f>IF(F29&lt;0,"See Tab B","")</f>
        <v/>
      </c>
      <c r="G30" s="224"/>
      <c r="H30" s="316" t="str">
        <f>IF(H29&lt;0,"See Tab B","")</f>
        <v/>
      </c>
      <c r="I30" s="224"/>
      <c r="J30" s="316" t="str">
        <f>IF(J29&lt;0,"See Tab B","")</f>
        <v/>
      </c>
      <c r="K30" s="313">
        <f>SUM(K7+K17-K28)</f>
        <v>0</v>
      </c>
      <c r="L30" s="62" t="s">
        <v>333</v>
      </c>
    </row>
    <row r="31" spans="1:12">
      <c r="A31" s="224"/>
      <c r="B31" s="229"/>
      <c r="C31" s="224"/>
      <c r="D31" s="290"/>
      <c r="E31" s="224"/>
      <c r="F31" s="224"/>
      <c r="G31" s="72" t="s">
        <v>335</v>
      </c>
      <c r="H31" s="72"/>
      <c r="I31" s="72"/>
      <c r="J31" s="72"/>
      <c r="K31" s="224"/>
    </row>
    <row r="32" spans="1:12">
      <c r="A32" s="224"/>
      <c r="B32" s="229"/>
      <c r="C32" s="224"/>
      <c r="D32" s="224"/>
      <c r="E32" s="224"/>
      <c r="F32" s="224"/>
      <c r="G32" s="315"/>
      <c r="H32" s="224"/>
      <c r="I32" s="224"/>
      <c r="J32" s="224"/>
      <c r="K32" s="224"/>
    </row>
    <row r="33" spans="1:11">
      <c r="A33" s="224"/>
      <c r="B33" s="229"/>
      <c r="C33" s="224"/>
      <c r="D33" s="224"/>
      <c r="E33" s="238" t="s">
        <v>124</v>
      </c>
      <c r="F33" s="120"/>
      <c r="G33" s="224"/>
      <c r="H33" s="224"/>
      <c r="I33" s="224"/>
      <c r="J33" s="224"/>
      <c r="K33" s="224"/>
    </row>
    <row r="34" spans="1:11">
      <c r="B34" s="314"/>
    </row>
    <row r="35" spans="1:11">
      <c r="B35" s="314"/>
    </row>
    <row r="36" spans="1:11">
      <c r="B36" s="314"/>
    </row>
    <row r="37" spans="1:11">
      <c r="B37" s="314"/>
    </row>
    <row r="38" spans="1:11">
      <c r="B38" s="314"/>
    </row>
    <row r="39" spans="1:11">
      <c r="B39" s="314"/>
    </row>
    <row r="40" spans="1:11">
      <c r="B40" s="314"/>
    </row>
    <row r="41" spans="1:11">
      <c r="B41" s="314"/>
    </row>
  </sheetData>
  <sheetProtection sheet="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8671875" defaultRowHeight="15.75"/>
  <cols>
    <col min="1" max="1" width="11.5546875" style="62" customWidth="1"/>
    <col min="2" max="2" width="7.44140625" style="62" customWidth="1"/>
    <col min="3" max="3" width="11.5546875" style="62" customWidth="1"/>
    <col min="4" max="4" width="7.44140625" style="62" customWidth="1"/>
    <col min="5" max="5" width="11.5546875" style="62" customWidth="1"/>
    <col min="6" max="6" width="7.44140625" style="62" customWidth="1"/>
    <col min="7" max="7" width="11.5546875" style="62" customWidth="1"/>
    <col min="8" max="8" width="7.44140625" style="62" customWidth="1"/>
    <col min="9" max="9" width="11.5546875" style="62" customWidth="1"/>
    <col min="10" max="16384" width="8.88671875" style="62"/>
  </cols>
  <sheetData>
    <row r="1" spans="1:11">
      <c r="A1" s="225" t="str">
        <f>inputPrYr!$D$2</f>
        <v>City of Hiawatha</v>
      </c>
      <c r="B1" s="290"/>
      <c r="C1" s="224"/>
      <c r="D1" s="224"/>
      <c r="E1" s="224"/>
      <c r="F1" s="226" t="s">
        <v>261</v>
      </c>
      <c r="G1" s="224"/>
      <c r="H1" s="224"/>
      <c r="I1" s="224"/>
      <c r="J1" s="224"/>
      <c r="K1" s="224">
        <f>inputPrYr!$C$5</f>
        <v>2014</v>
      </c>
    </row>
    <row r="2" spans="1:11">
      <c r="A2" s="224"/>
      <c r="B2" s="224"/>
      <c r="C2" s="224"/>
      <c r="D2" s="224"/>
      <c r="E2" s="224"/>
      <c r="F2" s="291" t="str">
        <f>CONCATENATE("(Only the actual budget year for ",K1-2," is to be shown)")</f>
        <v>(Only the actual budget year for 2012 is to be shown)</v>
      </c>
      <c r="G2" s="224"/>
      <c r="H2" s="224"/>
      <c r="I2" s="224"/>
      <c r="J2" s="224"/>
      <c r="K2" s="224"/>
    </row>
    <row r="3" spans="1:11">
      <c r="A3" s="224" t="s">
        <v>295</v>
      </c>
      <c r="B3" s="224"/>
      <c r="C3" s="224"/>
      <c r="D3" s="224"/>
      <c r="E3" s="224"/>
      <c r="F3" s="290"/>
      <c r="G3" s="224"/>
      <c r="H3" s="224"/>
      <c r="I3" s="224"/>
      <c r="J3" s="224"/>
      <c r="K3" s="224"/>
    </row>
    <row r="4" spans="1:11">
      <c r="A4" s="224" t="s">
        <v>252</v>
      </c>
      <c r="B4" s="224"/>
      <c r="C4" s="224" t="s">
        <v>253</v>
      </c>
      <c r="D4" s="224"/>
      <c r="E4" s="224" t="s">
        <v>254</v>
      </c>
      <c r="F4" s="290"/>
      <c r="G4" s="224" t="s">
        <v>255</v>
      </c>
      <c r="H4" s="224"/>
      <c r="I4" s="224" t="s">
        <v>256</v>
      </c>
      <c r="J4" s="224"/>
      <c r="K4" s="224"/>
    </row>
    <row r="5" spans="1:11">
      <c r="A5" s="901" t="str">
        <f>IF(inputPrYr!B71&gt;" ",(inputPrYr!B71)," ")</f>
        <v xml:space="preserve"> </v>
      </c>
      <c r="B5" s="902"/>
      <c r="C5" s="901" t="str">
        <f>IF(inputPrYr!B72&gt;" ",(inputPrYr!B72)," ")</f>
        <v xml:space="preserve"> </v>
      </c>
      <c r="D5" s="902"/>
      <c r="E5" s="901" t="str">
        <f>IF(inputPrYr!B73&gt;" ",(inputPrYr!B73)," ")</f>
        <v xml:space="preserve"> </v>
      </c>
      <c r="F5" s="902"/>
      <c r="G5" s="901" t="str">
        <f>IF(inputPrYr!B74&gt;" ",(inputPrYr!B74)," ")</f>
        <v xml:space="preserve"> </v>
      </c>
      <c r="H5" s="902"/>
      <c r="I5" s="901" t="str">
        <f>IF(inputPrYr!B75&gt;" ",(inputPrYr!B75)," ")</f>
        <v xml:space="preserve"> </v>
      </c>
      <c r="J5" s="902"/>
      <c r="K5" s="194"/>
    </row>
    <row r="6" spans="1:11">
      <c r="A6" s="294" t="s">
        <v>257</v>
      </c>
      <c r="B6" s="295"/>
      <c r="C6" s="296" t="s">
        <v>257</v>
      </c>
      <c r="D6" s="297"/>
      <c r="E6" s="296" t="s">
        <v>257</v>
      </c>
      <c r="F6" s="293"/>
      <c r="G6" s="296" t="s">
        <v>257</v>
      </c>
      <c r="H6" s="298"/>
      <c r="I6" s="296" t="s">
        <v>257</v>
      </c>
      <c r="J6" s="224"/>
      <c r="K6" s="299" t="s">
        <v>77</v>
      </c>
    </row>
    <row r="7" spans="1:11">
      <c r="A7" s="300" t="s">
        <v>22</v>
      </c>
      <c r="B7" s="301"/>
      <c r="C7" s="302" t="s">
        <v>22</v>
      </c>
      <c r="D7" s="301"/>
      <c r="E7" s="302" t="s">
        <v>22</v>
      </c>
      <c r="F7" s="301"/>
      <c r="G7" s="302" t="s">
        <v>22</v>
      </c>
      <c r="H7" s="301"/>
      <c r="I7" s="302" t="s">
        <v>22</v>
      </c>
      <c r="J7" s="301"/>
      <c r="K7" s="303">
        <f>SUM(B7+D7+F7+H7+J7)</f>
        <v>0</v>
      </c>
    </row>
    <row r="8" spans="1:11">
      <c r="A8" s="304" t="s">
        <v>230</v>
      </c>
      <c r="B8" s="305"/>
      <c r="C8" s="304" t="s">
        <v>230</v>
      </c>
      <c r="D8" s="306"/>
      <c r="E8" s="304" t="s">
        <v>230</v>
      </c>
      <c r="F8" s="290"/>
      <c r="G8" s="304" t="s">
        <v>230</v>
      </c>
      <c r="H8" s="224"/>
      <c r="I8" s="304" t="s">
        <v>230</v>
      </c>
      <c r="J8" s="224"/>
      <c r="K8" s="290"/>
    </row>
    <row r="9" spans="1:11">
      <c r="A9" s="307"/>
      <c r="B9" s="301"/>
      <c r="C9" s="307"/>
      <c r="D9" s="301"/>
      <c r="E9" s="307"/>
      <c r="F9" s="301"/>
      <c r="G9" s="307"/>
      <c r="H9" s="301"/>
      <c r="I9" s="307"/>
      <c r="J9" s="301"/>
      <c r="K9" s="290"/>
    </row>
    <row r="10" spans="1:11">
      <c r="A10" s="307"/>
      <c r="B10" s="301"/>
      <c r="C10" s="307"/>
      <c r="D10" s="301"/>
      <c r="E10" s="307"/>
      <c r="F10" s="301"/>
      <c r="G10" s="307"/>
      <c r="H10" s="301"/>
      <c r="I10" s="307"/>
      <c r="J10" s="301"/>
      <c r="K10" s="290"/>
    </row>
    <row r="11" spans="1:11">
      <c r="A11" s="307"/>
      <c r="B11" s="301"/>
      <c r="C11" s="308"/>
      <c r="D11" s="301"/>
      <c r="E11" s="308"/>
      <c r="F11" s="301"/>
      <c r="G11" s="308"/>
      <c r="H11" s="301"/>
      <c r="I11" s="309"/>
      <c r="J11" s="301"/>
      <c r="K11" s="290"/>
    </row>
    <row r="12" spans="1:11">
      <c r="A12" s="307"/>
      <c r="B12" s="301"/>
      <c r="C12" s="307"/>
      <c r="D12" s="301"/>
      <c r="E12" s="310"/>
      <c r="F12" s="301"/>
      <c r="G12" s="310"/>
      <c r="H12" s="301"/>
      <c r="I12" s="310"/>
      <c r="J12" s="301"/>
      <c r="K12" s="290"/>
    </row>
    <row r="13" spans="1:11">
      <c r="A13" s="311"/>
      <c r="B13" s="301"/>
      <c r="C13" s="312"/>
      <c r="D13" s="301"/>
      <c r="E13" s="312"/>
      <c r="F13" s="301"/>
      <c r="G13" s="312"/>
      <c r="H13" s="301"/>
      <c r="I13" s="309"/>
      <c r="J13" s="301"/>
      <c r="K13" s="290"/>
    </row>
    <row r="14" spans="1:11">
      <c r="A14" s="307"/>
      <c r="B14" s="301"/>
      <c r="C14" s="310"/>
      <c r="D14" s="301"/>
      <c r="E14" s="310"/>
      <c r="F14" s="301"/>
      <c r="G14" s="310"/>
      <c r="H14" s="301"/>
      <c r="I14" s="310"/>
      <c r="J14" s="301"/>
      <c r="K14" s="290"/>
    </row>
    <row r="15" spans="1:11">
      <c r="A15" s="307"/>
      <c r="B15" s="301"/>
      <c r="C15" s="310"/>
      <c r="D15" s="301"/>
      <c r="E15" s="310"/>
      <c r="F15" s="301"/>
      <c r="G15" s="310"/>
      <c r="H15" s="301"/>
      <c r="I15" s="310"/>
      <c r="J15" s="301"/>
      <c r="K15" s="290"/>
    </row>
    <row r="16" spans="1:11">
      <c r="A16" s="307"/>
      <c r="B16" s="301"/>
      <c r="C16" s="307"/>
      <c r="D16" s="301"/>
      <c r="E16" s="307"/>
      <c r="F16" s="301"/>
      <c r="G16" s="310"/>
      <c r="H16" s="301"/>
      <c r="I16" s="307"/>
      <c r="J16" s="301"/>
      <c r="K16" s="290"/>
    </row>
    <row r="17" spans="1:12">
      <c r="A17" s="304" t="s">
        <v>114</v>
      </c>
      <c r="B17" s="303">
        <f>SUM(B9:B16)</f>
        <v>0</v>
      </c>
      <c r="C17" s="304" t="s">
        <v>114</v>
      </c>
      <c r="D17" s="303">
        <f>SUM(D9:D16)</f>
        <v>0</v>
      </c>
      <c r="E17" s="304" t="s">
        <v>114</v>
      </c>
      <c r="F17" s="481">
        <f>SUM(F9:F16)</f>
        <v>0</v>
      </c>
      <c r="G17" s="304" t="s">
        <v>114</v>
      </c>
      <c r="H17" s="303">
        <f>SUM(H9:H16)</f>
        <v>0</v>
      </c>
      <c r="I17" s="304" t="s">
        <v>114</v>
      </c>
      <c r="J17" s="303">
        <f>SUM(J9:J16)</f>
        <v>0</v>
      </c>
      <c r="K17" s="303">
        <f>SUM(B17+D17+F17+H17+J17)</f>
        <v>0</v>
      </c>
    </row>
    <row r="18" spans="1:12">
      <c r="A18" s="304" t="s">
        <v>115</v>
      </c>
      <c r="B18" s="303">
        <f>SUM(B7+B17)</f>
        <v>0</v>
      </c>
      <c r="C18" s="304" t="s">
        <v>115</v>
      </c>
      <c r="D18" s="303">
        <f>SUM(D7+D17)</f>
        <v>0</v>
      </c>
      <c r="E18" s="304" t="s">
        <v>115</v>
      </c>
      <c r="F18" s="303">
        <f>SUM(F7+F17)</f>
        <v>0</v>
      </c>
      <c r="G18" s="304" t="s">
        <v>115</v>
      </c>
      <c r="H18" s="303">
        <f>SUM(H7+H17)</f>
        <v>0</v>
      </c>
      <c r="I18" s="304" t="s">
        <v>115</v>
      </c>
      <c r="J18" s="303">
        <f>SUM(J7+J17)</f>
        <v>0</v>
      </c>
      <c r="K18" s="303">
        <f>SUM(B18+D18+F18+H18+J18)</f>
        <v>0</v>
      </c>
    </row>
    <row r="19" spans="1:12">
      <c r="A19" s="304" t="s">
        <v>117</v>
      </c>
      <c r="B19" s="305"/>
      <c r="C19" s="304" t="s">
        <v>117</v>
      </c>
      <c r="D19" s="306"/>
      <c r="E19" s="304" t="s">
        <v>117</v>
      </c>
      <c r="F19" s="290"/>
      <c r="G19" s="304" t="s">
        <v>117</v>
      </c>
      <c r="H19" s="224"/>
      <c r="I19" s="304" t="s">
        <v>117</v>
      </c>
      <c r="J19" s="224"/>
      <c r="K19" s="290"/>
    </row>
    <row r="20" spans="1:12">
      <c r="A20" s="307"/>
      <c r="B20" s="301"/>
      <c r="C20" s="310"/>
      <c r="D20" s="301"/>
      <c r="E20" s="310"/>
      <c r="F20" s="301"/>
      <c r="G20" s="310"/>
      <c r="H20" s="301"/>
      <c r="I20" s="310"/>
      <c r="J20" s="301"/>
      <c r="K20" s="290"/>
    </row>
    <row r="21" spans="1:12">
      <c r="A21" s="307"/>
      <c r="B21" s="301"/>
      <c r="C21" s="310"/>
      <c r="D21" s="301"/>
      <c r="E21" s="310"/>
      <c r="F21" s="301"/>
      <c r="G21" s="310"/>
      <c r="H21" s="301"/>
      <c r="I21" s="310"/>
      <c r="J21" s="301"/>
      <c r="K21" s="290"/>
    </row>
    <row r="22" spans="1:12">
      <c r="A22" s="307"/>
      <c r="B22" s="301"/>
      <c r="C22" s="312"/>
      <c r="D22" s="301"/>
      <c r="E22" s="312"/>
      <c r="F22" s="301"/>
      <c r="G22" s="312"/>
      <c r="H22" s="301"/>
      <c r="I22" s="309"/>
      <c r="J22" s="301"/>
      <c r="K22" s="290"/>
    </row>
    <row r="23" spans="1:12">
      <c r="A23" s="307"/>
      <c r="B23" s="301"/>
      <c r="C23" s="310"/>
      <c r="D23" s="301"/>
      <c r="E23" s="310"/>
      <c r="F23" s="301"/>
      <c r="G23" s="310"/>
      <c r="H23" s="301"/>
      <c r="I23" s="310"/>
      <c r="J23" s="301"/>
      <c r="K23" s="290"/>
    </row>
    <row r="24" spans="1:12">
      <c r="A24" s="307"/>
      <c r="B24" s="301"/>
      <c r="C24" s="312"/>
      <c r="D24" s="301"/>
      <c r="E24" s="312"/>
      <c r="F24" s="301"/>
      <c r="G24" s="312"/>
      <c r="H24" s="301"/>
      <c r="I24" s="309"/>
      <c r="J24" s="301"/>
      <c r="K24" s="290"/>
    </row>
    <row r="25" spans="1:12">
      <c r="A25" s="307"/>
      <c r="B25" s="301"/>
      <c r="C25" s="310"/>
      <c r="D25" s="301"/>
      <c r="E25" s="310"/>
      <c r="F25" s="301"/>
      <c r="G25" s="310"/>
      <c r="H25" s="301"/>
      <c r="I25" s="310"/>
      <c r="J25" s="301"/>
      <c r="K25" s="290"/>
    </row>
    <row r="26" spans="1:12">
      <c r="A26" s="307"/>
      <c r="B26" s="301"/>
      <c r="C26" s="310"/>
      <c r="D26" s="301"/>
      <c r="E26" s="310"/>
      <c r="F26" s="301"/>
      <c r="G26" s="310"/>
      <c r="H26" s="301"/>
      <c r="I26" s="310"/>
      <c r="J26" s="301"/>
      <c r="K26" s="290"/>
    </row>
    <row r="27" spans="1:12">
      <c r="A27" s="307"/>
      <c r="B27" s="301"/>
      <c r="C27" s="307"/>
      <c r="D27" s="301"/>
      <c r="E27" s="307"/>
      <c r="F27" s="301"/>
      <c r="G27" s="310"/>
      <c r="H27" s="301"/>
      <c r="I27" s="310"/>
      <c r="J27" s="301"/>
      <c r="K27" s="290"/>
    </row>
    <row r="28" spans="1:12">
      <c r="A28" s="304" t="s">
        <v>121</v>
      </c>
      <c r="B28" s="303">
        <f>SUM(B20:B27)</f>
        <v>0</v>
      </c>
      <c r="C28" s="304" t="s">
        <v>121</v>
      </c>
      <c r="D28" s="303">
        <f>SUM(D20:D27)</f>
        <v>0</v>
      </c>
      <c r="E28" s="304" t="s">
        <v>121</v>
      </c>
      <c r="F28" s="481">
        <f>SUM(F20:F27)</f>
        <v>0</v>
      </c>
      <c r="G28" s="304" t="s">
        <v>121</v>
      </c>
      <c r="H28" s="481">
        <f>SUM(H20:H27)</f>
        <v>0</v>
      </c>
      <c r="I28" s="304" t="s">
        <v>121</v>
      </c>
      <c r="J28" s="303">
        <f>SUM(J20:J27)</f>
        <v>0</v>
      </c>
      <c r="K28" s="303">
        <f>SUM(B28+D28+F28+H28+J28)</f>
        <v>0</v>
      </c>
    </row>
    <row r="29" spans="1:12">
      <c r="A29" s="304" t="s">
        <v>258</v>
      </c>
      <c r="B29" s="303">
        <f>SUM(B18-B28)</f>
        <v>0</v>
      </c>
      <c r="C29" s="304" t="s">
        <v>258</v>
      </c>
      <c r="D29" s="303">
        <f>SUM(D18-D28)</f>
        <v>0</v>
      </c>
      <c r="E29" s="304" t="s">
        <v>258</v>
      </c>
      <c r="F29" s="303">
        <f>SUM(F18-F28)</f>
        <v>0</v>
      </c>
      <c r="G29" s="304" t="s">
        <v>258</v>
      </c>
      <c r="H29" s="303">
        <f>SUM(H18-H28)</f>
        <v>0</v>
      </c>
      <c r="I29" s="304" t="s">
        <v>258</v>
      </c>
      <c r="J29" s="303">
        <f>SUM(J18-J28)</f>
        <v>0</v>
      </c>
      <c r="K29" s="313">
        <f>SUM(B29+D29+F29+H29+J29)</f>
        <v>0</v>
      </c>
      <c r="L29" s="62" t="s">
        <v>333</v>
      </c>
    </row>
    <row r="30" spans="1:12">
      <c r="A30" s="304"/>
      <c r="B30" s="316" t="str">
        <f>IF(B29&lt;0,"See Tab B","")</f>
        <v/>
      </c>
      <c r="C30" s="304"/>
      <c r="D30" s="316" t="str">
        <f>IF(D29&lt;0,"See Tab B","")</f>
        <v/>
      </c>
      <c r="E30" s="304"/>
      <c r="F30" s="316" t="str">
        <f>IF(F29&lt;0,"See Tab B","")</f>
        <v/>
      </c>
      <c r="G30" s="224"/>
      <c r="H30" s="316" t="str">
        <f>IF(H29&lt;0,"See Tab B","")</f>
        <v/>
      </c>
      <c r="I30" s="224"/>
      <c r="J30" s="316" t="str">
        <f>IF(J29&lt;0,"See Tab B","")</f>
        <v/>
      </c>
      <c r="K30" s="313">
        <f>SUM(K7+K17-K28)</f>
        <v>0</v>
      </c>
      <c r="L30" s="62" t="s">
        <v>333</v>
      </c>
    </row>
    <row r="31" spans="1:12">
      <c r="A31" s="224"/>
      <c r="B31" s="229"/>
      <c r="C31" s="224"/>
      <c r="D31" s="290"/>
      <c r="E31" s="224"/>
      <c r="F31" s="224"/>
      <c r="G31" s="72" t="s">
        <v>334</v>
      </c>
      <c r="H31" s="72"/>
      <c r="I31" s="72"/>
      <c r="J31" s="72"/>
      <c r="K31" s="224"/>
    </row>
    <row r="32" spans="1:12">
      <c r="A32" s="224"/>
      <c r="B32" s="229"/>
      <c r="C32" s="224"/>
      <c r="D32" s="224"/>
      <c r="E32" s="224"/>
      <c r="F32" s="224"/>
      <c r="G32" s="224"/>
      <c r="H32" s="224"/>
      <c r="I32" s="224"/>
      <c r="J32" s="224"/>
      <c r="K32" s="224"/>
    </row>
    <row r="33" spans="1:11">
      <c r="A33" s="224"/>
      <c r="B33" s="229"/>
      <c r="C33" s="224"/>
      <c r="D33" s="224"/>
      <c r="E33" s="238" t="s">
        <v>124</v>
      </c>
      <c r="F33" s="120"/>
      <c r="G33" s="224"/>
      <c r="H33" s="224"/>
      <c r="I33" s="224"/>
      <c r="J33" s="224"/>
      <c r="K33" s="224"/>
    </row>
    <row r="34" spans="1:11">
      <c r="B34" s="314"/>
    </row>
    <row r="35" spans="1:11">
      <c r="B35" s="314"/>
    </row>
    <row r="36" spans="1:11">
      <c r="B36" s="314"/>
    </row>
    <row r="37" spans="1:11">
      <c r="B37" s="314"/>
    </row>
    <row r="38" spans="1:11">
      <c r="B38" s="314"/>
    </row>
    <row r="39" spans="1:11">
      <c r="B39" s="314"/>
    </row>
    <row r="40" spans="1:11">
      <c r="B40" s="314"/>
    </row>
    <row r="41" spans="1:11">
      <c r="B41" s="314"/>
    </row>
  </sheetData>
  <sheetProtection sheet="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A66"/>
  <sheetViews>
    <sheetView workbookViewId="0">
      <selection activeCell="D4" sqref="D4"/>
    </sheetView>
  </sheetViews>
  <sheetFormatPr defaultColWidth="8.88671875" defaultRowHeight="15"/>
  <cols>
    <col min="1" max="1" width="70.5546875" style="47" customWidth="1"/>
    <col min="2" max="16384" width="8.88671875" style="47"/>
  </cols>
  <sheetData>
    <row r="1" spans="1:1" ht="18.75">
      <c r="A1" s="540" t="s">
        <v>416</v>
      </c>
    </row>
    <row r="2" spans="1:1" ht="15.75">
      <c r="A2" s="1"/>
    </row>
    <row r="3" spans="1:1" ht="57" customHeight="1">
      <c r="A3" s="541" t="s">
        <v>417</v>
      </c>
    </row>
    <row r="4" spans="1:1" ht="15.75">
      <c r="A4" s="542"/>
    </row>
    <row r="5" spans="1:1" ht="15.75">
      <c r="A5" s="1"/>
    </row>
    <row r="6" spans="1:1" ht="44.25" customHeight="1">
      <c r="A6" s="541" t="s">
        <v>418</v>
      </c>
    </row>
    <row r="7" spans="1:1" ht="15.75">
      <c r="A7" s="1"/>
    </row>
    <row r="8" spans="1:1" ht="15.75">
      <c r="A8" s="542"/>
    </row>
    <row r="9" spans="1:1" ht="46.5" customHeight="1">
      <c r="A9" s="541" t="s">
        <v>419</v>
      </c>
    </row>
    <row r="10" spans="1:1" ht="15.75">
      <c r="A10" s="1"/>
    </row>
    <row r="11" spans="1:1" ht="15.75">
      <c r="A11" s="542"/>
    </row>
    <row r="12" spans="1:1" ht="60" customHeight="1">
      <c r="A12" s="541" t="s">
        <v>420</v>
      </c>
    </row>
    <row r="13" spans="1:1" ht="15.75">
      <c r="A13" s="1"/>
    </row>
    <row r="14" spans="1:1" ht="15.75">
      <c r="A14" s="1"/>
    </row>
    <row r="15" spans="1:1" ht="61.5" customHeight="1">
      <c r="A15" s="541" t="s">
        <v>421</v>
      </c>
    </row>
    <row r="16" spans="1:1" ht="15.75">
      <c r="A16" s="1"/>
    </row>
    <row r="17" spans="1:1" ht="15.75">
      <c r="A17" s="1"/>
    </row>
    <row r="18" spans="1:1" ht="59.25" customHeight="1">
      <c r="A18" s="541" t="s">
        <v>422</v>
      </c>
    </row>
    <row r="19" spans="1:1" ht="15.75">
      <c r="A19" s="1"/>
    </row>
    <row r="20" spans="1:1" ht="15.75">
      <c r="A20" s="1"/>
    </row>
    <row r="21" spans="1:1" ht="61.5" customHeight="1">
      <c r="A21" s="541" t="s">
        <v>423</v>
      </c>
    </row>
    <row r="22" spans="1:1" ht="15.75">
      <c r="A22" s="542"/>
    </row>
    <row r="23" spans="1:1" ht="15.75">
      <c r="A23" s="542"/>
    </row>
    <row r="24" spans="1:1" ht="63" customHeight="1">
      <c r="A24" s="541" t="s">
        <v>424</v>
      </c>
    </row>
    <row r="25" spans="1:1" ht="15.75">
      <c r="A25" s="1"/>
    </row>
    <row r="26" spans="1:1" ht="15.75">
      <c r="A26" s="1"/>
    </row>
    <row r="27" spans="1:1" ht="52.5" customHeight="1">
      <c r="A27" s="543" t="s">
        <v>765</v>
      </c>
    </row>
    <row r="28" spans="1:1" ht="15.75">
      <c r="A28" s="1"/>
    </row>
    <row r="29" spans="1:1" ht="15.75">
      <c r="A29" s="1"/>
    </row>
    <row r="30" spans="1:1" ht="44.25" customHeight="1">
      <c r="A30" s="541" t="s">
        <v>425</v>
      </c>
    </row>
    <row r="31" spans="1:1" ht="15.75">
      <c r="A31" s="1"/>
    </row>
    <row r="32" spans="1:1" ht="15.75">
      <c r="A32" s="1"/>
    </row>
    <row r="33" spans="1:1" ht="42.75" customHeight="1">
      <c r="A33" s="541" t="s">
        <v>426</v>
      </c>
    </row>
    <row r="34" spans="1:1" ht="15.75">
      <c r="A34" s="542"/>
    </row>
    <row r="35" spans="1:1" ht="15.75">
      <c r="A35" s="542"/>
    </row>
    <row r="36" spans="1:1" ht="38.25" customHeight="1">
      <c r="A36" s="541" t="s">
        <v>427</v>
      </c>
    </row>
    <row r="37" spans="1:1" ht="15.75">
      <c r="A37" s="542"/>
    </row>
    <row r="38" spans="1:1" ht="15.75">
      <c r="A38" s="1"/>
    </row>
    <row r="39" spans="1:1" ht="75.75" customHeight="1">
      <c r="A39" s="541" t="s">
        <v>428</v>
      </c>
    </row>
    <row r="40" spans="1:1" ht="15.75">
      <c r="A40" s="1"/>
    </row>
    <row r="41" spans="1:1" ht="15.75">
      <c r="A41" s="1"/>
    </row>
    <row r="42" spans="1:1" ht="57.75" customHeight="1">
      <c r="A42" s="541" t="s">
        <v>429</v>
      </c>
    </row>
    <row r="43" spans="1:1" ht="15.75">
      <c r="A43" s="542"/>
    </row>
    <row r="44" spans="1:1" ht="15.75">
      <c r="A44" s="1"/>
    </row>
    <row r="45" spans="1:1" ht="57.75" customHeight="1">
      <c r="A45" s="541" t="s">
        <v>430</v>
      </c>
    </row>
    <row r="46" spans="1:1" ht="15.75">
      <c r="A46" s="1"/>
    </row>
    <row r="47" spans="1:1" ht="15.75">
      <c r="A47" s="1"/>
    </row>
    <row r="48" spans="1:1" ht="41.25" customHeight="1">
      <c r="A48" s="541" t="s">
        <v>431</v>
      </c>
    </row>
    <row r="49" spans="1:1" ht="15.75">
      <c r="A49" s="1"/>
    </row>
    <row r="50" spans="1:1" ht="15.75">
      <c r="A50" s="1"/>
    </row>
    <row r="51" spans="1:1" ht="75" customHeight="1">
      <c r="A51" s="541" t="s">
        <v>432</v>
      </c>
    </row>
    <row r="52" spans="1:1" ht="15.75">
      <c r="A52" s="542"/>
    </row>
    <row r="53" spans="1:1" ht="15.75">
      <c r="A53" s="542"/>
    </row>
    <row r="54" spans="1:1" ht="57.75" customHeight="1">
      <c r="A54" s="541" t="s">
        <v>433</v>
      </c>
    </row>
    <row r="55" spans="1:1" ht="15.75">
      <c r="A55" s="1"/>
    </row>
    <row r="56" spans="1:1" ht="15.75">
      <c r="A56" s="1"/>
    </row>
    <row r="57" spans="1:1" ht="44.25" customHeight="1">
      <c r="A57" s="541" t="s">
        <v>434</v>
      </c>
    </row>
    <row r="58" spans="1:1" ht="15.75">
      <c r="A58" s="1"/>
    </row>
    <row r="59" spans="1:1" ht="15.75">
      <c r="A59" s="1"/>
    </row>
    <row r="60" spans="1:1" ht="60" customHeight="1">
      <c r="A60" s="541" t="s">
        <v>435</v>
      </c>
    </row>
    <row r="61" spans="1:1" ht="15.75">
      <c r="A61" s="542"/>
    </row>
    <row r="62" spans="1:1" ht="15.75">
      <c r="A62" s="542"/>
    </row>
    <row r="63" spans="1:1" ht="57.75" customHeight="1">
      <c r="A63" s="541" t="s">
        <v>436</v>
      </c>
    </row>
    <row r="64" spans="1:1" ht="15.75">
      <c r="A64" s="1"/>
    </row>
    <row r="65" spans="1:1" ht="15.75">
      <c r="A65" s="1"/>
    </row>
    <row r="66" spans="1:1" ht="60" customHeight="1">
      <c r="A66" s="541" t="s">
        <v>437</v>
      </c>
    </row>
  </sheetData>
  <sheetProtection sheet="1"/>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67"/>
  <sheetViews>
    <sheetView zoomScale="75" workbookViewId="0">
      <selection activeCell="A5" sqref="A5:H5"/>
    </sheetView>
  </sheetViews>
  <sheetFormatPr defaultColWidth="8.88671875" defaultRowHeight="15.75"/>
  <cols>
    <col min="1" max="1" width="20.77734375" style="62" customWidth="1"/>
    <col min="2" max="2" width="15.77734375" style="62" customWidth="1"/>
    <col min="3" max="3" width="10.77734375" style="62" customWidth="1"/>
    <col min="4" max="4" width="15.77734375" style="62" customWidth="1"/>
    <col min="5" max="5" width="10.77734375" style="62" customWidth="1"/>
    <col min="6" max="6" width="15.77734375" style="62" customWidth="1"/>
    <col min="7" max="7" width="12.77734375" style="62" customWidth="1"/>
    <col min="8" max="8" width="10.77734375" style="62" customWidth="1"/>
    <col min="9" max="9" width="3.6640625" style="62" customWidth="1"/>
    <col min="10" max="10" width="12.44140625" style="62" customWidth="1"/>
    <col min="11" max="11" width="12.33203125" style="62" customWidth="1"/>
    <col min="12" max="12" width="10.5546875" style="62" customWidth="1"/>
    <col min="13" max="13" width="12.109375" style="62" customWidth="1"/>
    <col min="14" max="16384" width="8.88671875" style="62"/>
  </cols>
  <sheetData>
    <row r="1" spans="1:9">
      <c r="A1" s="867" t="s">
        <v>170</v>
      </c>
      <c r="B1" s="867"/>
      <c r="C1" s="867"/>
      <c r="D1" s="867"/>
      <c r="E1" s="867"/>
      <c r="F1" s="867"/>
      <c r="G1" s="867"/>
      <c r="H1" s="867"/>
      <c r="I1" s="84"/>
    </row>
    <row r="2" spans="1:9" ht="18" customHeight="1">
      <c r="A2" s="85"/>
      <c r="B2" s="85"/>
      <c r="C2" s="85"/>
      <c r="D2" s="85"/>
      <c r="E2" s="85"/>
      <c r="F2" s="85"/>
      <c r="G2" s="85"/>
      <c r="H2" s="85">
        <f>inputPrYr!$C$5</f>
        <v>2014</v>
      </c>
    </row>
    <row r="3" spans="1:9" ht="18" customHeight="1">
      <c r="A3" s="859" t="s">
        <v>127</v>
      </c>
      <c r="B3" s="859"/>
      <c r="C3" s="859"/>
      <c r="D3" s="859"/>
      <c r="E3" s="859"/>
      <c r="F3" s="859"/>
      <c r="G3" s="859"/>
      <c r="H3" s="859"/>
    </row>
    <row r="4" spans="1:9">
      <c r="A4" s="857" t="str">
        <f>inputPrYr!D2</f>
        <v>City of Hiawatha</v>
      </c>
      <c r="B4" s="857"/>
      <c r="C4" s="857"/>
      <c r="D4" s="857"/>
      <c r="E4" s="857"/>
      <c r="F4" s="857"/>
      <c r="G4" s="857"/>
      <c r="H4" s="857"/>
    </row>
    <row r="5" spans="1:9" ht="18" customHeight="1">
      <c r="A5" s="915" t="str">
        <f>CONCATENATE("will meet on ",inputBudSum!B7," at ",inputBudSum!B9," at ",inputBudSum!B11," for the purpose of hearing and")</f>
        <v>will meet on August 19, 2013 at 5:35 p.m. at Hiawatha City Hall, 701 Oregon St. for the purpose of hearing and</v>
      </c>
      <c r="B5" s="915"/>
      <c r="C5" s="915"/>
      <c r="D5" s="915"/>
      <c r="E5" s="915"/>
      <c r="F5" s="915"/>
      <c r="G5" s="915"/>
      <c r="H5" s="915"/>
    </row>
    <row r="6" spans="1:9" ht="16.5" customHeight="1">
      <c r="A6" s="859" t="s">
        <v>674</v>
      </c>
      <c r="B6" s="859"/>
      <c r="C6" s="859"/>
      <c r="D6" s="859"/>
      <c r="E6" s="859"/>
      <c r="F6" s="859"/>
      <c r="G6" s="859"/>
      <c r="H6" s="859"/>
    </row>
    <row r="7" spans="1:9" ht="16.5" customHeight="1">
      <c r="A7" s="915" t="str">
        <f>CONCATENATE("Detailed budget information is available at ",inputBudSum!B14," and will be available at this hearing.")</f>
        <v>Detailed budget information is available at Hiawatha City Hall, 701 Oregon St. and will be available at this hearing.</v>
      </c>
      <c r="B7" s="915"/>
      <c r="C7" s="915"/>
      <c r="D7" s="915"/>
      <c r="E7" s="915"/>
      <c r="F7" s="915"/>
      <c r="G7" s="915"/>
      <c r="H7" s="915"/>
    </row>
    <row r="8" spans="1:9">
      <c r="A8" s="87" t="s">
        <v>171</v>
      </c>
      <c r="B8" s="88"/>
      <c r="C8" s="88"/>
      <c r="D8" s="88"/>
      <c r="E8" s="88"/>
      <c r="F8" s="88"/>
      <c r="G8" s="88"/>
      <c r="H8" s="88"/>
    </row>
    <row r="9" spans="1:9">
      <c r="A9" s="89" t="str">
        <f>CONCATENATE("Proposed Budget ",H2," Expenditures and Amount of ",H2-1," Ad Valorem Tax establish the maximum limits of the ",H2," budget.")</f>
        <v>Proposed Budget 2014 Expenditures and Amount of 2013 Ad Valorem Tax establish the maximum limits of the 2014 budget.</v>
      </c>
      <c r="B9" s="88"/>
      <c r="C9" s="88"/>
      <c r="D9" s="88"/>
      <c r="E9" s="88"/>
      <c r="F9" s="88"/>
      <c r="G9" s="88"/>
      <c r="H9" s="88"/>
    </row>
    <row r="10" spans="1:9">
      <c r="A10" s="89" t="s">
        <v>235</v>
      </c>
      <c r="B10" s="88"/>
      <c r="C10" s="88"/>
      <c r="D10" s="88"/>
      <c r="E10" s="88"/>
      <c r="F10" s="88"/>
      <c r="G10" s="88"/>
      <c r="H10" s="88"/>
    </row>
    <row r="11" spans="1:9">
      <c r="A11" s="85"/>
      <c r="B11" s="90"/>
      <c r="C11" s="90"/>
      <c r="D11" s="90"/>
      <c r="E11" s="90"/>
      <c r="F11" s="90"/>
      <c r="G11" s="90"/>
      <c r="H11" s="90"/>
    </row>
    <row r="12" spans="1:9">
      <c r="A12" s="85"/>
      <c r="B12" s="91" t="str">
        <f>CONCATENATE("Prior Year Actual for ",H2-2,"")</f>
        <v>Prior Year Actual for 2012</v>
      </c>
      <c r="C12" s="92"/>
      <c r="D12" s="91" t="str">
        <f>CONCATENATE("Current Year Estimate for ",H2-1,"")</f>
        <v>Current Year Estimate for 2013</v>
      </c>
      <c r="E12" s="92"/>
      <c r="F12" s="93" t="str">
        <f>CONCATENATE("Proposed Budget for ",H2,"")</f>
        <v>Proposed Budget for 2014</v>
      </c>
      <c r="G12" s="94"/>
      <c r="H12" s="92"/>
    </row>
    <row r="13" spans="1:9" ht="21" customHeight="1">
      <c r="A13" s="85"/>
      <c r="B13" s="95"/>
      <c r="C13" s="96" t="s">
        <v>128</v>
      </c>
      <c r="D13" s="96"/>
      <c r="E13" s="96" t="s">
        <v>128</v>
      </c>
      <c r="F13" s="606" t="s">
        <v>8</v>
      </c>
      <c r="G13" s="96" t="str">
        <f>CONCATENATE("Amount of ",H2-1,"")</f>
        <v>Amount of 2013</v>
      </c>
      <c r="H13" s="96" t="s">
        <v>298</v>
      </c>
    </row>
    <row r="14" spans="1:9">
      <c r="A14" s="97" t="s">
        <v>129</v>
      </c>
      <c r="B14" s="98" t="s">
        <v>130</v>
      </c>
      <c r="C14" s="98" t="s">
        <v>131</v>
      </c>
      <c r="D14" s="98" t="s">
        <v>130</v>
      </c>
      <c r="E14" s="98" t="s">
        <v>131</v>
      </c>
      <c r="F14" s="607" t="s">
        <v>781</v>
      </c>
      <c r="G14" s="99" t="s">
        <v>106</v>
      </c>
      <c r="H14" s="98" t="s">
        <v>131</v>
      </c>
    </row>
    <row r="15" spans="1:9">
      <c r="A15" s="100" t="str">
        <f>inputPrYr!B17</f>
        <v>General</v>
      </c>
      <c r="B15" s="100">
        <f>IF(general!$C$111&lt;&gt;0,general!$C$111,"  ")</f>
        <v>1610888</v>
      </c>
      <c r="C15" s="101">
        <f>IF(inputPrYr!D80&gt;0,inputPrYr!D80,"  ")</f>
        <v>17.675000000000001</v>
      </c>
      <c r="D15" s="100">
        <f>IF(general!$D$111&lt;&gt;0,general!$D$111,"  ")</f>
        <v>1399376</v>
      </c>
      <c r="E15" s="101">
        <f>IF(inputOth!D22&gt;0,inputOth!D22,"  ")</f>
        <v>9.9149999999999991</v>
      </c>
      <c r="F15" s="100">
        <f>IF(general!$E$111&lt;&gt;0,general!$E$111,"  ")</f>
        <v>1704635</v>
      </c>
      <c r="G15" s="100">
        <f>IF(general!$E$118&lt;&gt;0,general!$E$118,"  ")</f>
        <v>364104</v>
      </c>
      <c r="H15" s="101">
        <f>IF(general!E118&gt;0,ROUND(G15/$F$53*1000,3),"  ")</f>
        <v>16.673999999999999</v>
      </c>
    </row>
    <row r="16" spans="1:9">
      <c r="A16" s="100" t="str">
        <f>inputPrYr!B18</f>
        <v>Debt Service</v>
      </c>
      <c r="B16" s="100">
        <f>IF('DebtSvs-Library'!C33&lt;&gt;0,'DebtSvs-Library'!C33,"  ")</f>
        <v>812944</v>
      </c>
      <c r="C16" s="101">
        <f>IF(inputPrYr!D81&gt;0,inputPrYr!D81,"  ")</f>
        <v>8.1219999999999999</v>
      </c>
      <c r="D16" s="100">
        <f>IF('DebtSvs-Library'!D33&lt;&gt;0,'DebtSvs-Library'!D33,"  ")</f>
        <v>691237</v>
      </c>
      <c r="E16" s="101">
        <f>IF(inputOth!D23&gt;0,inputOth!D23,"  ")</f>
        <v>16.332000000000001</v>
      </c>
      <c r="F16" s="100">
        <f>IF('DebtSvs-Library'!E33&lt;&gt;0,'DebtSvs-Library'!E33,"  ")</f>
        <v>1100315</v>
      </c>
      <c r="G16" s="100">
        <f>IF('DebtSvs-Library'!E40&lt;&gt;0,'DebtSvs-Library'!E40,"  ")</f>
        <v>169594</v>
      </c>
      <c r="H16" s="101">
        <f>IF('DebtSvs-Library'!E40&gt;0,ROUND(G16/$F$53*1000,3),"  ")</f>
        <v>7.766</v>
      </c>
    </row>
    <row r="17" spans="1:8">
      <c r="A17" s="100" t="str">
        <f>IF(inputPrYr!$B19&gt;"  ",(inputPrYr!$B19),"  ")</f>
        <v>Library</v>
      </c>
      <c r="B17" s="100">
        <f>IF('DebtSvs-Library'!C73&lt;&gt;0,'DebtSvs-Library'!C73,"  ")</f>
        <v>126166</v>
      </c>
      <c r="C17" s="101">
        <f>IF(inputPrYr!D82&gt;0,inputPrYr!D82,"  ")</f>
        <v>5.56</v>
      </c>
      <c r="D17" s="100">
        <f>IF('DebtSvs-Library'!D73&lt;&gt;0,'DebtSvs-Library'!D73,"  ")</f>
        <v>129053</v>
      </c>
      <c r="E17" s="101">
        <f>IF(inputOth!D24&gt;0,inputOth!D24,"  ")</f>
        <v>5.601</v>
      </c>
      <c r="F17" s="100">
        <f>IF('DebtSvs-Library'!E73&lt;&gt;0,'DebtSvs-Library'!E73,"  ")</f>
        <v>158523</v>
      </c>
      <c r="G17" s="100">
        <f>IF('DebtSvs-Library'!E80&lt;&gt;0,'DebtSvs-Library'!E80,"  ")</f>
        <v>147064</v>
      </c>
      <c r="H17" s="101">
        <f>IF('DebtSvs-Library'!E80&lt;&gt;0,ROUND(G17/$F$53*1000,3),"  ")</f>
        <v>6.7350000000000003</v>
      </c>
    </row>
    <row r="18" spans="1:8">
      <c r="A18" s="100" t="str">
        <f>IF(inputPrYr!$B21&gt;"  ",(inputPrYr!$B21),"  ")</f>
        <v>Industrial</v>
      </c>
      <c r="B18" s="100">
        <f>IF('Industrial-Rec'!$C$33&gt;0,'Industrial-Rec'!$C$33,"  ")</f>
        <v>203194</v>
      </c>
      <c r="C18" s="101">
        <f>IF(inputPrYr!D83&gt;0,inputPrYr!D83,"  ")</f>
        <v>0.73799999999999999</v>
      </c>
      <c r="D18" s="100">
        <f>IF('Industrial-Rec'!$D$33&gt;0,'Industrial-Rec'!$D$33,"  ")</f>
        <v>204360</v>
      </c>
      <c r="E18" s="101" t="str">
        <f>IF(inputOth!D25&gt;0,inputOth!D25,"  ")</f>
        <v xml:space="preserve">  </v>
      </c>
      <c r="F18" s="100">
        <f>IF('Industrial-Rec'!$E$33&gt;0,'Industrial-Rec'!$E$33,"  ")</f>
        <v>225175</v>
      </c>
      <c r="G18" s="100" t="str">
        <f>IF('Industrial-Rec'!$E$40&lt;&gt;0,'Industrial-Rec'!$E$40,"  ")</f>
        <v xml:space="preserve">  </v>
      </c>
      <c r="H18" s="101" t="str">
        <f>IF('Industrial-Rec'!E40&lt;&gt;0,ROUND(G18/$F$53*1000,3),"  ")</f>
        <v xml:space="preserve">  </v>
      </c>
    </row>
    <row r="19" spans="1:8">
      <c r="A19" s="100" t="str">
        <f>IF(inputPrYr!$B22&gt;"  ",(inputPrYr!$B22),"  ")</f>
        <v>Recreation</v>
      </c>
      <c r="B19" s="100">
        <f>IF('Industrial-Rec'!$C$73&gt;0,'Industrial-Rec'!$C$73,"  ")</f>
        <v>37973</v>
      </c>
      <c r="C19" s="101">
        <f>IF(inputPrYr!D84&gt;0,inputPrYr!D84,"  ")</f>
        <v>1.8049999999999999</v>
      </c>
      <c r="D19" s="100">
        <f>IF('Industrial-Rec'!$D$73&gt;0,'Industrial-Rec'!$D$73,"  ")</f>
        <v>46100</v>
      </c>
      <c r="E19" s="101">
        <f>IF(inputOth!D26&gt;0,inputOth!D26,"  ")</f>
        <v>1.6559999999999999</v>
      </c>
      <c r="F19" s="100">
        <f>IF('Industrial-Rec'!$E$73&gt;0,'Industrial-Rec'!$E$73,"  ")</f>
        <v>43450</v>
      </c>
      <c r="G19" s="100" t="str">
        <f>IF('Industrial-Rec'!$E$80&lt;&gt;0,'Industrial-Rec'!$E$80,"  ")</f>
        <v xml:space="preserve">  </v>
      </c>
      <c r="H19" s="101" t="str">
        <f>IF('Industrial-Rec'!E80&lt;&gt;0,ROUND(G19/$F$53*1000,3),"  ")</f>
        <v xml:space="preserve">  </v>
      </c>
    </row>
    <row r="20" spans="1:8">
      <c r="A20" s="100" t="str">
        <f>IF(inputPrYr!$B23&gt;"  ",(inputPrYr!$B23),"  ")</f>
        <v>Employee Benefits</v>
      </c>
      <c r="B20" s="100">
        <f>IF('Employee Benefits'!$C$33&gt;0,'Employee Benefits'!$C$33,"  ")</f>
        <v>320542</v>
      </c>
      <c r="C20" s="101">
        <f>IF(inputPrYr!D85&gt;0,inputPrYr!D85,"  ")</f>
        <v>14.016999999999999</v>
      </c>
      <c r="D20" s="100">
        <f>IF('Employee Benefits'!$D$33&gt;0,'Employee Benefits'!$D$33,"  ")</f>
        <v>407400</v>
      </c>
      <c r="E20" s="101">
        <f>IF(inputOth!D27&gt;0,inputOth!D27,"  ")</f>
        <v>14.256</v>
      </c>
      <c r="F20" s="100">
        <f>IF('Employee Benefits'!$E$33&gt;0,'Employee Benefits'!$E$33,"  ")</f>
        <v>442528</v>
      </c>
      <c r="G20" s="100">
        <f>IF('Employee Benefits'!$E$40&lt;&gt;0,'Employee Benefits'!$E$40,"  ")</f>
        <v>319096</v>
      </c>
      <c r="H20" s="101">
        <f>IF('Employee Benefits'!E40&lt;&gt;0,ROUND(G20/$F$53*1000,3),"  ")</f>
        <v>14.613</v>
      </c>
    </row>
    <row r="21" spans="1:8">
      <c r="A21" s="100" t="str">
        <f>IF(inputPrYr!$B24&gt;"  ",(inputPrYr!$B24),"  ")</f>
        <v xml:space="preserve">  </v>
      </c>
      <c r="B21" s="100" t="str">
        <f>IF('Employee Benefits'!$C$73&gt;0,'Employee Benefits'!$C$73,"  ")</f>
        <v xml:space="preserve">  </v>
      </c>
      <c r="C21" s="101" t="str">
        <f>IF(inputPrYr!D86&gt;0,inputPrYr!D86,"  ")</f>
        <v xml:space="preserve">  </v>
      </c>
      <c r="D21" s="100" t="str">
        <f>IF('Employee Benefits'!$D$73&gt;0,'Employee Benefits'!$D$73,"  ")</f>
        <v xml:space="preserve">  </v>
      </c>
      <c r="E21" s="101" t="str">
        <f>IF(inputOth!D28&gt;0,inputOth!D28,"  ")</f>
        <v xml:space="preserve">  </v>
      </c>
      <c r="F21" s="100" t="str">
        <f>IF('Employee Benefits'!$E$73&gt;0,'Employee Benefits'!$E$73,"  ")</f>
        <v xml:space="preserve">  </v>
      </c>
      <c r="G21" s="100" t="str">
        <f>IF('Employee Benefits'!$E$80&lt;&gt;0,'Employee Benefits'!$E$80,"  ")</f>
        <v xml:space="preserve">  </v>
      </c>
      <c r="H21" s="101" t="str">
        <f>IF('Employee Benefits'!E80&lt;&gt;0,ROUND(G21/$F$53*1000,3),"  ")</f>
        <v xml:space="preserve">  </v>
      </c>
    </row>
    <row r="22" spans="1:8">
      <c r="A22" s="100" t="str">
        <f>IF(inputPrYr!$B25&gt;"  ",(inputPrYr!$B25),"  ")</f>
        <v xml:space="preserve">  </v>
      </c>
      <c r="B22" s="100" t="str">
        <f>IF('levy page11'!$C$33&gt;0,'levy page11'!$C$33,"  ")</f>
        <v xml:space="preserve">  </v>
      </c>
      <c r="C22" s="101" t="str">
        <f>IF(inputPrYr!D87&gt;0,inputPrYr!D87,"  ")</f>
        <v xml:space="preserve">  </v>
      </c>
      <c r="D22" s="100" t="str">
        <f>IF('levy page11'!$D$33&gt;0,'levy page11'!$D$33,"  ")</f>
        <v xml:space="preserve">  </v>
      </c>
      <c r="E22" s="101" t="str">
        <f>IF(inputOth!D29&gt;0,inputOth!D29,"  ")</f>
        <v xml:space="preserve">  </v>
      </c>
      <c r="F22" s="100" t="str">
        <f>IF('levy page11'!$E$33&gt;0,'levy page11'!$E$33,"  ")</f>
        <v xml:space="preserve">  </v>
      </c>
      <c r="G22" s="100" t="str">
        <f>IF('levy page11'!$E$40&lt;&gt;0,'levy page11'!$E$40,"  ")</f>
        <v xml:space="preserve">  </v>
      </c>
      <c r="H22" s="101" t="str">
        <f>IF('levy page11'!E40&lt;&gt;0,ROUND(G22/$F$53*1000,3),"  ")</f>
        <v xml:space="preserve">  </v>
      </c>
    </row>
    <row r="23" spans="1:8">
      <c r="A23" s="100" t="str">
        <f>IF(inputPrYr!$B26&gt;"  ",(inputPrYr!$B26),"  ")</f>
        <v xml:space="preserve">  </v>
      </c>
      <c r="B23" s="100" t="str">
        <f>IF('levy page11'!$C$73&gt;0,'levy page11'!$C$73,"  ")</f>
        <v xml:space="preserve">  </v>
      </c>
      <c r="C23" s="101" t="str">
        <f>IF(inputPrYr!D88&gt;0,inputPrYr!D88,"  ")</f>
        <v xml:space="preserve">  </v>
      </c>
      <c r="D23" s="100" t="str">
        <f>IF('levy page11'!$D$73&gt;0,'levy page11'!$D$73,"  ")</f>
        <v xml:space="preserve">  </v>
      </c>
      <c r="E23" s="101" t="str">
        <f>IF(inputOth!D30&gt;0,inputOth!D30,"  ")</f>
        <v xml:space="preserve">  </v>
      </c>
      <c r="F23" s="100" t="str">
        <f>IF('levy page11'!$E$73&gt;0,'levy page11'!$E$73,"  ")</f>
        <v xml:space="preserve">  </v>
      </c>
      <c r="G23" s="100" t="str">
        <f>IF('levy page11'!$E$80&lt;&gt;0,'levy page11'!$E$80,"  ")</f>
        <v xml:space="preserve">  </v>
      </c>
      <c r="H23" s="101" t="str">
        <f>IF('levy page11'!E80&lt;&gt;0,ROUND(G23/$F$53*1000,3),"  ")</f>
        <v xml:space="preserve">  </v>
      </c>
    </row>
    <row r="24" spans="1:8">
      <c r="A24" s="100" t="str">
        <f>IF(inputPrYr!$B27&gt;"  ",(inputPrYr!$B27),"  ")</f>
        <v xml:space="preserve">  </v>
      </c>
      <c r="B24" s="100" t="str">
        <f>IF('levy page12'!$C$33&gt;0,'levy page12'!$C$33,"  ")</f>
        <v xml:space="preserve">  </v>
      </c>
      <c r="C24" s="101" t="str">
        <f>IF(inputPrYr!D89&gt;0,inputPrYr!D89,"  ")</f>
        <v xml:space="preserve">  </v>
      </c>
      <c r="D24" s="100" t="str">
        <f>IF('levy page12'!$D$33&gt;0,'levy page12'!$D$33,"  ")</f>
        <v xml:space="preserve">  </v>
      </c>
      <c r="E24" s="101" t="str">
        <f>IF(inputOth!D31&gt;0,inputOth!D31,"  ")</f>
        <v xml:space="preserve">  </v>
      </c>
      <c r="F24" s="100" t="str">
        <f>IF('levy page12'!$E$33&gt;0,'levy page12'!$E$33,"  ")</f>
        <v xml:space="preserve">  </v>
      </c>
      <c r="G24" s="100" t="str">
        <f>IF('levy page12'!$E$40&lt;&gt;0,'levy page12'!$E$40,"  ")</f>
        <v xml:space="preserve">  </v>
      </c>
      <c r="H24" s="101" t="str">
        <f>IF('levy page12'!E40&lt;&gt;0,ROUND(G24/$F$53*1000,3),"  ")</f>
        <v xml:space="preserve">  </v>
      </c>
    </row>
    <row r="25" spans="1:8">
      <c r="A25" s="100" t="str">
        <f>IF(inputPrYr!$B28&gt;"  ",(inputPrYr!$B28),"  ")</f>
        <v xml:space="preserve">  </v>
      </c>
      <c r="B25" s="100" t="str">
        <f>IF('levy page12'!$C$73&gt;0,'levy page12'!$C$73,"  ")</f>
        <v xml:space="preserve">  </v>
      </c>
      <c r="C25" s="101" t="str">
        <f>IF(inputPrYr!D90&gt;0,inputPrYr!D90,"  ")</f>
        <v xml:space="preserve">  </v>
      </c>
      <c r="D25" s="100" t="str">
        <f>IF('levy page12'!$D$73&gt;0,'levy page12'!$D$73,"  ")</f>
        <v xml:space="preserve">  </v>
      </c>
      <c r="E25" s="101" t="str">
        <f>IF(inputOth!D32&gt;0,inputOth!D32,"  ")</f>
        <v xml:space="preserve">  </v>
      </c>
      <c r="F25" s="100" t="str">
        <f>IF('levy page12'!$E$73&gt;0,'levy page12'!$E$73,"  ")</f>
        <v xml:space="preserve">  </v>
      </c>
      <c r="G25" s="100" t="str">
        <f>IF('levy page12'!$E$80&lt;&gt;0,'levy page12'!$E$80,"  ")</f>
        <v xml:space="preserve">  </v>
      </c>
      <c r="H25" s="101" t="str">
        <f>IF('levy page12'!E80&lt;&gt;0,ROUND(G25/$F$53*1000,3),"  ")</f>
        <v xml:space="preserve">  </v>
      </c>
    </row>
    <row r="26" spans="1:8">
      <c r="A26" s="100" t="str">
        <f>IF(inputPrYr!$B29&gt;"  ",(inputPrYr!$B29),"  ")</f>
        <v xml:space="preserve">  </v>
      </c>
      <c r="B26" s="100" t="str">
        <f>IF('levy page13'!$C$33&gt;0,'levy page13'!$C$33,"  ")</f>
        <v xml:space="preserve">  </v>
      </c>
      <c r="C26" s="101" t="str">
        <f>IF(inputPrYr!D91&gt;0,inputPrYr!D91,"  ")</f>
        <v xml:space="preserve">  </v>
      </c>
      <c r="D26" s="100" t="str">
        <f>IF('levy page13'!$D$33&gt;0,'levy page13'!$D$33,"  ")</f>
        <v xml:space="preserve">  </v>
      </c>
      <c r="E26" s="101" t="str">
        <f>IF(inputOth!D33&gt;0,inputOth!D33,"  ")</f>
        <v xml:space="preserve">  </v>
      </c>
      <c r="F26" s="100" t="str">
        <f>IF('levy page13'!$E$33&gt;0,'levy page13'!$E$33,"  ")</f>
        <v xml:space="preserve">  </v>
      </c>
      <c r="G26" s="100" t="str">
        <f>IF('levy page13'!$E$40&lt;&gt;0,'levy page13'!$E$40,"  ")</f>
        <v xml:space="preserve">  </v>
      </c>
      <c r="H26" s="101" t="str">
        <f>IF('levy page13'!E40&lt;&gt;0,ROUND(G26/$F$53*1000,3),"  ")</f>
        <v xml:space="preserve">  </v>
      </c>
    </row>
    <row r="27" spans="1:8">
      <c r="A27" s="100" t="str">
        <f>IF(inputPrYr!$B30&gt;"  ",(inputPrYr!$B30),"  ")</f>
        <v xml:space="preserve">  </v>
      </c>
      <c r="B27" s="100" t="str">
        <f>IF('levy page13'!$C$73&gt;0,'levy page13'!$C$73,"  ")</f>
        <v xml:space="preserve">  </v>
      </c>
      <c r="C27" s="101" t="str">
        <f>IF(inputPrYr!D92&gt;0,inputPrYr!D92,"  ")</f>
        <v xml:space="preserve">  </v>
      </c>
      <c r="D27" s="100" t="str">
        <f>IF('levy page13'!$D$73&gt;0,'levy page13'!$D$73,"  ")</f>
        <v xml:space="preserve">  </v>
      </c>
      <c r="E27" s="101" t="str">
        <f>IF(inputOth!D34&gt;0,inputOth!D34,"  ")</f>
        <v xml:space="preserve">  </v>
      </c>
      <c r="F27" s="100" t="str">
        <f>IF('levy page13'!$E$73&gt;0,'levy page13'!$E$73,"  ")</f>
        <v xml:space="preserve">  </v>
      </c>
      <c r="G27" s="100" t="str">
        <f>IF('levy page13'!$E$80&lt;&gt;0,'levy page13'!$E$80,"  ")</f>
        <v xml:space="preserve">  </v>
      </c>
      <c r="H27" s="101" t="str">
        <f>IF('levy page13'!E80&lt;&gt;0,ROUND(G27/$F$53*1000,3),"  ")</f>
        <v xml:space="preserve">  </v>
      </c>
    </row>
    <row r="28" spans="1:8">
      <c r="A28" s="100" t="str">
        <f>IF(inputPrYr!$B34&gt;"  ",(inputPrYr!$B34),"  ")</f>
        <v>Special Highway</v>
      </c>
      <c r="B28" s="100">
        <f>IF('Sp Hiway-TIF'!$C$30&gt;0,'Sp Hiway-TIF'!$C$30,"  ")</f>
        <v>881763</v>
      </c>
      <c r="C28" s="102"/>
      <c r="D28" s="100">
        <f>IF('Sp Hiway-TIF'!$D$30&gt;0,'Sp Hiway-TIF'!$D$30,"  ")</f>
        <v>424525</v>
      </c>
      <c r="E28" s="102"/>
      <c r="F28" s="100">
        <f>IF('Sp Hiway-TIF'!$E$30&gt;0,'Sp Hiway-TIF'!$E$30,"  ")</f>
        <v>720250</v>
      </c>
      <c r="G28" s="100"/>
      <c r="H28" s="101"/>
    </row>
    <row r="29" spans="1:8">
      <c r="A29" s="100" t="str">
        <f>IF(inputPrYr!$B35&gt;"  ",(inputPrYr!$B35),"  ")</f>
        <v>TIF</v>
      </c>
      <c r="B29" s="100" t="str">
        <f>IF('Sp Hiway-TIF'!$C$61&gt;0,'Sp Hiway-TIF'!$C$61,"  ")</f>
        <v xml:space="preserve">  </v>
      </c>
      <c r="C29" s="102"/>
      <c r="D29" s="100" t="str">
        <f>IF('Sp Hiway-TIF'!$D$61&gt;0,'Sp Hiway-TIF'!$D$61,"  ")</f>
        <v xml:space="preserve">  </v>
      </c>
      <c r="E29" s="102"/>
      <c r="F29" s="100" t="str">
        <f>IF('Sp Hiway-TIF'!$E$61&gt;0,'Sp Hiway-TIF'!$E$61,"  ")</f>
        <v xml:space="preserve">  </v>
      </c>
      <c r="G29" s="100"/>
      <c r="H29" s="101"/>
    </row>
    <row r="30" spans="1:8">
      <c r="A30" s="100" t="str">
        <f>IF(inputPrYr!$B36&gt;"  ",(inputPrYr!$B36),"  ")</f>
        <v>Parks and Recreation</v>
      </c>
      <c r="B30" s="100">
        <f>IF('Park -Rec Pool'!$C$28&gt;0,'Park -Rec Pool'!$C$28,"  ")</f>
        <v>15000</v>
      </c>
      <c r="C30" s="102"/>
      <c r="D30" s="100">
        <f>IF('Park -Rec Pool'!$D$28&gt;0,'Park -Rec Pool'!$D$28,"  ")</f>
        <v>15000</v>
      </c>
      <c r="E30" s="102"/>
      <c r="F30" s="100">
        <f>IF('Park -Rec Pool'!$E$28&gt;0,'Park -Rec Pool'!$E$28,"  ")</f>
        <v>32330</v>
      </c>
      <c r="G30" s="100"/>
      <c r="H30" s="101"/>
    </row>
    <row r="31" spans="1:8">
      <c r="A31" s="100" t="str">
        <f>IF(inputPrYr!$B37&gt;"  ",(inputPrYr!$B37),"  ")</f>
        <v>Pool</v>
      </c>
      <c r="B31" s="100">
        <f>IF('Park -Rec Pool'!$C$59&gt;0,'Park -Rec Pool'!$C$59,"  ")</f>
        <v>98102</v>
      </c>
      <c r="C31" s="102"/>
      <c r="D31" s="100">
        <f>IF('Park -Rec Pool'!$D$59&gt;0,'Park -Rec Pool'!$D$59,"  ")</f>
        <v>107025</v>
      </c>
      <c r="E31" s="102"/>
      <c r="F31" s="100">
        <f>IF('Park -Rec Pool'!$E$59&gt;0,'Park -Rec Pool'!$E$59,"  ")</f>
        <v>134005</v>
      </c>
      <c r="G31" s="100"/>
      <c r="H31" s="101"/>
    </row>
    <row r="32" spans="1:8">
      <c r="A32" s="100" t="str">
        <f>IF(inputPrYr!$B38&gt;"  ",(inputPrYr!$B38),"  ")</f>
        <v>Water</v>
      </c>
      <c r="B32" s="100">
        <f>IF('Water - Sewer'!$C$28&gt;0,'Water - Sewer'!$C$28,"  ")</f>
        <v>705179</v>
      </c>
      <c r="C32" s="102"/>
      <c r="D32" s="100">
        <f>IF('Water - Sewer'!$D$28&gt;0,'Water - Sewer'!$D$28,"  ")</f>
        <v>808366</v>
      </c>
      <c r="E32" s="102"/>
      <c r="F32" s="100">
        <f>IF('Water - Sewer'!$E$28&gt;0,'Water - Sewer'!$E$28,"  ")</f>
        <v>973309</v>
      </c>
      <c r="G32" s="102"/>
      <c r="H32" s="102"/>
    </row>
    <row r="33" spans="1:13">
      <c r="A33" s="100" t="str">
        <f>IF(inputPrYr!$B39&gt;"  ",(inputPrYr!$B39),"  ")</f>
        <v>Sewer</v>
      </c>
      <c r="B33" s="100">
        <f>IF('Water - Sewer'!$C$59&gt;0,'Water - Sewer'!$C$59,"  ")</f>
        <v>667011</v>
      </c>
      <c r="C33" s="102"/>
      <c r="D33" s="100">
        <f>IF('Water - Sewer'!$D$59&gt;0,'Water - Sewer'!$D$59,"  ")</f>
        <v>546250</v>
      </c>
      <c r="E33" s="102"/>
      <c r="F33" s="100">
        <f>IF('Water - Sewer'!$E$59&gt;0,'Water - Sewer'!$E$59,"  ")</f>
        <v>869009</v>
      </c>
      <c r="G33" s="102"/>
      <c r="H33" s="102"/>
    </row>
    <row r="34" spans="1:13">
      <c r="A34" s="100" t="str">
        <f>IF(inputPrYr!$B40&gt;"  ",(inputPrYr!$B40),"  ")</f>
        <v>Airport</v>
      </c>
      <c r="B34" s="100">
        <f>IF('Airport - Post Lantern'!$C$28&gt;0,'Airport - Post Lantern'!$C$28,"  ")</f>
        <v>28431</v>
      </c>
      <c r="C34" s="102"/>
      <c r="D34" s="100">
        <f>IF('Airport - Post Lantern'!$D$28&gt;0,'Airport - Post Lantern'!$D$28,"  ")</f>
        <v>5500</v>
      </c>
      <c r="E34" s="102"/>
      <c r="F34" s="100">
        <f>IF('Airport - Post Lantern'!$E$28&gt;0,'Airport - Post Lantern'!$E$28,"  ")</f>
        <v>5700</v>
      </c>
      <c r="G34" s="102"/>
      <c r="H34" s="102"/>
    </row>
    <row r="35" spans="1:13">
      <c r="A35" s="100" t="str">
        <f>IF(inputPrYr!$B41&gt;"  ",(inputPrYr!$B41),"  ")</f>
        <v>Post Lantern St Light Proj</v>
      </c>
      <c r="B35" s="100">
        <f>IF('Airport - Post Lantern'!$C$59&gt;0,'Airport - Post Lantern'!$C$59,"  ")</f>
        <v>127613</v>
      </c>
      <c r="C35" s="102"/>
      <c r="D35" s="100">
        <f>IF('Airport - Post Lantern'!$D$59&gt;0,'Airport - Post Lantern'!$D$59,"  ")</f>
        <v>128829</v>
      </c>
      <c r="E35" s="102"/>
      <c r="F35" s="100">
        <f>IF('Airport - Post Lantern'!$E$59&gt;0,'Airport - Post Lantern'!$E$59,"  ")</f>
        <v>432692</v>
      </c>
      <c r="G35" s="102"/>
      <c r="H35" s="102"/>
      <c r="J35" s="905" t="str">
        <f>CONCATENATE("Estimated Value Of One Mill For ",H2,"")</f>
        <v>Estimated Value Of One Mill For 2014</v>
      </c>
      <c r="K35" s="910"/>
      <c r="L35" s="910"/>
      <c r="M35" s="911"/>
    </row>
    <row r="36" spans="1:13">
      <c r="A36" s="100" t="str">
        <f>IF(inputPrYr!$B42&gt;"  ",(inputPrYr!$B42),"  ")</f>
        <v>Storm Water Utility</v>
      </c>
      <c r="B36" s="100">
        <f>IF('storm water'!$C$28&gt;0,'storm water'!$C$28,"  ")</f>
        <v>81597</v>
      </c>
      <c r="C36" s="102"/>
      <c r="D36" s="100">
        <f>IF('storm water'!$D$28&gt;0,'storm water'!$D$28,"  ")</f>
        <v>120500</v>
      </c>
      <c r="E36" s="102"/>
      <c r="F36" s="100">
        <f>IF('storm water'!$E$28&gt;0,'storm water'!$E$28,"  ")</f>
        <v>141100</v>
      </c>
      <c r="G36" s="102"/>
      <c r="H36" s="102"/>
      <c r="J36" s="579"/>
      <c r="K36" s="578"/>
      <c r="L36" s="578"/>
      <c r="M36" s="577"/>
    </row>
    <row r="37" spans="1:13">
      <c r="A37" s="100" t="str">
        <f>IF(inputPrYr!$B43&gt;"  ",(inputPrYr!$B43),"  ")</f>
        <v xml:space="preserve">  </v>
      </c>
      <c r="B37" s="100" t="str">
        <f>IF('storm water'!$C$59&gt;0,'storm water'!$C$59,"  ")</f>
        <v xml:space="preserve">  </v>
      </c>
      <c r="C37" s="102"/>
      <c r="D37" s="100" t="str">
        <f>IF('storm water'!$D$59&gt;0,'storm water'!$D$59,"  ")</f>
        <v xml:space="preserve">  </v>
      </c>
      <c r="E37" s="102"/>
      <c r="F37" s="100" t="str">
        <f>IF('storm water'!$E$59&gt;0,'storm water'!$E$59,"  ")</f>
        <v xml:space="preserve">  </v>
      </c>
      <c r="G37" s="102"/>
      <c r="H37" s="102"/>
      <c r="J37" s="576" t="s">
        <v>784</v>
      </c>
      <c r="K37" s="575"/>
      <c r="L37" s="575"/>
      <c r="M37" s="574">
        <f>ROUND(F53/1000,0)</f>
        <v>21837</v>
      </c>
    </row>
    <row r="38" spans="1:13">
      <c r="A38" s="100" t="str">
        <f>IF(inputPrYr!$B44&gt;"  ",(inputPrYr!$B44),"  ")</f>
        <v xml:space="preserve">  </v>
      </c>
      <c r="B38" s="100" t="str">
        <f>IF('no levy page19'!$C$28&gt;0,'no levy page19'!$C$28,"  ")</f>
        <v xml:space="preserve">  </v>
      </c>
      <c r="C38" s="102"/>
      <c r="D38" s="100" t="str">
        <f>IF('no levy page19'!$D$28&gt;0,'no levy page19'!$D$28,"  ")</f>
        <v xml:space="preserve">  </v>
      </c>
      <c r="E38" s="102"/>
      <c r="F38" s="100" t="str">
        <f>IF('no levy page19'!$E$28&gt;0,'no levy page19'!$E$28,"  ")</f>
        <v xml:space="preserve">  </v>
      </c>
      <c r="G38" s="102"/>
      <c r="H38" s="102"/>
    </row>
    <row r="39" spans="1:13">
      <c r="A39" s="100" t="str">
        <f>IF(inputPrYr!$B45&gt;"  ",(inputPrYr!$B45),"  ")</f>
        <v xml:space="preserve">  </v>
      </c>
      <c r="B39" s="100" t="str">
        <f>IF('no levy page19'!$C$59&gt;0,'no levy page19'!$C$59,"  ")</f>
        <v xml:space="preserve">  </v>
      </c>
      <c r="C39" s="102"/>
      <c r="D39" s="100" t="str">
        <f>IF('no levy page19'!$D$59&gt;0,'no levy page19'!$D$59,"  ")</f>
        <v xml:space="preserve">  </v>
      </c>
      <c r="E39" s="102"/>
      <c r="F39" s="100" t="str">
        <f>IF('no levy page19'!$E$59&gt;0,'no levy page19'!$E$59,"  ")</f>
        <v xml:space="preserve">  </v>
      </c>
      <c r="G39" s="102"/>
      <c r="H39" s="102"/>
      <c r="J39" s="905" t="str">
        <f>CONCATENATE("Want The Mill Rate The Same As For ",H2-1,"?")</f>
        <v>Want The Mill Rate The Same As For 2013?</v>
      </c>
      <c r="K39" s="910"/>
      <c r="L39" s="910"/>
      <c r="M39" s="911"/>
    </row>
    <row r="40" spans="1:13">
      <c r="A40" s="100" t="str">
        <f>IF(inputPrYr!$B47&gt;"  ",(inputPrYr!$B47),"  ")</f>
        <v xml:space="preserve">  </v>
      </c>
      <c r="B40" s="100" t="str">
        <f>IF(SinNoLevy20!$C$47&gt;0,SinNoLevy20!$C$47,"  ")</f>
        <v xml:space="preserve">  </v>
      </c>
      <c r="C40" s="102"/>
      <c r="D40" s="100" t="str">
        <f>IF(SinNoLevy20!$D$47&gt;0,SinNoLevy20!$D$47,"  ")</f>
        <v xml:space="preserve">  </v>
      </c>
      <c r="E40" s="102"/>
      <c r="F40" s="100" t="str">
        <f>IF(SinNoLevy20!$E$47&gt;0,SinNoLevy20!$E$47,"  ")</f>
        <v xml:space="preserve">  </v>
      </c>
      <c r="G40" s="102"/>
      <c r="H40" s="102"/>
      <c r="J40" s="572"/>
      <c r="K40" s="578"/>
      <c r="L40" s="578"/>
      <c r="M40" s="571"/>
    </row>
    <row r="41" spans="1:13">
      <c r="A41" s="100" t="str">
        <f>IF(inputPrYr!$B48&gt;"  ",(inputPrYr!$B48),"  ")</f>
        <v xml:space="preserve">  </v>
      </c>
      <c r="B41" s="100" t="str">
        <f>IF(SinNoLevy21!$C$47&gt;0,SinNoLevy21!$C$47,"  ")</f>
        <v xml:space="preserve">  </v>
      </c>
      <c r="C41" s="102"/>
      <c r="D41" s="100" t="str">
        <f>IF(SinNoLevy21!$D$47&gt;0,SinNoLevy21!$D$47,"  ")</f>
        <v xml:space="preserve">  </v>
      </c>
      <c r="E41" s="102"/>
      <c r="F41" s="100" t="str">
        <f>IF(SinNoLevy21!$E$47&gt;0,SinNoLevy21!$E$47,"  ")</f>
        <v xml:space="preserve">  </v>
      </c>
      <c r="G41" s="102"/>
      <c r="H41" s="102"/>
      <c r="J41" s="572" t="str">
        <f>CONCATENATE("",H2-1," Mill Rate Was:")</f>
        <v>2013 Mill Rate Was:</v>
      </c>
      <c r="K41" s="578"/>
      <c r="L41" s="578"/>
      <c r="M41" s="570">
        <f>E48</f>
        <v>47.76</v>
      </c>
    </row>
    <row r="42" spans="1:13">
      <c r="A42" s="100" t="str">
        <f>IF(inputPrYr!$B49&gt;"  ",(inputPrYr!$B49),"  ")</f>
        <v xml:space="preserve">  </v>
      </c>
      <c r="B42" s="100" t="str">
        <f>IF(SinNoLevy22!$C$47&gt;0,SinNoLevy22!$C$47,"  ")</f>
        <v xml:space="preserve">  </v>
      </c>
      <c r="C42" s="102"/>
      <c r="D42" s="100" t="str">
        <f>IF(SinNoLevy22!$D$47&gt;0,SinNoLevy22!$D$47,"  ")</f>
        <v xml:space="preserve">  </v>
      </c>
      <c r="E42" s="102"/>
      <c r="F42" s="100" t="str">
        <f>IF(SinNoLevy22!$E$47&gt;0,SinNoLevy22!$E$47,"  ")</f>
        <v xml:space="preserve">  </v>
      </c>
      <c r="G42" s="102"/>
      <c r="H42" s="102"/>
      <c r="J42" s="569" t="s">
        <v>785</v>
      </c>
      <c r="K42" s="568"/>
      <c r="L42" s="568"/>
      <c r="M42" s="571"/>
    </row>
    <row r="43" spans="1:13">
      <c r="A43" s="100" t="str">
        <f>IF(inputPrYr!$B50&gt;"  ",(inputPrYr!$B50),"  ")</f>
        <v xml:space="preserve">  </v>
      </c>
      <c r="B43" s="100" t="str">
        <f>IF(SinNoLevy23!$C$47&gt;0,SinNoLevy23!$C$47,"  ")</f>
        <v xml:space="preserve">  </v>
      </c>
      <c r="C43" s="102"/>
      <c r="D43" s="100" t="str">
        <f>IF(SinNoLevy23!$D$47&gt;0,SinNoLevy23!$D$47,"  ")</f>
        <v xml:space="preserve">  </v>
      </c>
      <c r="E43" s="102"/>
      <c r="F43" s="100" t="str">
        <f>IF(SinNoLevy23!$E$47&gt;0,SinNoLevy23!$E$47,"  ")</f>
        <v xml:space="preserve">  </v>
      </c>
      <c r="G43" s="102"/>
      <c r="H43" s="102"/>
      <c r="J43" s="569" t="str">
        <f>IF(M43&gt;0,"Increased By:","")</f>
        <v>Increased By:</v>
      </c>
      <c r="K43" s="568"/>
      <c r="L43" s="568"/>
      <c r="M43" s="615">
        <f>IF(M50&lt;0,M50*-1,0)</f>
        <v>43074</v>
      </c>
    </row>
    <row r="44" spans="1:13">
      <c r="A44" s="100" t="str">
        <f>IF(inputPrYr!$B53&gt;"  ",(NonBudA!$A3),"  ")</f>
        <v xml:space="preserve">  </v>
      </c>
      <c r="B44" s="100" t="str">
        <f>IF(NonBudA!$K$28&gt;0,NonBudA!$K$28,"  ")</f>
        <v xml:space="preserve">  </v>
      </c>
      <c r="C44" s="102"/>
      <c r="D44" s="100"/>
      <c r="E44" s="102"/>
      <c r="F44" s="100"/>
      <c r="G44" s="102"/>
      <c r="H44" s="102"/>
      <c r="J44" s="616" t="str">
        <f>IF(M44&lt;0,"Reduced By:","")</f>
        <v/>
      </c>
      <c r="K44" s="617"/>
      <c r="L44" s="617"/>
      <c r="M44" s="618">
        <f>IF(M50&gt;0,M50*-1,0)</f>
        <v>0</v>
      </c>
    </row>
    <row r="45" spans="1:13">
      <c r="A45" s="100" t="str">
        <f>IF(inputPrYr!$B59&gt;"  ",(NonBudB!$A3),"  ")</f>
        <v xml:space="preserve">  </v>
      </c>
      <c r="B45" s="100" t="str">
        <f>IF(NonBudB!$K$28&gt;0,NonBudB!$K$28,"  ")</f>
        <v xml:space="preserve">  </v>
      </c>
      <c r="C45" s="102"/>
      <c r="D45" s="100"/>
      <c r="E45" s="102"/>
      <c r="F45" s="100"/>
      <c r="G45" s="102"/>
      <c r="H45" s="102"/>
      <c r="J45" s="565"/>
      <c r="K45" s="565"/>
      <c r="L45" s="565"/>
      <c r="M45" s="565"/>
    </row>
    <row r="46" spans="1:13">
      <c r="A46" s="100" t="str">
        <f>IF(inputPrYr!$B65&gt;"  ",(NonBudC!$A3),"  ")</f>
        <v xml:space="preserve">  </v>
      </c>
      <c r="B46" s="100" t="str">
        <f>IF(NonBudC!$K$28&gt;0,NonBudC!$K$28,"  ")</f>
        <v xml:space="preserve">  </v>
      </c>
      <c r="C46" s="102"/>
      <c r="D46" s="100"/>
      <c r="E46" s="102"/>
      <c r="F46" s="100"/>
      <c r="G46" s="102"/>
      <c r="H46" s="102"/>
      <c r="J46" s="905" t="str">
        <f>CONCATENATE("Impact On Keeping The Same Mill Rate As For ",H2-1,"")</f>
        <v>Impact On Keeping The Same Mill Rate As For 2013</v>
      </c>
      <c r="K46" s="906"/>
      <c r="L46" s="906"/>
      <c r="M46" s="907"/>
    </row>
    <row r="47" spans="1:13" ht="16.5" thickBot="1">
      <c r="A47" s="100" t="str">
        <f>IF(inputPrYr!$B71&gt;"  ",(NonBudD!$A3),"  ")</f>
        <v xml:space="preserve">  </v>
      </c>
      <c r="B47" s="558" t="str">
        <f>IF(NonBudD!$K$28&gt;0,NonBudD!$K$28,"  ")</f>
        <v xml:space="preserve">  </v>
      </c>
      <c r="C47" s="559"/>
      <c r="D47" s="558"/>
      <c r="E47" s="559"/>
      <c r="F47" s="558"/>
      <c r="G47" s="559"/>
      <c r="H47" s="559"/>
      <c r="J47" s="572"/>
      <c r="K47" s="578"/>
      <c r="L47" s="578"/>
      <c r="M47" s="571"/>
    </row>
    <row r="48" spans="1:13">
      <c r="A48" s="97" t="s">
        <v>93</v>
      </c>
      <c r="B48" s="104">
        <f>SUM(B15:B47)</f>
        <v>5716403</v>
      </c>
      <c r="C48" s="600">
        <f>SUM(C15:C26)</f>
        <v>47.917000000000002</v>
      </c>
      <c r="D48" s="104">
        <f>SUM(D15:D47)</f>
        <v>5033521</v>
      </c>
      <c r="E48" s="600">
        <f>SUM(E15:E26)</f>
        <v>47.76</v>
      </c>
      <c r="F48" s="104">
        <f>SUM(F15:F47)</f>
        <v>6983021</v>
      </c>
      <c r="G48" s="104">
        <f>SUM(G15:G47)</f>
        <v>999858</v>
      </c>
      <c r="H48" s="600">
        <f>SUM(H15:H27)</f>
        <v>45.787999999999997</v>
      </c>
      <c r="J48" s="572" t="str">
        <f>CONCATENATE("",H2," Ad Valorem Tax Revenue:")</f>
        <v>2014 Ad Valorem Tax Revenue:</v>
      </c>
      <c r="K48" s="578"/>
      <c r="L48" s="578"/>
      <c r="M48" s="577">
        <f>G48</f>
        <v>999858</v>
      </c>
    </row>
    <row r="49" spans="1:13">
      <c r="A49" s="103" t="s">
        <v>132</v>
      </c>
      <c r="B49" s="104">
        <f>transfers!C28</f>
        <v>716290</v>
      </c>
      <c r="C49" s="105"/>
      <c r="D49" s="104">
        <f>transfers!D28</f>
        <v>536649</v>
      </c>
      <c r="E49" s="105"/>
      <c r="F49" s="104">
        <f>transfers!E28</f>
        <v>1144644</v>
      </c>
      <c r="G49" s="85"/>
      <c r="H49" s="85"/>
      <c r="J49" s="572" t="str">
        <f>CONCATENATE("",H2-1," Ad Valorem Tax Revenue:")</f>
        <v>2013 Ad Valorem Tax Revenue:</v>
      </c>
      <c r="K49" s="578"/>
      <c r="L49" s="578"/>
      <c r="M49" s="564">
        <f>ROUND(F53*M41/1000,0)</f>
        <v>1042932</v>
      </c>
    </row>
    <row r="50" spans="1:13" ht="16.5" thickBot="1">
      <c r="A50" s="103" t="s">
        <v>133</v>
      </c>
      <c r="B50" s="106">
        <f>B48-B49</f>
        <v>5000113</v>
      </c>
      <c r="C50" s="85"/>
      <c r="D50" s="106">
        <f>D48-D49</f>
        <v>4496872</v>
      </c>
      <c r="E50" s="107"/>
      <c r="F50" s="106">
        <f>F48-F49</f>
        <v>5838377</v>
      </c>
      <c r="G50" s="85"/>
      <c r="H50" s="85"/>
      <c r="J50" s="567" t="s">
        <v>786</v>
      </c>
      <c r="K50" s="566"/>
      <c r="L50" s="566"/>
      <c r="M50" s="574">
        <f>SUM(M48-M49)</f>
        <v>-43074</v>
      </c>
    </row>
    <row r="51" spans="1:13" ht="16.5" thickTop="1">
      <c r="A51" s="103" t="s">
        <v>134</v>
      </c>
      <c r="B51" s="104">
        <f>inputPrYr!E95</f>
        <v>969680</v>
      </c>
      <c r="C51" s="108"/>
      <c r="D51" s="104">
        <f>inputPrYr!E31</f>
        <v>975171</v>
      </c>
      <c r="E51" s="108"/>
      <c r="F51" s="109" t="s">
        <v>94</v>
      </c>
      <c r="G51" s="85"/>
      <c r="H51" s="85"/>
      <c r="J51" s="573"/>
      <c r="K51" s="573"/>
      <c r="L51" s="573"/>
      <c r="M51" s="565"/>
    </row>
    <row r="52" spans="1:13">
      <c r="A52" s="103" t="s">
        <v>135</v>
      </c>
      <c r="B52" s="110"/>
      <c r="C52" s="85"/>
      <c r="D52" s="110"/>
      <c r="E52" s="85"/>
      <c r="F52" s="110"/>
      <c r="G52" s="85"/>
      <c r="H52" s="85"/>
      <c r="J52" s="905" t="s">
        <v>787</v>
      </c>
      <c r="K52" s="908"/>
      <c r="L52" s="908"/>
      <c r="M52" s="909"/>
    </row>
    <row r="53" spans="1:13">
      <c r="A53" s="103" t="s">
        <v>136</v>
      </c>
      <c r="B53" s="104">
        <f>inputPrYr!E96</f>
        <v>20236744</v>
      </c>
      <c r="C53" s="85"/>
      <c r="D53" s="104">
        <f>inputOth!E37</f>
        <v>20511061</v>
      </c>
      <c r="E53" s="85"/>
      <c r="F53" s="104">
        <f>IF(inputOth!E18&gt;0,inputOth!E6-inputOth!E18+inputOth!E17,inputOth!E6)</f>
        <v>21836937</v>
      </c>
      <c r="G53" s="85"/>
      <c r="H53" s="85"/>
      <c r="J53" s="572"/>
      <c r="K53" s="578"/>
      <c r="L53" s="578"/>
      <c r="M53" s="571"/>
    </row>
    <row r="54" spans="1:13" ht="13.5" customHeight="1">
      <c r="A54" s="85"/>
      <c r="B54" s="85"/>
      <c r="C54" s="85"/>
      <c r="D54" s="85"/>
      <c r="E54" s="85"/>
      <c r="F54" s="85"/>
      <c r="G54" s="85"/>
      <c r="H54" s="85"/>
      <c r="J54" s="572" t="str">
        <f>CONCATENATE("Current ",H2," Estimated Mill Rate:")</f>
        <v>Current 2014 Estimated Mill Rate:</v>
      </c>
      <c r="K54" s="578"/>
      <c r="L54" s="578"/>
      <c r="M54" s="570">
        <f>H48</f>
        <v>45.787999999999997</v>
      </c>
    </row>
    <row r="55" spans="1:13">
      <c r="A55" s="103" t="s">
        <v>137</v>
      </c>
      <c r="B55" s="85"/>
      <c r="C55" s="85"/>
      <c r="D55" s="85"/>
      <c r="E55" s="85"/>
      <c r="F55" s="85"/>
      <c r="G55" s="85"/>
      <c r="H55" s="85"/>
      <c r="J55" s="572" t="str">
        <f>CONCATENATE("Desired ",H2," Mill Rate:")</f>
        <v>Desired 2014 Mill Rate:</v>
      </c>
      <c r="K55" s="578"/>
      <c r="L55" s="578"/>
      <c r="M55" s="563">
        <v>45.76</v>
      </c>
    </row>
    <row r="56" spans="1:13" ht="18.75" customHeight="1">
      <c r="A56" s="103" t="s">
        <v>138</v>
      </c>
      <c r="B56" s="111">
        <f>H2-3</f>
        <v>2011</v>
      </c>
      <c r="C56" s="85"/>
      <c r="D56" s="111">
        <f>H2-2</f>
        <v>2012</v>
      </c>
      <c r="E56" s="85"/>
      <c r="F56" s="111">
        <f>H2-1</f>
        <v>2013</v>
      </c>
      <c r="G56" s="85"/>
      <c r="H56" s="85"/>
      <c r="J56" s="572" t="str">
        <f>CONCATENATE("",H2," Ad Valorem Tax:")</f>
        <v>2014 Ad Valorem Tax:</v>
      </c>
      <c r="K56" s="578"/>
      <c r="L56" s="578"/>
      <c r="M56" s="564">
        <f>ROUND(F53*M55/1000,0)</f>
        <v>999258</v>
      </c>
    </row>
    <row r="57" spans="1:13" ht="18.75" customHeight="1">
      <c r="A57" s="103" t="s">
        <v>139</v>
      </c>
      <c r="B57" s="112">
        <f>inputPrYr!D100</f>
        <v>8814112</v>
      </c>
      <c r="C57" s="113"/>
      <c r="D57" s="112">
        <f>inputPrYr!E100</f>
        <v>8498220</v>
      </c>
      <c r="E57" s="113"/>
      <c r="F57" s="112">
        <f>debt!G20</f>
        <v>9383019</v>
      </c>
      <c r="G57" s="85"/>
      <c r="H57" s="85"/>
      <c r="J57" s="567" t="str">
        <f>CONCATENATE("",H2," Tax Levy Fund Exp. Changed By:")</f>
        <v>2014 Tax Levy Fund Exp. Changed By:</v>
      </c>
      <c r="K57" s="566"/>
      <c r="L57" s="566"/>
      <c r="M57" s="574">
        <f>IF(M55=0,0,(M56-G48))</f>
        <v>-600</v>
      </c>
    </row>
    <row r="58" spans="1:13" ht="18.75" customHeight="1">
      <c r="A58" s="103" t="s">
        <v>140</v>
      </c>
      <c r="B58" s="112">
        <f>inputPrYr!D101</f>
        <v>0</v>
      </c>
      <c r="C58" s="113"/>
      <c r="D58" s="112">
        <f>inputPrYr!E101</f>
        <v>0</v>
      </c>
      <c r="E58" s="113"/>
      <c r="F58" s="114">
        <f>debt!G32</f>
        <v>0</v>
      </c>
      <c r="G58" s="85"/>
      <c r="H58" s="85"/>
    </row>
    <row r="59" spans="1:13" ht="18.75" customHeight="1">
      <c r="A59" s="85" t="s">
        <v>158</v>
      </c>
      <c r="B59" s="112">
        <f>inputPrYr!D102</f>
        <v>507747</v>
      </c>
      <c r="C59" s="113"/>
      <c r="D59" s="112">
        <f>inputPrYr!E102</f>
        <v>0</v>
      </c>
      <c r="E59" s="113"/>
      <c r="F59" s="114">
        <f>debt!G42</f>
        <v>1231238</v>
      </c>
      <c r="G59" s="85"/>
      <c r="H59" s="85"/>
    </row>
    <row r="60" spans="1:13" ht="18" customHeight="1">
      <c r="A60" s="103" t="s">
        <v>236</v>
      </c>
      <c r="B60" s="112">
        <f>inputPrYr!D103</f>
        <v>12915</v>
      </c>
      <c r="C60" s="113"/>
      <c r="D60" s="112">
        <f>inputPrYr!E103</f>
        <v>0</v>
      </c>
      <c r="E60" s="113"/>
      <c r="F60" s="114">
        <f>lpform!G28</f>
        <v>0</v>
      </c>
      <c r="G60" s="85"/>
      <c r="H60" s="85"/>
    </row>
    <row r="61" spans="1:13" ht="19.5" customHeight="1" thickBot="1">
      <c r="A61" s="103" t="s">
        <v>141</v>
      </c>
      <c r="B61" s="115">
        <f>SUM(B57:B60)</f>
        <v>9334774</v>
      </c>
      <c r="C61" s="113"/>
      <c r="D61" s="115">
        <f>SUM(D57:D60)</f>
        <v>8498220</v>
      </c>
      <c r="E61" s="113"/>
      <c r="F61" s="115">
        <f>SUM(F57:F60)</f>
        <v>10614257</v>
      </c>
      <c r="G61" s="85"/>
      <c r="H61" s="85"/>
    </row>
    <row r="62" spans="1:13" ht="18.75" customHeight="1" thickTop="1">
      <c r="A62" s="103" t="s">
        <v>142</v>
      </c>
      <c r="B62" s="85"/>
      <c r="C62" s="85"/>
      <c r="D62" s="85"/>
      <c r="E62" s="85"/>
      <c r="F62" s="85"/>
      <c r="G62" s="85"/>
      <c r="H62" s="85"/>
    </row>
    <row r="63" spans="1:13">
      <c r="A63" s="85"/>
      <c r="B63" s="85"/>
      <c r="C63" s="85"/>
      <c r="D63" s="85"/>
      <c r="E63" s="85"/>
      <c r="F63" s="85"/>
      <c r="G63" s="85"/>
      <c r="H63" s="85"/>
    </row>
    <row r="64" spans="1:13">
      <c r="A64" s="913" t="str">
        <f>inputBudSum!B3</f>
        <v>Vivian Constable</v>
      </c>
      <c r="B64" s="914"/>
      <c r="C64" s="108"/>
      <c r="D64" s="85"/>
      <c r="E64" s="85"/>
      <c r="F64" s="85"/>
      <c r="G64" s="85"/>
      <c r="H64" s="85"/>
    </row>
    <row r="65" spans="1:8">
      <c r="A65" s="912" t="str">
        <f>CONCATENATE("City Official Title: ",inputBudSum!B5,"")</f>
        <v>City Official Title: City Clerk</v>
      </c>
      <c r="B65" s="897"/>
      <c r="C65" s="85"/>
      <c r="D65" s="85"/>
      <c r="E65" s="85"/>
      <c r="F65" s="85"/>
      <c r="G65" s="85"/>
      <c r="H65" s="85"/>
    </row>
    <row r="66" spans="1:8">
      <c r="A66" s="85"/>
      <c r="B66" s="85"/>
      <c r="C66" s="85"/>
      <c r="D66" s="85"/>
      <c r="E66" s="85"/>
      <c r="F66" s="85"/>
      <c r="G66" s="85"/>
      <c r="H66" s="85"/>
    </row>
    <row r="67" spans="1:8">
      <c r="A67" s="85"/>
      <c r="B67" s="85"/>
      <c r="C67" s="119" t="s">
        <v>116</v>
      </c>
      <c r="D67" s="120">
        <v>17</v>
      </c>
      <c r="E67" s="85"/>
      <c r="F67" s="85"/>
      <c r="G67" s="85"/>
      <c r="H67" s="85"/>
    </row>
  </sheetData>
  <sheetProtection sheet="1"/>
  <mergeCells count="12">
    <mergeCell ref="A1:H1"/>
    <mergeCell ref="A4:H4"/>
    <mergeCell ref="A5:H5"/>
    <mergeCell ref="A6:H6"/>
    <mergeCell ref="A7:H7"/>
    <mergeCell ref="A3:H3"/>
    <mergeCell ref="J46:M46"/>
    <mergeCell ref="J52:M52"/>
    <mergeCell ref="J35:M35"/>
    <mergeCell ref="J39:M39"/>
    <mergeCell ref="A65:B65"/>
    <mergeCell ref="A64:B64"/>
  </mergeCells>
  <phoneticPr fontId="0" type="noConversion"/>
  <pageMargins left="0.5" right="0.5" top="1" bottom="0.5" header="0.5" footer="0.5"/>
  <pageSetup scale="63" orientation="portrait"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F41"/>
  <sheetViews>
    <sheetView topLeftCell="A19" workbookViewId="0">
      <selection activeCell="C40" sqref="C40"/>
    </sheetView>
  </sheetViews>
  <sheetFormatPr defaultColWidth="8.88671875" defaultRowHeight="15"/>
  <cols>
    <col min="1" max="1" width="10.109375" style="47" customWidth="1"/>
    <col min="2" max="2" width="16.33203125" style="47" customWidth="1"/>
    <col min="3" max="3" width="11.77734375" style="47" customWidth="1"/>
    <col min="4" max="4" width="12.77734375" style="47" customWidth="1"/>
    <col min="5" max="5" width="11.77734375" style="47" customWidth="1"/>
    <col min="6" max="16384" width="8.88671875" style="47"/>
  </cols>
  <sheetData>
    <row r="1" spans="1:6" ht="15.75">
      <c r="A1" s="105" t="str">
        <f>inputPrYr!D2</f>
        <v>City of Hiawatha</v>
      </c>
      <c r="B1" s="85"/>
      <c r="C1" s="85"/>
      <c r="D1" s="85"/>
      <c r="E1" s="85"/>
      <c r="F1" s="85">
        <f>inputPrYr!C5</f>
        <v>2014</v>
      </c>
    </row>
    <row r="2" spans="1:6" ht="15.75">
      <c r="A2" s="85"/>
      <c r="B2" s="85"/>
      <c r="C2" s="85"/>
      <c r="D2" s="85"/>
      <c r="E2" s="85"/>
      <c r="F2" s="85"/>
    </row>
    <row r="3" spans="1:6" ht="15.75">
      <c r="A3" s="85"/>
      <c r="B3" s="871" t="str">
        <f>CONCATENATE("",F1," Neighborhood Revitalization Rebate")</f>
        <v>2014 Neighborhood Revitalization Rebate</v>
      </c>
      <c r="C3" s="917"/>
      <c r="D3" s="917"/>
      <c r="E3" s="917"/>
      <c r="F3" s="85"/>
    </row>
    <row r="4" spans="1:6" ht="15.75">
      <c r="A4" s="85"/>
      <c r="B4" s="85"/>
      <c r="C4" s="85"/>
      <c r="D4" s="85"/>
      <c r="E4" s="85"/>
      <c r="F4" s="85"/>
    </row>
    <row r="5" spans="1:6" ht="51" customHeight="1">
      <c r="A5" s="85"/>
      <c r="B5" s="275" t="str">
        <f>CONCATENATE("Budgeted Funds         for ",F1,"")</f>
        <v>Budgeted Funds         for 2014</v>
      </c>
      <c r="C5" s="275" t="str">
        <f>CONCATENATE("",F1-1," Ad Valorem before Rebate**")</f>
        <v>2013 Ad Valorem before Rebate**</v>
      </c>
      <c r="D5" s="276" t="str">
        <f>CONCATENATE("",F1-1," Mil Rate before Rebate")</f>
        <v>2013 Mil Rate before Rebate</v>
      </c>
      <c r="E5" s="277" t="str">
        <f>CONCATENATE("Estimate ",F1," NR Rebate")</f>
        <v>Estimate 2014 NR Rebate</v>
      </c>
      <c r="F5" s="166"/>
    </row>
    <row r="6" spans="1:6" ht="15.75">
      <c r="A6" s="85"/>
      <c r="B6" s="97" t="str">
        <f>inputPrYr!B17</f>
        <v>General</v>
      </c>
      <c r="C6" s="278">
        <v>445489</v>
      </c>
      <c r="D6" s="279">
        <f>IF(C6&gt;0,C6/$D$24,"")</f>
        <v>20.400709128757388</v>
      </c>
      <c r="E6" s="280">
        <f t="shared" ref="E6:E18" si="0">IF(C6&gt;0,ROUND(D6*$D$28,0),"")</f>
        <v>21600</v>
      </c>
      <c r="F6" s="166"/>
    </row>
    <row r="7" spans="1:6" ht="15.75">
      <c r="A7" s="85"/>
      <c r="B7" s="97" t="str">
        <f>inputPrYr!B18</f>
        <v>Debt Service</v>
      </c>
      <c r="C7" s="278">
        <v>161565</v>
      </c>
      <c r="D7" s="279">
        <f t="shared" ref="D7:D18" si="1">IF(C7&gt;0,C7/$D$24,"")</f>
        <v>7.3987024828619505</v>
      </c>
      <c r="E7" s="280">
        <f t="shared" si="0"/>
        <v>7834</v>
      </c>
      <c r="F7" s="166"/>
    </row>
    <row r="8" spans="1:6" ht="15.75">
      <c r="A8" s="85"/>
      <c r="B8" s="100" t="str">
        <f>inputPrYr!B19</f>
        <v>Library</v>
      </c>
      <c r="C8" s="278">
        <v>140101</v>
      </c>
      <c r="D8" s="279">
        <f t="shared" si="1"/>
        <v>6.4157807480050879</v>
      </c>
      <c r="E8" s="280">
        <f t="shared" si="0"/>
        <v>6793</v>
      </c>
      <c r="F8" s="166"/>
    </row>
    <row r="9" spans="1:6" ht="15.75">
      <c r="A9" s="85"/>
      <c r="B9" s="100" t="str">
        <f>inputPrYr!B21</f>
        <v>Industrial</v>
      </c>
      <c r="C9" s="278"/>
      <c r="D9" s="279" t="str">
        <f t="shared" si="1"/>
        <v/>
      </c>
      <c r="E9" s="280" t="str">
        <f t="shared" si="0"/>
        <v/>
      </c>
      <c r="F9" s="166"/>
    </row>
    <row r="10" spans="1:6" ht="15.75">
      <c r="A10" s="85"/>
      <c r="B10" s="100" t="str">
        <f>inputPrYr!B22</f>
        <v>Recreation</v>
      </c>
      <c r="C10" s="278"/>
      <c r="D10" s="279" t="str">
        <f t="shared" si="1"/>
        <v/>
      </c>
      <c r="E10" s="280" t="str">
        <f t="shared" si="0"/>
        <v/>
      </c>
      <c r="F10" s="166"/>
    </row>
    <row r="11" spans="1:6" ht="15.75">
      <c r="A11" s="85"/>
      <c r="B11" s="100" t="str">
        <f>inputPrYr!B23</f>
        <v>Employee Benefits</v>
      </c>
      <c r="C11" s="278">
        <v>326447</v>
      </c>
      <c r="D11" s="279">
        <f t="shared" si="1"/>
        <v>14.949303558461517</v>
      </c>
      <c r="E11" s="280">
        <f t="shared" si="0"/>
        <v>15828</v>
      </c>
      <c r="F11" s="166"/>
    </row>
    <row r="12" spans="1:6" ht="15.75">
      <c r="A12" s="85"/>
      <c r="B12" s="100">
        <f>inputPrYr!B24</f>
        <v>0</v>
      </c>
      <c r="C12" s="281"/>
      <c r="D12" s="279" t="str">
        <f t="shared" si="1"/>
        <v/>
      </c>
      <c r="E12" s="280" t="str">
        <f t="shared" si="0"/>
        <v/>
      </c>
      <c r="F12" s="166"/>
    </row>
    <row r="13" spans="1:6" ht="15.75">
      <c r="A13" s="85"/>
      <c r="B13" s="100">
        <f>inputPrYr!B25</f>
        <v>0</v>
      </c>
      <c r="C13" s="281"/>
      <c r="D13" s="279" t="str">
        <f t="shared" si="1"/>
        <v/>
      </c>
      <c r="E13" s="280" t="str">
        <f t="shared" si="0"/>
        <v/>
      </c>
      <c r="F13" s="166"/>
    </row>
    <row r="14" spans="1:6" ht="15.75">
      <c r="A14" s="85"/>
      <c r="B14" s="100">
        <f>inputPrYr!B26</f>
        <v>0</v>
      </c>
      <c r="C14" s="281"/>
      <c r="D14" s="279" t="str">
        <f t="shared" si="1"/>
        <v/>
      </c>
      <c r="E14" s="280" t="str">
        <f t="shared" si="0"/>
        <v/>
      </c>
      <c r="F14" s="166"/>
    </row>
    <row r="15" spans="1:6" ht="15.75">
      <c r="A15" s="85"/>
      <c r="B15" s="100">
        <f>inputPrYr!B27</f>
        <v>0</v>
      </c>
      <c r="C15" s="281"/>
      <c r="D15" s="279" t="str">
        <f t="shared" si="1"/>
        <v/>
      </c>
      <c r="E15" s="280" t="str">
        <f t="shared" si="0"/>
        <v/>
      </c>
      <c r="F15" s="166"/>
    </row>
    <row r="16" spans="1:6" ht="15.75">
      <c r="A16" s="85"/>
      <c r="B16" s="100">
        <f>inputPrYr!B28</f>
        <v>0</v>
      </c>
      <c r="C16" s="281"/>
      <c r="D16" s="279" t="str">
        <f t="shared" si="1"/>
        <v/>
      </c>
      <c r="E16" s="280" t="str">
        <f t="shared" si="0"/>
        <v/>
      </c>
      <c r="F16" s="166"/>
    </row>
    <row r="17" spans="1:6" ht="15.75">
      <c r="A17" s="85"/>
      <c r="B17" s="100">
        <f>inputPrYr!B29</f>
        <v>0</v>
      </c>
      <c r="C17" s="281"/>
      <c r="D17" s="279" t="str">
        <f t="shared" si="1"/>
        <v/>
      </c>
      <c r="E17" s="280" t="str">
        <f t="shared" si="0"/>
        <v/>
      </c>
      <c r="F17" s="166"/>
    </row>
    <row r="18" spans="1:6" ht="15.75">
      <c r="A18" s="85"/>
      <c r="B18" s="100">
        <f>inputPrYr!B30</f>
        <v>0</v>
      </c>
      <c r="C18" s="281"/>
      <c r="D18" s="753" t="str">
        <f t="shared" si="1"/>
        <v/>
      </c>
      <c r="E18" s="754" t="str">
        <f t="shared" si="0"/>
        <v/>
      </c>
      <c r="F18" s="166"/>
    </row>
    <row r="19" spans="1:6" ht="16.5" thickBot="1">
      <c r="A19" s="85"/>
      <c r="B19" s="102" t="s">
        <v>100</v>
      </c>
      <c r="C19" s="282">
        <f>SUM(C6:C18)</f>
        <v>1073602</v>
      </c>
      <c r="D19" s="283">
        <f>SUM(D6:D17)</f>
        <v>49.16449591808594</v>
      </c>
      <c r="E19" s="282">
        <f>SUM(E6:E17)</f>
        <v>52055</v>
      </c>
      <c r="F19" s="166"/>
    </row>
    <row r="20" spans="1:6" ht="16.5" thickTop="1">
      <c r="A20" s="85"/>
      <c r="B20" s="85"/>
      <c r="C20" s="85"/>
      <c r="D20" s="85"/>
      <c r="E20" s="85"/>
      <c r="F20" s="166"/>
    </row>
    <row r="21" spans="1:6" ht="15.75">
      <c r="A21" s="85"/>
      <c r="B21" s="85"/>
      <c r="C21" s="85"/>
      <c r="D21" s="85"/>
      <c r="E21" s="85"/>
      <c r="F21" s="166"/>
    </row>
    <row r="22" spans="1:6" ht="15.75">
      <c r="A22" s="918" t="str">
        <f>CONCATENATE("",F1-1," July 1 Valuation:")</f>
        <v>2013 July 1 Valuation:</v>
      </c>
      <c r="B22" s="885"/>
      <c r="C22" s="918"/>
      <c r="D22" s="112">
        <f>inputOth!E6</f>
        <v>21836937</v>
      </c>
      <c r="E22" s="85"/>
      <c r="F22" s="166"/>
    </row>
    <row r="23" spans="1:6" ht="15.75">
      <c r="A23" s="85"/>
      <c r="B23" s="85"/>
      <c r="C23" s="85"/>
      <c r="D23" s="85"/>
      <c r="E23" s="85"/>
      <c r="F23" s="166"/>
    </row>
    <row r="24" spans="1:6" ht="15.75">
      <c r="A24" s="85"/>
      <c r="B24" s="918" t="s">
        <v>12</v>
      </c>
      <c r="C24" s="918"/>
      <c r="D24" s="284">
        <f>IF(D22&gt;0,(D22*0.001),"")</f>
        <v>21836.937000000002</v>
      </c>
      <c r="E24" s="85"/>
      <c r="F24" s="166"/>
    </row>
    <row r="25" spans="1:6" ht="15.75">
      <c r="A25" s="85"/>
      <c r="B25" s="119"/>
      <c r="C25" s="119"/>
      <c r="D25" s="285"/>
      <c r="E25" s="85"/>
      <c r="F25" s="166"/>
    </row>
    <row r="26" spans="1:6" ht="15.75">
      <c r="A26" s="916" t="s">
        <v>397</v>
      </c>
      <c r="B26" s="861"/>
      <c r="C26" s="861"/>
      <c r="D26" s="286">
        <f>inputOth!E16</f>
        <v>1058806</v>
      </c>
      <c r="E26" s="138"/>
      <c r="F26" s="138"/>
    </row>
    <row r="27" spans="1:6">
      <c r="A27" s="138"/>
      <c r="B27" s="138"/>
      <c r="C27" s="138"/>
      <c r="D27" s="287"/>
      <c r="E27" s="138"/>
      <c r="F27" s="138"/>
    </row>
    <row r="28" spans="1:6" ht="15.75">
      <c r="A28" s="138"/>
      <c r="B28" s="916" t="s">
        <v>398</v>
      </c>
      <c r="C28" s="885"/>
      <c r="D28" s="288">
        <f>IF(D26&gt;0,(D26*0.001),"")</f>
        <v>1058.806</v>
      </c>
      <c r="E28" s="138"/>
      <c r="F28" s="138"/>
    </row>
    <row r="29" spans="1:6">
      <c r="A29" s="138"/>
      <c r="B29" s="138"/>
      <c r="C29" s="138"/>
      <c r="D29" s="138"/>
      <c r="E29" s="138"/>
      <c r="F29" s="138"/>
    </row>
    <row r="30" spans="1:6">
      <c r="A30" s="138"/>
      <c r="B30" s="138"/>
      <c r="C30" s="138"/>
      <c r="D30" s="138"/>
      <c r="E30" s="138"/>
      <c r="F30" s="138"/>
    </row>
    <row r="31" spans="1:6">
      <c r="A31" s="138"/>
      <c r="B31" s="138"/>
      <c r="C31" s="138"/>
      <c r="D31" s="138"/>
      <c r="E31" s="138"/>
      <c r="F31" s="138"/>
    </row>
    <row r="32" spans="1:6" ht="15.75">
      <c r="A32" s="477" t="str">
        <f>CONCATENATE("**This information comes from the ",F1," Budget Summary page.  See instructions tab #13 for completing")</f>
        <v>**This information comes from the 2014 Budget Summary page.  See instructions tab #13 for completing</v>
      </c>
      <c r="B32" s="138"/>
      <c r="C32" s="138"/>
      <c r="D32" s="138"/>
      <c r="E32" s="138"/>
      <c r="F32" s="138"/>
    </row>
    <row r="33" spans="1:6" ht="15.75">
      <c r="A33" s="477" t="s">
        <v>676</v>
      </c>
      <c r="B33" s="138"/>
      <c r="C33" s="138"/>
      <c r="D33" s="138"/>
      <c r="E33" s="138"/>
      <c r="F33" s="138"/>
    </row>
    <row r="34" spans="1:6" ht="15.75">
      <c r="A34" s="477"/>
      <c r="B34" s="138"/>
      <c r="C34" s="138"/>
      <c r="D34" s="138"/>
      <c r="E34" s="138"/>
      <c r="F34" s="138"/>
    </row>
    <row r="35" spans="1:6" ht="15.75">
      <c r="A35" s="477"/>
      <c r="B35" s="138"/>
      <c r="C35" s="138"/>
      <c r="D35" s="138"/>
      <c r="E35" s="138"/>
      <c r="F35" s="138"/>
    </row>
    <row r="36" spans="1:6" ht="15.75">
      <c r="A36" s="477"/>
      <c r="B36" s="138"/>
      <c r="C36" s="138"/>
      <c r="D36" s="138"/>
      <c r="E36" s="138"/>
      <c r="F36" s="138"/>
    </row>
    <row r="37" spans="1:6" ht="15.75">
      <c r="A37" s="477"/>
      <c r="B37" s="138"/>
      <c r="C37" s="138"/>
      <c r="D37" s="138"/>
      <c r="E37" s="138"/>
      <c r="F37" s="138"/>
    </row>
    <row r="38" spans="1:6" ht="15.75">
      <c r="A38" s="477"/>
      <c r="B38" s="138"/>
      <c r="C38" s="138"/>
      <c r="D38" s="138"/>
      <c r="E38" s="138"/>
      <c r="F38" s="138"/>
    </row>
    <row r="39" spans="1:6">
      <c r="A39" s="138"/>
      <c r="B39" s="138"/>
      <c r="C39" s="138"/>
      <c r="D39" s="138"/>
      <c r="E39" s="138"/>
      <c r="F39" s="138"/>
    </row>
    <row r="40" spans="1:6" ht="15.75">
      <c r="A40" s="138"/>
      <c r="B40" s="238" t="s">
        <v>124</v>
      </c>
      <c r="C40" s="120"/>
      <c r="D40" s="138"/>
      <c r="E40" s="138"/>
      <c r="F40" s="138"/>
    </row>
    <row r="41" spans="1:6" ht="15.75">
      <c r="A41" s="166"/>
      <c r="B41" s="85"/>
      <c r="C41" s="85"/>
      <c r="D41" s="289"/>
      <c r="E41" s="166"/>
      <c r="F41" s="166"/>
    </row>
  </sheetData>
  <sheetProtection sheet="1"/>
  <mergeCells count="5">
    <mergeCell ref="B28:C28"/>
    <mergeCell ref="B3:E3"/>
    <mergeCell ref="A22:C22"/>
    <mergeCell ref="B24:C24"/>
    <mergeCell ref="A26:C26"/>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tabColor rgb="FF00B0F0"/>
    <pageSetUpPr fitToPage="1"/>
  </sheetPr>
  <dimension ref="A1:H37"/>
  <sheetViews>
    <sheetView workbookViewId="0">
      <selection activeCell="E10" sqref="E10"/>
    </sheetView>
  </sheetViews>
  <sheetFormatPr defaultColWidth="8.88671875" defaultRowHeight="15"/>
  <cols>
    <col min="1" max="1" width="12.6640625" style="47" customWidth="1"/>
    <col min="2" max="2" width="18.109375" style="47" customWidth="1"/>
    <col min="3" max="5" width="11.77734375" style="47" customWidth="1"/>
    <col min="6" max="16384" width="8.88671875" style="47"/>
  </cols>
  <sheetData>
    <row r="1" spans="1:8" ht="15.75">
      <c r="A1" s="15" t="str">
        <f>inputPrYr!D2</f>
        <v>City of Hiawatha</v>
      </c>
      <c r="B1" s="23"/>
      <c r="C1" s="23"/>
      <c r="D1" s="23"/>
      <c r="E1" s="23"/>
      <c r="F1" s="5">
        <f>inputPrYr!C5</f>
        <v>2014</v>
      </c>
      <c r="G1"/>
      <c r="H1"/>
    </row>
    <row r="2" spans="1:8" ht="15.75">
      <c r="A2" s="48"/>
      <c r="B2" s="23"/>
      <c r="C2" s="23"/>
      <c r="D2" s="23"/>
      <c r="E2" s="23"/>
      <c r="F2" s="23"/>
      <c r="G2"/>
      <c r="H2"/>
    </row>
    <row r="3" spans="1:8" ht="15.75">
      <c r="A3" s="23"/>
      <c r="B3" s="23"/>
      <c r="C3" s="23"/>
      <c r="D3" s="23"/>
      <c r="E3" s="23"/>
      <c r="F3" s="23"/>
      <c r="G3"/>
      <c r="H3"/>
    </row>
    <row r="4" spans="1:8" ht="15.75">
      <c r="A4" s="5"/>
      <c r="B4" s="934" t="str">
        <f>CONCATENATE("",F1," City's Computation Estimate for TIF District")</f>
        <v>2014 City's Computation Estimate for TIF District</v>
      </c>
      <c r="C4" s="936"/>
      <c r="D4" s="936"/>
      <c r="E4" s="935"/>
      <c r="F4" s="23"/>
      <c r="G4"/>
      <c r="H4"/>
    </row>
    <row r="5" spans="1:8" ht="15.75">
      <c r="A5" s="5"/>
      <c r="B5" s="934"/>
      <c r="C5" s="935"/>
      <c r="D5" s="935"/>
      <c r="E5" s="935"/>
      <c r="F5" s="23"/>
      <c r="G5"/>
      <c r="H5"/>
    </row>
    <row r="6" spans="1:8" ht="15.75">
      <c r="A6" s="5"/>
      <c r="B6" s="5"/>
      <c r="C6" s="5"/>
      <c r="D6" s="5"/>
      <c r="E6" s="5"/>
      <c r="F6" s="23"/>
      <c r="G6"/>
      <c r="H6"/>
    </row>
    <row r="7" spans="1:8" ht="16.5" thickBot="1">
      <c r="A7" s="5"/>
      <c r="B7" s="921" t="s">
        <v>351</v>
      </c>
      <c r="C7" s="922"/>
      <c r="D7" s="923"/>
      <c r="E7" s="11"/>
      <c r="F7" s="23"/>
      <c r="G7"/>
      <c r="H7"/>
    </row>
    <row r="8" spans="1:8" ht="15.75">
      <c r="A8" s="5"/>
      <c r="B8" s="12" t="s">
        <v>352</v>
      </c>
      <c r="C8" s="56"/>
      <c r="D8" s="56"/>
      <c r="E8" s="28">
        <f>IF(inputOth!E18&gt;0,inputOth!E18,0)</f>
        <v>0</v>
      </c>
      <c r="F8" s="23"/>
      <c r="G8"/>
      <c r="H8" s="54"/>
    </row>
    <row r="9" spans="1:8" ht="15.75">
      <c r="A9" s="5"/>
      <c r="B9" s="9" t="str">
        <f>CONCATENATE("",F1-1,", Mill Levy Estimated Rate from Budget Summary Page:")</f>
        <v>2013, Mill Levy Estimated Rate from Budget Summary Page:</v>
      </c>
      <c r="C9" s="53"/>
      <c r="D9" s="53"/>
      <c r="E9" s="42">
        <f>IF(summ!H48&gt;0,summ!H48,0)</f>
        <v>45.787999999999997</v>
      </c>
      <c r="F9" s="23"/>
      <c r="G9"/>
      <c r="H9"/>
    </row>
    <row r="10" spans="1:8" ht="15.75">
      <c r="A10" s="5"/>
      <c r="B10" s="9" t="s">
        <v>353</v>
      </c>
      <c r="C10" s="53"/>
      <c r="D10" s="55"/>
      <c r="E10" s="59">
        <f>IF(E8&gt;0,ROUND(E8*E9*0.001,0),0)</f>
        <v>0</v>
      </c>
      <c r="F10" s="23"/>
      <c r="G10"/>
      <c r="H10"/>
    </row>
    <row r="11" spans="1:8" ht="15.75">
      <c r="A11" s="5"/>
      <c r="B11" s="22"/>
      <c r="C11" s="44"/>
      <c r="D11" s="44"/>
      <c r="E11" s="49"/>
      <c r="F11" s="23"/>
      <c r="G11"/>
      <c r="H11"/>
    </row>
    <row r="12" spans="1:8" ht="16.5" thickBot="1">
      <c r="A12" s="5"/>
      <c r="B12" s="924" t="s">
        <v>354</v>
      </c>
      <c r="C12" s="925"/>
      <c r="D12" s="926"/>
      <c r="E12" s="28"/>
      <c r="F12" s="23"/>
      <c r="G12"/>
      <c r="H12"/>
    </row>
    <row r="13" spans="1:8" ht="15.75">
      <c r="A13" s="5"/>
      <c r="B13" s="12" t="s">
        <v>355</v>
      </c>
      <c r="C13" s="43"/>
      <c r="D13" s="43"/>
      <c r="E13" s="28">
        <f>IF(inputOth!E17&gt;0,inputOth!E17,0)</f>
        <v>0</v>
      </c>
      <c r="F13" s="23"/>
      <c r="G13"/>
      <c r="H13"/>
    </row>
    <row r="14" spans="1:8" ht="15.75">
      <c r="A14" s="5"/>
      <c r="B14" s="9" t="str">
        <f>CONCATENATE("",F1-1,", Mill Levy Estimated Rate from Budget summary Page:")</f>
        <v>2013, Mill Levy Estimated Rate from Budget summary Page:</v>
      </c>
      <c r="C14" s="53"/>
      <c r="D14" s="53"/>
      <c r="E14" s="42">
        <f>IF(summ!H48&gt;0,summ!H48,0)</f>
        <v>45.787999999999997</v>
      </c>
      <c r="F14" s="23"/>
      <c r="G14"/>
      <c r="H14"/>
    </row>
    <row r="15" spans="1:8" ht="15.75">
      <c r="A15" s="5"/>
      <c r="B15" s="9" t="s">
        <v>356</v>
      </c>
      <c r="C15" s="53"/>
      <c r="D15" s="55"/>
      <c r="E15" s="58">
        <f>IF(E13&gt;0,ROUND(E13*E14*0.001,0),0)</f>
        <v>0</v>
      </c>
      <c r="F15" s="23"/>
      <c r="G15"/>
      <c r="H15"/>
    </row>
    <row r="16" spans="1:8" ht="15.75">
      <c r="A16" s="5"/>
      <c r="B16" s="22"/>
      <c r="C16" s="44"/>
      <c r="D16" s="44"/>
      <c r="E16" s="49"/>
      <c r="F16" s="23"/>
      <c r="G16"/>
      <c r="H16"/>
    </row>
    <row r="17" spans="1:6" ht="16.5" thickBot="1">
      <c r="A17" s="5"/>
      <c r="B17" s="924" t="s">
        <v>357</v>
      </c>
      <c r="C17" s="925"/>
      <c r="D17" s="926"/>
      <c r="E17" s="28"/>
      <c r="F17" s="23"/>
    </row>
    <row r="18" spans="1:6" ht="15.75">
      <c r="A18" s="5"/>
      <c r="B18" s="57" t="s">
        <v>353</v>
      </c>
      <c r="C18" s="43"/>
      <c r="D18" s="43"/>
      <c r="E18" s="59">
        <f>E10</f>
        <v>0</v>
      </c>
      <c r="F18" s="23"/>
    </row>
    <row r="19" spans="1:6" ht="15.75">
      <c r="A19" s="5"/>
      <c r="B19" s="927" t="s">
        <v>358</v>
      </c>
      <c r="C19" s="928"/>
      <c r="D19" s="53"/>
      <c r="E19" s="58">
        <f>E15</f>
        <v>0</v>
      </c>
      <c r="F19" s="23"/>
    </row>
    <row r="20" spans="1:6" ht="15.75">
      <c r="A20" s="5"/>
      <c r="B20" s="929" t="s">
        <v>359</v>
      </c>
      <c r="C20" s="930"/>
      <c r="D20" s="931"/>
      <c r="E20" s="60">
        <f>E18-E19</f>
        <v>0</v>
      </c>
      <c r="F20" s="23" t="s">
        <v>360</v>
      </c>
    </row>
    <row r="21" spans="1:6" ht="15.75">
      <c r="A21" s="5"/>
      <c r="B21" s="21"/>
      <c r="C21" s="49"/>
      <c r="D21" s="44"/>
      <c r="E21" s="49"/>
      <c r="F21" s="23"/>
    </row>
    <row r="22" spans="1:6" ht="15.75">
      <c r="A22" s="5"/>
      <c r="B22" s="932" t="s">
        <v>361</v>
      </c>
      <c r="C22" s="933"/>
      <c r="D22" s="5"/>
      <c r="E22" s="5"/>
      <c r="F22" s="23"/>
    </row>
    <row r="23" spans="1:6" ht="15.75">
      <c r="A23" s="5"/>
      <c r="B23" s="5"/>
      <c r="C23" s="5"/>
      <c r="D23" s="5"/>
      <c r="E23" s="5"/>
      <c r="F23" s="23"/>
    </row>
    <row r="24" spans="1:6" ht="15.75">
      <c r="A24" s="937"/>
      <c r="B24" s="920"/>
      <c r="C24" s="937"/>
      <c r="D24" s="49"/>
      <c r="E24" s="5"/>
      <c r="F24" s="23"/>
    </row>
    <row r="25" spans="1:6" ht="15.75">
      <c r="A25" s="5"/>
      <c r="B25" s="5"/>
      <c r="C25" s="5"/>
      <c r="D25" s="21"/>
      <c r="E25" s="5"/>
      <c r="F25" s="23"/>
    </row>
    <row r="26" spans="1:6" ht="15.75">
      <c r="A26" s="5"/>
      <c r="B26" s="937"/>
      <c r="C26" s="937"/>
      <c r="D26" s="44"/>
      <c r="E26" s="5"/>
      <c r="F26" s="23"/>
    </row>
    <row r="27" spans="1:6" ht="15.75">
      <c r="A27" s="5"/>
      <c r="B27" s="6"/>
      <c r="C27" s="6"/>
      <c r="D27" s="44"/>
      <c r="E27" s="5"/>
      <c r="F27" s="23"/>
    </row>
    <row r="28" spans="1:6" ht="15.75">
      <c r="A28" s="919"/>
      <c r="B28" s="935"/>
      <c r="C28" s="935"/>
      <c r="D28" s="50"/>
      <c r="E28" s="27"/>
      <c r="F28" s="27"/>
    </row>
    <row r="29" spans="1:6">
      <c r="A29" s="27"/>
      <c r="B29" s="27"/>
      <c r="C29" s="27"/>
      <c r="D29" s="51"/>
      <c r="E29" s="27"/>
      <c r="F29" s="27"/>
    </row>
    <row r="30" spans="1:6" ht="15.75">
      <c r="A30" s="27"/>
      <c r="B30" s="919"/>
      <c r="C30" s="920"/>
      <c r="D30" s="52"/>
      <c r="E30" s="27"/>
      <c r="F30" s="27"/>
    </row>
    <row r="31" spans="1:6">
      <c r="A31" s="27"/>
      <c r="B31" s="27"/>
      <c r="C31" s="27"/>
      <c r="D31" s="27"/>
      <c r="E31" s="27"/>
      <c r="F31" s="27"/>
    </row>
    <row r="32" spans="1:6">
      <c r="A32" s="27"/>
      <c r="B32" s="27"/>
      <c r="C32" s="27"/>
      <c r="D32" s="27"/>
      <c r="E32" s="27"/>
      <c r="F32" s="27"/>
    </row>
    <row r="33" spans="1:6">
      <c r="A33" s="27"/>
      <c r="B33" s="27"/>
      <c r="C33" s="27"/>
      <c r="D33" s="27"/>
      <c r="E33" s="27"/>
      <c r="F33" s="27"/>
    </row>
    <row r="34" spans="1:6">
      <c r="A34" s="27"/>
      <c r="B34" s="27"/>
      <c r="C34" s="27"/>
      <c r="D34" s="27"/>
      <c r="E34" s="27"/>
      <c r="F34" s="27"/>
    </row>
    <row r="35" spans="1:6">
      <c r="A35" s="27"/>
      <c r="B35" s="27"/>
      <c r="C35" s="27"/>
      <c r="D35" s="27"/>
      <c r="E35" s="27"/>
      <c r="F35" s="27"/>
    </row>
    <row r="36" spans="1:6">
      <c r="A36" s="27"/>
      <c r="B36" s="27"/>
      <c r="C36" s="27"/>
      <c r="D36" s="27"/>
      <c r="E36" s="27"/>
      <c r="F36" s="27"/>
    </row>
    <row r="37" spans="1:6" ht="15.75">
      <c r="A37" s="27"/>
      <c r="B37" s="13" t="s">
        <v>124</v>
      </c>
      <c r="C37" s="19"/>
      <c r="D37" s="27"/>
      <c r="E37" s="27"/>
      <c r="F37" s="27"/>
    </row>
  </sheetData>
  <sheetProtection sheet="1"/>
  <mergeCells count="12">
    <mergeCell ref="B5:E5"/>
    <mergeCell ref="B4:E4"/>
    <mergeCell ref="A24:C24"/>
    <mergeCell ref="B26:C26"/>
    <mergeCell ref="A28:C28"/>
    <mergeCell ref="B30:C30"/>
    <mergeCell ref="B7:D7"/>
    <mergeCell ref="B12:D12"/>
    <mergeCell ref="B17:D17"/>
    <mergeCell ref="B19:C19"/>
    <mergeCell ref="B20:D20"/>
    <mergeCell ref="B22:C22"/>
  </mergeCells>
  <pageMargins left="0.7" right="0.7" top="0.75" bottom="0.75" header="0.3" footer="0.3"/>
  <pageSetup orientation="portrait" blackAndWhite="1" r:id="rId1"/>
</worksheet>
</file>

<file path=xl/worksheets/sheet39.xml><?xml version="1.0" encoding="utf-8"?>
<worksheet xmlns="http://schemas.openxmlformats.org/spreadsheetml/2006/main" xmlns:r="http://schemas.openxmlformats.org/officeDocument/2006/relationships">
  <sheetPr>
    <tabColor rgb="FF00B0F0"/>
    <pageSetUpPr fitToPage="1"/>
  </sheetPr>
  <dimension ref="A1:F48"/>
  <sheetViews>
    <sheetView workbookViewId="0">
      <selection activeCell="M8" sqref="M8"/>
    </sheetView>
  </sheetViews>
  <sheetFormatPr defaultColWidth="8.88671875" defaultRowHeight="15"/>
  <cols>
    <col min="1" max="1" width="12.6640625" style="47" customWidth="1"/>
    <col min="2" max="2" width="18.109375" style="47" customWidth="1"/>
    <col min="3" max="5" width="11.77734375" style="47" customWidth="1"/>
    <col min="6" max="16384" width="8.88671875" style="47"/>
  </cols>
  <sheetData>
    <row r="1" spans="1:6" ht="15.75">
      <c r="A1" s="252" t="str">
        <f>inputPrYr!D2</f>
        <v>City of Hiawatha</v>
      </c>
      <c r="B1" s="251"/>
      <c r="C1" s="251"/>
      <c r="D1" s="251"/>
      <c r="E1" s="251"/>
      <c r="F1" s="250">
        <f>inputPrYr!C5</f>
        <v>2014</v>
      </c>
    </row>
    <row r="2" spans="1:6" ht="15.75">
      <c r="A2" s="248"/>
      <c r="B2" s="251"/>
      <c r="C2" s="251"/>
      <c r="D2" s="251"/>
      <c r="E2" s="251"/>
      <c r="F2" s="251"/>
    </row>
    <row r="3" spans="1:6" ht="15.75">
      <c r="A3" s="251"/>
      <c r="B3" s="251"/>
      <c r="C3" s="251"/>
      <c r="D3" s="251"/>
      <c r="E3" s="251"/>
      <c r="F3" s="251"/>
    </row>
    <row r="4" spans="1:6" ht="15.75">
      <c r="A4" s="250"/>
      <c r="B4" s="938" t="str">
        <f>CONCATENATE("",F1," Computation of Net Assessed Valuation Concerning TIF District")</f>
        <v>2014 Computation of Net Assessed Valuation Concerning TIF District</v>
      </c>
      <c r="C4" s="939"/>
      <c r="D4" s="939"/>
      <c r="E4" s="940"/>
      <c r="F4" s="251"/>
    </row>
    <row r="5" spans="1:6" ht="15.75">
      <c r="A5" s="250"/>
      <c r="B5" s="938" t="s">
        <v>367</v>
      </c>
      <c r="C5" s="940"/>
      <c r="D5" s="940"/>
      <c r="E5" s="940"/>
      <c r="F5" s="251"/>
    </row>
    <row r="6" spans="1:6" ht="15.75">
      <c r="A6" s="250"/>
      <c r="B6" s="249"/>
      <c r="C6" s="251"/>
      <c r="D6" s="251"/>
      <c r="E6" s="251"/>
      <c r="F6" s="251"/>
    </row>
    <row r="7" spans="1:6" ht="15.75">
      <c r="A7" s="250"/>
      <c r="B7" s="944" t="s">
        <v>368</v>
      </c>
      <c r="C7" s="945"/>
      <c r="D7" s="946"/>
      <c r="E7" s="75"/>
      <c r="F7" s="251" t="s">
        <v>360</v>
      </c>
    </row>
    <row r="8" spans="1:6" ht="15.75">
      <c r="A8" s="250"/>
      <c r="B8" s="944" t="s">
        <v>369</v>
      </c>
      <c r="C8" s="945"/>
      <c r="D8" s="946"/>
      <c r="E8" s="75"/>
      <c r="F8" s="251" t="s">
        <v>360</v>
      </c>
    </row>
    <row r="9" spans="1:6" ht="15.75">
      <c r="A9" s="250"/>
      <c r="B9" s="253" t="s">
        <v>370</v>
      </c>
      <c r="C9" s="250"/>
      <c r="D9" s="250"/>
      <c r="E9" s="74">
        <f>SUM(E7-E8)</f>
        <v>0</v>
      </c>
      <c r="F9" s="251"/>
    </row>
    <row r="10" spans="1:6" ht="15.75">
      <c r="A10" s="250"/>
      <c r="B10" s="947" t="s">
        <v>371</v>
      </c>
      <c r="C10" s="948"/>
      <c r="D10" s="949"/>
      <c r="E10" s="74">
        <f>IF(E7&gt;0,inputOth!E17,0)</f>
        <v>0</v>
      </c>
      <c r="F10" s="251"/>
    </row>
    <row r="11" spans="1:6" ht="15.75">
      <c r="A11" s="250"/>
      <c r="B11" s="254" t="s">
        <v>372</v>
      </c>
      <c r="C11" s="255"/>
      <c r="D11" s="256"/>
      <c r="E11" s="81">
        <f>IF(E7&gt;0,E9+E10,0)</f>
        <v>0</v>
      </c>
      <c r="F11" s="251" t="s">
        <v>333</v>
      </c>
    </row>
    <row r="12" spans="1:6" ht="15.75">
      <c r="A12" s="250"/>
      <c r="B12" s="249"/>
      <c r="C12" s="251"/>
      <c r="D12" s="251"/>
      <c r="E12" s="251"/>
      <c r="F12" s="251"/>
    </row>
    <row r="13" spans="1:6" ht="15.75">
      <c r="A13" s="250"/>
      <c r="B13" s="959" t="s">
        <v>373</v>
      </c>
      <c r="C13" s="961"/>
      <c r="D13" s="961"/>
      <c r="E13" s="961"/>
      <c r="F13" s="251"/>
    </row>
    <row r="14" spans="1:6" ht="15.75">
      <c r="A14" s="250"/>
      <c r="B14" s="959" t="s">
        <v>374</v>
      </c>
      <c r="C14" s="940"/>
      <c r="D14" s="940"/>
      <c r="E14" s="940"/>
      <c r="F14" s="251"/>
    </row>
    <row r="15" spans="1:6" ht="15.75">
      <c r="A15" s="250"/>
      <c r="B15" s="249"/>
      <c r="C15" s="251"/>
      <c r="D15" s="251"/>
      <c r="E15" s="251"/>
      <c r="F15" s="251"/>
    </row>
    <row r="16" spans="1:6" ht="15.75">
      <c r="A16" s="250"/>
      <c r="B16" s="938" t="str">
        <f>CONCATENATE("",F1," Computation of Distribution for Ad Valorem Tax to TIF District")</f>
        <v>2014 Computation of Distribution for Ad Valorem Tax to TIF District</v>
      </c>
      <c r="C16" s="940"/>
      <c r="D16" s="940"/>
      <c r="E16" s="940"/>
      <c r="F16" s="251"/>
    </row>
    <row r="17" spans="1:6" ht="15.75">
      <c r="A17" s="250"/>
      <c r="B17" s="249"/>
      <c r="C17" s="251"/>
      <c r="D17" s="251"/>
      <c r="E17" s="251"/>
      <c r="F17" s="251"/>
    </row>
    <row r="18" spans="1:6" ht="16.5" thickBot="1">
      <c r="A18" s="250"/>
      <c r="B18" s="950" t="s">
        <v>375</v>
      </c>
      <c r="C18" s="951"/>
      <c r="D18" s="952"/>
      <c r="E18" s="257"/>
      <c r="F18" s="251"/>
    </row>
    <row r="19" spans="1:6" ht="15.75">
      <c r="A19" s="250"/>
      <c r="B19" s="258" t="s">
        <v>376</v>
      </c>
      <c r="C19" s="259"/>
      <c r="D19" s="259"/>
      <c r="E19" s="74">
        <f>E8</f>
        <v>0</v>
      </c>
      <c r="F19" s="251"/>
    </row>
    <row r="20" spans="1:6" ht="15.75">
      <c r="A20" s="250"/>
      <c r="B20" s="260" t="str">
        <f>CONCATENATE("",F1-1,", Mill Levy from Certificate Page:")</f>
        <v>2013, Mill Levy from Certificate Page:</v>
      </c>
      <c r="C20" s="261"/>
      <c r="D20" s="261"/>
      <c r="E20" s="76" t="str">
        <f>IF(cert!G53&gt;0,cert!G53,0)</f>
        <v/>
      </c>
      <c r="F20" s="251"/>
    </row>
    <row r="21" spans="1:6" ht="15.75">
      <c r="A21" s="250"/>
      <c r="B21" s="260" t="s">
        <v>377</v>
      </c>
      <c r="C21" s="261"/>
      <c r="D21" s="262"/>
      <c r="E21" s="80">
        <f>IF(E19&gt;0,ROUND(E19*E20*0.001,0),0)</f>
        <v>0</v>
      </c>
      <c r="F21" s="251"/>
    </row>
    <row r="22" spans="1:6" ht="15.75">
      <c r="A22" s="250"/>
      <c r="B22" s="263"/>
      <c r="C22" s="264"/>
      <c r="D22" s="264"/>
      <c r="E22" s="77"/>
      <c r="F22" s="251"/>
    </row>
    <row r="23" spans="1:6" ht="16.5" thickBot="1">
      <c r="A23" s="250"/>
      <c r="B23" s="953" t="s">
        <v>378</v>
      </c>
      <c r="C23" s="954"/>
      <c r="D23" s="955"/>
      <c r="E23" s="74"/>
      <c r="F23" s="251"/>
    </row>
    <row r="24" spans="1:6" ht="15.75">
      <c r="A24" s="250"/>
      <c r="B24" s="258" t="s">
        <v>379</v>
      </c>
      <c r="C24" s="265"/>
      <c r="D24" s="265"/>
      <c r="E24" s="74">
        <f>IF(inputOth!E17&gt;0,inputOth!E17,0)</f>
        <v>0</v>
      </c>
      <c r="F24" s="251"/>
    </row>
    <row r="25" spans="1:6" ht="15.75">
      <c r="A25" s="250"/>
      <c r="B25" s="260" t="str">
        <f>CONCATENATE("",F1-1,", Mill Levy from Certificate Page:")</f>
        <v>2013, Mill Levy from Certificate Page:</v>
      </c>
      <c r="C25" s="261"/>
      <c r="D25" s="261"/>
      <c r="E25" s="76" t="str">
        <f>IF(cert!G53&gt;0,cert!G53,0)</f>
        <v/>
      </c>
      <c r="F25" s="251"/>
    </row>
    <row r="26" spans="1:6" ht="15.75">
      <c r="A26" s="250"/>
      <c r="B26" s="260" t="s">
        <v>380</v>
      </c>
      <c r="C26" s="261"/>
      <c r="D26" s="262"/>
      <c r="E26" s="78">
        <f>IF(E24&gt;0,ROUND(E24*E25*0.001,0),0)</f>
        <v>0</v>
      </c>
      <c r="F26" s="251"/>
    </row>
    <row r="27" spans="1:6" ht="15.75">
      <c r="A27" s="250"/>
      <c r="B27" s="263"/>
      <c r="C27" s="264"/>
      <c r="D27" s="264"/>
      <c r="E27" s="77"/>
      <c r="F27" s="251"/>
    </row>
    <row r="28" spans="1:6" ht="15.75">
      <c r="A28" s="250"/>
      <c r="B28" s="956" t="s">
        <v>381</v>
      </c>
      <c r="C28" s="957"/>
      <c r="D28" s="958"/>
      <c r="E28" s="74"/>
      <c r="F28" s="251"/>
    </row>
    <row r="29" spans="1:6" ht="15.75">
      <c r="A29" s="250"/>
      <c r="B29" s="260" t="s">
        <v>377</v>
      </c>
      <c r="C29" s="261"/>
      <c r="D29" s="261"/>
      <c r="E29" s="80">
        <f>E21</f>
        <v>0</v>
      </c>
      <c r="F29" s="251"/>
    </row>
    <row r="30" spans="1:6" ht="15.75">
      <c r="A30" s="250"/>
      <c r="B30" s="260" t="s">
        <v>382</v>
      </c>
      <c r="C30" s="261"/>
      <c r="D30" s="261"/>
      <c r="E30" s="79">
        <f>E26</f>
        <v>0</v>
      </c>
      <c r="F30" s="251"/>
    </row>
    <row r="31" spans="1:6" ht="15.75">
      <c r="A31" s="250"/>
      <c r="B31" s="266" t="s">
        <v>383</v>
      </c>
      <c r="C31" s="261"/>
      <c r="D31" s="261"/>
      <c r="E31" s="81">
        <f>IF(E19&gt;0,E29-E30,0)</f>
        <v>0</v>
      </c>
      <c r="F31" s="251" t="s">
        <v>384</v>
      </c>
    </row>
    <row r="32" spans="1:6" ht="15.75">
      <c r="A32" s="250"/>
      <c r="B32" s="267"/>
      <c r="C32" s="77"/>
      <c r="D32" s="264"/>
      <c r="E32" s="77"/>
      <c r="F32" s="251"/>
    </row>
    <row r="33" spans="1:6" ht="15.75">
      <c r="A33" s="959" t="s">
        <v>385</v>
      </c>
      <c r="B33" s="960"/>
      <c r="C33" s="960"/>
      <c r="D33" s="960"/>
      <c r="E33" s="960"/>
      <c r="F33" s="960"/>
    </row>
    <row r="34" spans="1:6" ht="15.75">
      <c r="A34" s="250"/>
      <c r="B34" s="250"/>
      <c r="C34" s="250"/>
      <c r="D34" s="250"/>
      <c r="E34" s="250"/>
      <c r="F34" s="251"/>
    </row>
    <row r="35" spans="1:6" ht="15.75">
      <c r="A35" s="941"/>
      <c r="B35" s="942"/>
      <c r="C35" s="941"/>
      <c r="D35" s="77"/>
      <c r="E35" s="250"/>
      <c r="F35" s="251"/>
    </row>
    <row r="36" spans="1:6" ht="15.75">
      <c r="A36" s="250"/>
      <c r="B36" s="250"/>
      <c r="C36" s="250"/>
      <c r="D36" s="267"/>
      <c r="E36" s="250"/>
      <c r="F36" s="251"/>
    </row>
    <row r="37" spans="1:6" ht="15.75">
      <c r="A37" s="250"/>
      <c r="B37" s="941"/>
      <c r="C37" s="941"/>
      <c r="D37" s="264"/>
      <c r="E37" s="250"/>
      <c r="F37" s="251"/>
    </row>
    <row r="38" spans="1:6" ht="15.75">
      <c r="A38" s="250"/>
      <c r="B38" s="268"/>
      <c r="C38" s="268"/>
      <c r="D38" s="264"/>
      <c r="E38" s="250"/>
      <c r="F38" s="251"/>
    </row>
    <row r="39" spans="1:6" ht="15.75">
      <c r="A39" s="943"/>
      <c r="B39" s="940"/>
      <c r="C39" s="940"/>
      <c r="D39" s="270"/>
      <c r="E39" s="271"/>
      <c r="F39" s="271"/>
    </row>
    <row r="40" spans="1:6">
      <c r="A40" s="271"/>
      <c r="B40" s="271"/>
      <c r="C40" s="271"/>
      <c r="D40" s="272"/>
      <c r="E40" s="271"/>
      <c r="F40" s="271"/>
    </row>
    <row r="41" spans="1:6" ht="15.75">
      <c r="A41" s="271"/>
      <c r="B41" s="943"/>
      <c r="C41" s="942"/>
      <c r="D41" s="273"/>
      <c r="E41" s="271"/>
      <c r="F41" s="271"/>
    </row>
    <row r="42" spans="1:6">
      <c r="A42" s="271"/>
      <c r="B42" s="271"/>
      <c r="C42" s="271"/>
      <c r="D42" s="271"/>
      <c r="E42" s="271"/>
      <c r="F42" s="271"/>
    </row>
    <row r="43" spans="1:6">
      <c r="A43" s="271"/>
      <c r="B43" s="271"/>
      <c r="C43" s="271"/>
      <c r="D43" s="271"/>
      <c r="E43" s="271"/>
      <c r="F43" s="271"/>
    </row>
    <row r="44" spans="1:6">
      <c r="A44" s="271"/>
      <c r="B44" s="271"/>
      <c r="C44" s="271"/>
      <c r="D44" s="271"/>
      <c r="E44" s="271"/>
      <c r="F44" s="271"/>
    </row>
    <row r="45" spans="1:6">
      <c r="A45" s="271"/>
      <c r="B45" s="271"/>
      <c r="C45" s="271"/>
      <c r="D45" s="271"/>
      <c r="E45" s="271"/>
      <c r="F45" s="271"/>
    </row>
    <row r="46" spans="1:6">
      <c r="A46" s="271"/>
      <c r="B46" s="271"/>
      <c r="C46" s="271"/>
      <c r="D46" s="271"/>
      <c r="E46" s="271"/>
      <c r="F46" s="271"/>
    </row>
    <row r="47" spans="1:6">
      <c r="A47" s="271"/>
      <c r="B47" s="271"/>
      <c r="C47" s="271"/>
      <c r="D47" s="271"/>
      <c r="E47" s="271"/>
      <c r="F47" s="271"/>
    </row>
    <row r="48" spans="1:6" ht="15.75">
      <c r="A48" s="271"/>
      <c r="B48" s="269"/>
      <c r="C48" s="271"/>
      <c r="D48" s="271"/>
      <c r="E48" s="271"/>
      <c r="F48" s="271"/>
    </row>
  </sheetData>
  <sheetProtection sheet="1"/>
  <mergeCells count="16">
    <mergeCell ref="B4:E4"/>
    <mergeCell ref="A35:C35"/>
    <mergeCell ref="B37:C37"/>
    <mergeCell ref="A39:C39"/>
    <mergeCell ref="B41:C41"/>
    <mergeCell ref="B5:E5"/>
    <mergeCell ref="B7:D7"/>
    <mergeCell ref="B8:D8"/>
    <mergeCell ref="B10:D10"/>
    <mergeCell ref="B16:E16"/>
    <mergeCell ref="B18:D18"/>
    <mergeCell ref="B23:D23"/>
    <mergeCell ref="B28:D28"/>
    <mergeCell ref="A33:F33"/>
    <mergeCell ref="B13:E13"/>
    <mergeCell ref="B14:E14"/>
  </mergeCells>
  <pageMargins left="0.7" right="0.7" top="0.75" bottom="0.75" header="0.3" footer="0.3"/>
  <pageSetup scale="92" orientation="portrait" blackAndWhite="1" r:id="rId1"/>
</worksheet>
</file>

<file path=xl/worksheets/sheet4.xml><?xml version="1.0" encoding="utf-8"?>
<worksheet xmlns="http://schemas.openxmlformats.org/spreadsheetml/2006/main" xmlns:r="http://schemas.openxmlformats.org/officeDocument/2006/relationships">
  <dimension ref="A1:J27"/>
  <sheetViews>
    <sheetView tabSelected="1" workbookViewId="0">
      <selection activeCell="F22" sqref="F22"/>
    </sheetView>
  </sheetViews>
  <sheetFormatPr defaultRowHeight="15"/>
  <cols>
    <col min="1" max="1" width="13.77734375" customWidth="1"/>
    <col min="2" max="2" width="16.109375" customWidth="1"/>
  </cols>
  <sheetData>
    <row r="1" spans="1:10">
      <c r="J1" s="738" t="s">
        <v>914</v>
      </c>
    </row>
    <row r="2" spans="1:10" ht="54" customHeight="1">
      <c r="A2" s="854" t="s">
        <v>661</v>
      </c>
      <c r="B2" s="855"/>
      <c r="C2" s="855"/>
      <c r="D2" s="855"/>
      <c r="E2" s="855"/>
      <c r="F2" s="855"/>
      <c r="J2" s="738" t="s">
        <v>915</v>
      </c>
    </row>
    <row r="3" spans="1:10" ht="15.75">
      <c r="A3" s="1" t="s">
        <v>916</v>
      </c>
      <c r="B3" s="739" t="s">
        <v>1140</v>
      </c>
      <c r="C3" s="739"/>
      <c r="J3" s="738" t="s">
        <v>917</v>
      </c>
    </row>
    <row r="4" spans="1:10" ht="15.75">
      <c r="A4" s="1"/>
      <c r="B4" s="740"/>
      <c r="J4" s="738" t="s">
        <v>918</v>
      </c>
    </row>
    <row r="5" spans="1:10" ht="15.75">
      <c r="A5" s="1" t="s">
        <v>772</v>
      </c>
      <c r="B5" s="739" t="s">
        <v>243</v>
      </c>
      <c r="J5" s="738" t="s">
        <v>919</v>
      </c>
    </row>
    <row r="6" spans="1:10" ht="15.75">
      <c r="A6" s="469"/>
      <c r="B6" s="469"/>
      <c r="C6" s="469"/>
      <c r="D6" s="470" t="s">
        <v>920</v>
      </c>
      <c r="E6" s="469"/>
      <c r="F6" s="469"/>
      <c r="J6" s="738" t="s">
        <v>921</v>
      </c>
    </row>
    <row r="7" spans="1:10" ht="15.75">
      <c r="A7" s="470" t="s">
        <v>662</v>
      </c>
      <c r="B7" s="739" t="s">
        <v>1141</v>
      </c>
      <c r="C7" s="471"/>
      <c r="D7" s="470" t="str">
        <f ca="1">IF(B7="","",CONCATENATE("Latest date for notice to be published in your newspaper: ",G18," ",G22,", ",G23))</f>
        <v>Latest date for notice to be published in your newspaper: August 9, 2013</v>
      </c>
      <c r="E7" s="469"/>
      <c r="F7" s="469"/>
      <c r="J7" s="738" t="s">
        <v>922</v>
      </c>
    </row>
    <row r="8" spans="1:10" ht="15.75">
      <c r="A8" s="470"/>
      <c r="B8" s="472"/>
      <c r="C8" s="473"/>
      <c r="D8" s="470"/>
      <c r="E8" s="469"/>
      <c r="F8" s="469"/>
      <c r="J8" s="738" t="s">
        <v>923</v>
      </c>
    </row>
    <row r="9" spans="1:10" ht="15.75">
      <c r="A9" s="470" t="s">
        <v>663</v>
      </c>
      <c r="B9" s="739" t="s">
        <v>1142</v>
      </c>
      <c r="C9" s="474"/>
      <c r="D9" s="470"/>
      <c r="E9" s="469"/>
      <c r="F9" s="469"/>
      <c r="J9" s="738" t="s">
        <v>924</v>
      </c>
    </row>
    <row r="10" spans="1:10" ht="15.75">
      <c r="A10" s="470"/>
      <c r="B10" s="470"/>
      <c r="C10" s="470"/>
      <c r="D10" s="470"/>
      <c r="E10" s="469"/>
      <c r="F10" s="469"/>
      <c r="J10" s="738" t="s">
        <v>925</v>
      </c>
    </row>
    <row r="11" spans="1:10" ht="15.75">
      <c r="A11" s="470" t="s">
        <v>664</v>
      </c>
      <c r="B11" s="741" t="s">
        <v>1143</v>
      </c>
      <c r="C11" s="741"/>
      <c r="D11" s="741"/>
      <c r="E11" s="742"/>
      <c r="F11" s="469"/>
      <c r="J11" s="738" t="s">
        <v>926</v>
      </c>
    </row>
    <row r="12" spans="1:10" ht="15.75">
      <c r="A12" s="470"/>
      <c r="B12" s="470"/>
      <c r="C12" s="470"/>
      <c r="D12" s="470"/>
      <c r="E12" s="469"/>
      <c r="F12" s="469"/>
      <c r="J12" s="738" t="s">
        <v>927</v>
      </c>
    </row>
    <row r="13" spans="1:10" ht="15.75">
      <c r="A13" s="470"/>
      <c r="B13" s="470"/>
      <c r="C13" s="470"/>
      <c r="D13" s="470"/>
      <c r="E13" s="469"/>
      <c r="F13" s="469"/>
    </row>
    <row r="14" spans="1:10" ht="15.75">
      <c r="A14" s="470" t="s">
        <v>666</v>
      </c>
      <c r="B14" s="741" t="s">
        <v>1143</v>
      </c>
      <c r="C14" s="741"/>
      <c r="D14" s="741"/>
      <c r="E14" s="742"/>
      <c r="F14" s="469"/>
    </row>
    <row r="17" spans="1:7" ht="15.75">
      <c r="A17" s="856" t="s">
        <v>667</v>
      </c>
      <c r="B17" s="856"/>
      <c r="C17" s="470"/>
      <c r="D17" s="470"/>
      <c r="E17" s="470"/>
      <c r="F17" s="469"/>
    </row>
    <row r="18" spans="1:7" ht="15.75">
      <c r="A18" s="470"/>
      <c r="B18" s="470"/>
      <c r="C18" s="470"/>
      <c r="D18" s="470"/>
      <c r="E18" s="470"/>
      <c r="F18" s="469"/>
      <c r="G18" s="738" t="str">
        <f ca="1">IF(B7="","",INDIRECT(G19))</f>
        <v>August</v>
      </c>
    </row>
    <row r="19" spans="1:7" ht="15.75">
      <c r="A19" s="470" t="s">
        <v>772</v>
      </c>
      <c r="B19" s="470" t="s">
        <v>771</v>
      </c>
      <c r="C19" s="470"/>
      <c r="D19" s="470"/>
      <c r="E19" s="470"/>
      <c r="F19" s="469"/>
      <c r="G19" s="743" t="str">
        <f>IF(B7="","",CONCATENATE("J",G21))</f>
        <v>J8</v>
      </c>
    </row>
    <row r="20" spans="1:7" ht="15.75">
      <c r="A20" s="470"/>
      <c r="B20" s="470"/>
      <c r="C20" s="470"/>
      <c r="D20" s="470"/>
      <c r="E20" s="470"/>
      <c r="F20" s="469"/>
      <c r="G20" s="744">
        <f>B7-10</f>
        <v>41495</v>
      </c>
    </row>
    <row r="21" spans="1:7" ht="15.75">
      <c r="A21" s="470" t="s">
        <v>662</v>
      </c>
      <c r="B21" s="472" t="s">
        <v>668</v>
      </c>
      <c r="C21" s="470"/>
      <c r="D21" s="470"/>
      <c r="E21" s="470"/>
      <c r="G21" s="745">
        <f>IF(B7="","",MONTH(G20))</f>
        <v>8</v>
      </c>
    </row>
    <row r="22" spans="1:7" ht="15.75">
      <c r="A22" s="470"/>
      <c r="B22" s="470"/>
      <c r="C22" s="470"/>
      <c r="D22" s="470"/>
      <c r="E22" s="470"/>
      <c r="G22" s="746">
        <f>IF(B7="","",DAY(G20))</f>
        <v>9</v>
      </c>
    </row>
    <row r="23" spans="1:7" ht="15.75">
      <c r="A23" s="470" t="s">
        <v>663</v>
      </c>
      <c r="B23" s="470" t="s">
        <v>669</v>
      </c>
      <c r="C23" s="470"/>
      <c r="D23" s="470"/>
      <c r="E23" s="470"/>
      <c r="G23" s="747">
        <f>IF(B7="","",YEAR(G20))</f>
        <v>2013</v>
      </c>
    </row>
    <row r="24" spans="1:7" ht="15.75">
      <c r="A24" s="470"/>
      <c r="B24" s="470"/>
      <c r="C24" s="470"/>
      <c r="D24" s="470"/>
      <c r="E24" s="470"/>
    </row>
    <row r="25" spans="1:7" ht="15.75">
      <c r="A25" s="470" t="s">
        <v>664</v>
      </c>
      <c r="B25" s="470" t="s">
        <v>665</v>
      </c>
      <c r="C25" s="470"/>
      <c r="D25" s="470"/>
      <c r="E25" s="470"/>
    </row>
    <row r="26" spans="1:7" ht="15.75">
      <c r="A26" s="470"/>
      <c r="B26" s="470"/>
      <c r="C26" s="470"/>
      <c r="D26" s="470"/>
      <c r="E26" s="470"/>
    </row>
    <row r="27" spans="1:7" ht="15.75">
      <c r="A27" s="470" t="s">
        <v>666</v>
      </c>
      <c r="B27" s="470" t="s">
        <v>665</v>
      </c>
      <c r="C27" s="470"/>
      <c r="D27" s="470"/>
      <c r="E27" s="470"/>
    </row>
  </sheetData>
  <sheetProtection sheet="1"/>
  <mergeCells count="2">
    <mergeCell ref="A2:F2"/>
    <mergeCell ref="A17:B17"/>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dimension ref="A1:N40"/>
  <sheetViews>
    <sheetView topLeftCell="A22" workbookViewId="0">
      <selection activeCell="H10" sqref="H10"/>
    </sheetView>
  </sheetViews>
  <sheetFormatPr defaultColWidth="8.88671875" defaultRowHeight="15.75"/>
  <cols>
    <col min="1" max="16384" width="8.88671875" style="1"/>
  </cols>
  <sheetData>
    <row r="1" spans="1:14" ht="16.5" customHeight="1">
      <c r="A1" s="962" t="s">
        <v>238</v>
      </c>
      <c r="B1" s="962"/>
      <c r="C1" s="962"/>
      <c r="D1" s="962"/>
      <c r="E1" s="962"/>
      <c r="F1" s="962"/>
      <c r="G1" s="962"/>
    </row>
    <row r="2" spans="1:14" ht="16.5" customHeight="1">
      <c r="A2" s="962"/>
      <c r="B2" s="962"/>
      <c r="C2" s="962"/>
      <c r="D2" s="962"/>
      <c r="E2" s="962"/>
      <c r="F2" s="962"/>
      <c r="G2" s="962"/>
    </row>
    <row r="3" spans="1:14" ht="16.5" customHeight="1">
      <c r="A3" s="963"/>
      <c r="B3" s="963"/>
      <c r="C3" s="963"/>
      <c r="D3" s="963"/>
      <c r="E3" s="963"/>
      <c r="F3" s="963"/>
      <c r="G3" s="963"/>
    </row>
    <row r="4" spans="1:14" ht="16.5" customHeight="1">
      <c r="A4" s="964" t="str">
        <f>CONCATENATE("AN ORDINANCE ATTESTING TO AN INCREASE IN TAX REVENUES FOR BUDGET YEAR ",inputPrYr!C5," FOR THE ",(inputPrYr!$D$2))</f>
        <v>AN ORDINANCE ATTESTING TO AN INCREASE IN TAX REVENUES FOR BUDGET YEAR 2014 FOR THE City of Hiawatha</v>
      </c>
      <c r="B4" s="964"/>
      <c r="C4" s="964"/>
      <c r="D4" s="964"/>
      <c r="E4" s="964"/>
      <c r="F4" s="964"/>
      <c r="G4" s="964"/>
    </row>
    <row r="5" spans="1:14" ht="16.5" customHeight="1">
      <c r="A5" s="964"/>
      <c r="B5" s="964"/>
      <c r="C5" s="964"/>
      <c r="D5" s="964"/>
      <c r="E5" s="964"/>
      <c r="F5" s="964"/>
      <c r="G5" s="964"/>
    </row>
    <row r="6" spans="1:14" ht="16.5" customHeight="1">
      <c r="A6" s="962"/>
      <c r="B6" s="962"/>
      <c r="C6" s="962"/>
      <c r="D6" s="962"/>
      <c r="E6" s="962"/>
      <c r="F6" s="962"/>
      <c r="G6" s="962"/>
    </row>
    <row r="7" spans="1:14" ht="16.5" customHeight="1">
      <c r="A7" s="964" t="str">
        <f>CONCATENATE("WHEREAS, the ",(inputPrYr!$D$2)," must continue to provide services to protect the health, safety, and welfare of the citizens of this community; and")</f>
        <v>WHEREAS, the City of Hiawatha must continue to provide services to protect the health, safety, and welfare of the citizens of this community; and</v>
      </c>
      <c r="B7" s="964"/>
      <c r="C7" s="964"/>
      <c r="D7" s="964"/>
      <c r="E7" s="964"/>
      <c r="F7" s="964"/>
      <c r="G7" s="964"/>
      <c r="H7" s="29"/>
      <c r="I7" s="29"/>
      <c r="J7" s="29"/>
      <c r="K7" s="29"/>
      <c r="L7" s="29"/>
      <c r="M7" s="29"/>
      <c r="N7" s="29"/>
    </row>
    <row r="8" spans="1:14" ht="16.5" customHeight="1">
      <c r="A8" s="964"/>
      <c r="B8" s="964"/>
      <c r="C8" s="964"/>
      <c r="D8" s="964"/>
      <c r="E8" s="964"/>
      <c r="F8" s="964"/>
      <c r="G8" s="964"/>
      <c r="H8" s="29"/>
      <c r="I8" s="29"/>
      <c r="J8" s="29"/>
      <c r="K8" s="29"/>
      <c r="L8" s="29"/>
      <c r="M8" s="29"/>
      <c r="N8" s="29"/>
    </row>
    <row r="9" spans="1:14" ht="16.5" customHeight="1">
      <c r="A9" s="30"/>
      <c r="B9" s="30"/>
      <c r="C9" s="30"/>
      <c r="D9" s="30"/>
      <c r="E9" s="30"/>
      <c r="F9" s="30"/>
      <c r="G9" s="30"/>
    </row>
    <row r="10" spans="1:14" ht="16.5" customHeight="1">
      <c r="A10" s="964" t="s">
        <v>239</v>
      </c>
      <c r="B10" s="964"/>
      <c r="C10" s="964"/>
      <c r="D10" s="964"/>
      <c r="E10" s="964"/>
      <c r="F10" s="964"/>
      <c r="G10" s="964"/>
    </row>
    <row r="11" spans="1:14" ht="16.5" customHeight="1">
      <c r="A11" s="964"/>
      <c r="B11" s="964"/>
      <c r="C11" s="964"/>
      <c r="D11" s="964"/>
      <c r="E11" s="964"/>
      <c r="F11" s="964"/>
      <c r="G11" s="964"/>
    </row>
    <row r="12" spans="1:14" ht="16.5" customHeight="1">
      <c r="A12" s="30"/>
      <c r="B12" s="30"/>
      <c r="C12" s="30"/>
      <c r="D12" s="30"/>
      <c r="E12" s="30"/>
      <c r="F12" s="30"/>
      <c r="G12" s="30"/>
    </row>
    <row r="13" spans="1:14" ht="16.5" customHeight="1">
      <c r="A13" s="964" t="str">
        <f>CONCATENATE("NOW THEREFORE, be it ordained by the Governing Body of the ",(inputPrYr!$D$2),":")</f>
        <v>NOW THEREFORE, be it ordained by the Governing Body of the City of Hiawatha:</v>
      </c>
      <c r="B13" s="964"/>
      <c r="C13" s="964"/>
      <c r="D13" s="964"/>
      <c r="E13" s="964"/>
      <c r="F13" s="964"/>
      <c r="G13" s="964"/>
      <c r="H13" s="29"/>
      <c r="I13" s="29"/>
      <c r="J13" s="29"/>
      <c r="K13" s="29"/>
      <c r="L13" s="29"/>
      <c r="M13" s="29"/>
      <c r="N13" s="29"/>
    </row>
    <row r="14" spans="1:14" ht="16.5" customHeight="1">
      <c r="A14" s="964"/>
      <c r="B14" s="964"/>
      <c r="C14" s="964"/>
      <c r="D14" s="964"/>
      <c r="E14" s="964"/>
      <c r="F14" s="964"/>
      <c r="G14" s="964"/>
      <c r="H14" s="29"/>
      <c r="I14" s="29"/>
      <c r="J14" s="29"/>
      <c r="K14" s="29"/>
      <c r="L14" s="29"/>
      <c r="M14" s="29"/>
      <c r="N14" s="29"/>
    </row>
    <row r="15" spans="1:14" ht="16.5" customHeight="1">
      <c r="A15" s="96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Hiawatha  has scheduled a public hearing and has prepared the proposed budget necessary to fund city services from January 1, 2014 until December 31, 2014.</v>
      </c>
      <c r="B15" s="964"/>
      <c r="C15" s="964"/>
      <c r="D15" s="964"/>
      <c r="E15" s="964"/>
      <c r="F15" s="964"/>
      <c r="G15" s="964"/>
      <c r="H15" s="29"/>
      <c r="I15" s="29"/>
      <c r="J15" s="29"/>
      <c r="K15" s="29"/>
      <c r="L15" s="29"/>
      <c r="M15" s="29"/>
      <c r="N15" s="29"/>
    </row>
    <row r="16" spans="1:14" ht="16.5" customHeight="1">
      <c r="A16" s="964"/>
      <c r="B16" s="964"/>
      <c r="C16" s="964"/>
      <c r="D16" s="964"/>
      <c r="E16" s="964"/>
      <c r="F16" s="964"/>
      <c r="G16" s="964"/>
      <c r="H16" s="29"/>
      <c r="I16" s="29"/>
      <c r="J16" s="29"/>
      <c r="K16" s="29"/>
      <c r="L16" s="29"/>
      <c r="M16" s="29"/>
      <c r="N16" s="29"/>
    </row>
    <row r="17" spans="1:14" ht="16.5" customHeight="1">
      <c r="A17" s="964"/>
      <c r="B17" s="964"/>
      <c r="C17" s="964"/>
      <c r="D17" s="964"/>
      <c r="E17" s="964"/>
      <c r="F17" s="964"/>
      <c r="G17" s="964"/>
      <c r="H17" s="29"/>
      <c r="I17" s="29"/>
      <c r="J17" s="29"/>
      <c r="K17" s="29"/>
      <c r="L17" s="29"/>
      <c r="M17" s="29"/>
      <c r="N17" s="29"/>
    </row>
    <row r="18" spans="1:14" ht="16.5" customHeight="1">
      <c r="A18" s="29"/>
      <c r="B18" s="29"/>
      <c r="C18" s="29"/>
      <c r="D18" s="29"/>
      <c r="E18" s="29"/>
      <c r="F18" s="29"/>
      <c r="G18" s="29"/>
    </row>
    <row r="19" spans="1:14" ht="16.5" customHeight="1">
      <c r="A19" s="966" t="s">
        <v>299</v>
      </c>
      <c r="B19" s="966"/>
      <c r="C19" s="966"/>
      <c r="D19" s="966"/>
      <c r="E19" s="966"/>
      <c r="F19" s="966"/>
      <c r="G19" s="966"/>
    </row>
    <row r="20" spans="1:14" ht="16.5" customHeight="1">
      <c r="A20" s="966" t="s">
        <v>300</v>
      </c>
      <c r="B20" s="966"/>
      <c r="C20" s="966"/>
      <c r="D20" s="966"/>
      <c r="E20" s="966"/>
      <c r="F20" s="966"/>
      <c r="G20" s="966"/>
    </row>
    <row r="21" spans="1:14" ht="16.5" customHeight="1">
      <c r="A21" s="966" t="str">
        <f>CONCATENATE("necessary to budget property tax revenues in an amount exceeding the levy in the ",inputPrYr!C5-1,"")</f>
        <v>necessary to budget property tax revenues in an amount exceeding the levy in the 2013</v>
      </c>
      <c r="B21" s="966"/>
      <c r="C21" s="966"/>
      <c r="D21" s="966"/>
      <c r="E21" s="966"/>
      <c r="F21" s="966"/>
      <c r="G21" s="966"/>
    </row>
    <row r="22" spans="1:14" ht="16.5" customHeight="1">
      <c r="A22" s="31" t="s">
        <v>301</v>
      </c>
      <c r="B22" s="31"/>
      <c r="C22" s="31"/>
      <c r="D22" s="31"/>
      <c r="E22" s="31"/>
      <c r="F22" s="31"/>
      <c r="G22" s="31"/>
    </row>
    <row r="23" spans="1:14" ht="16.5" customHeight="1">
      <c r="A23" s="29"/>
      <c r="B23" s="29"/>
      <c r="C23" s="29"/>
      <c r="D23" s="29"/>
      <c r="E23" s="29"/>
      <c r="F23" s="29"/>
      <c r="G23" s="29"/>
    </row>
    <row r="24" spans="1:14" ht="16.5" customHeight="1">
      <c r="A24" s="964" t="s">
        <v>240</v>
      </c>
      <c r="B24" s="964"/>
      <c r="C24" s="964"/>
      <c r="D24" s="964"/>
      <c r="E24" s="964"/>
      <c r="F24" s="964"/>
      <c r="G24" s="964"/>
    </row>
    <row r="25" spans="1:14" ht="16.5" customHeight="1">
      <c r="A25" s="964"/>
      <c r="B25" s="964"/>
      <c r="C25" s="964"/>
      <c r="D25" s="964"/>
      <c r="E25" s="964"/>
      <c r="F25" s="964"/>
      <c r="G25" s="964"/>
    </row>
    <row r="26" spans="1:14" ht="16.5" customHeight="1">
      <c r="A26" s="29"/>
      <c r="B26" s="29"/>
      <c r="C26" s="29"/>
      <c r="D26" s="29"/>
      <c r="E26" s="29"/>
      <c r="F26" s="29"/>
      <c r="G26" s="29"/>
    </row>
    <row r="27" spans="1:14" ht="16.5" customHeight="1">
      <c r="A27" s="964" t="str">
        <f>CONCATENATE("Passed and approved by the Governing Body on this ______ day of __________, ",inputPrYr!C5-1,".")</f>
        <v>Passed and approved by the Governing Body on this ______ day of __________, 2013.</v>
      </c>
      <c r="B27" s="964"/>
      <c r="C27" s="964"/>
      <c r="D27" s="964"/>
      <c r="E27" s="964"/>
      <c r="F27" s="964"/>
      <c r="G27" s="964"/>
    </row>
    <row r="28" spans="1:14" ht="16.5" customHeight="1">
      <c r="A28" s="964"/>
      <c r="B28" s="964"/>
      <c r="C28" s="964"/>
      <c r="D28" s="964"/>
      <c r="E28" s="964"/>
      <c r="F28" s="964"/>
      <c r="G28" s="964"/>
    </row>
    <row r="29" spans="1:14" ht="16.5" customHeight="1"/>
    <row r="30" spans="1:14" ht="16.5" customHeight="1">
      <c r="A30" s="965" t="s">
        <v>241</v>
      </c>
      <c r="B30" s="965"/>
      <c r="C30" s="965"/>
      <c r="D30" s="965"/>
      <c r="E30" s="965"/>
      <c r="F30" s="965"/>
      <c r="G30" s="965"/>
    </row>
    <row r="31" spans="1:14" ht="16.5" customHeight="1">
      <c r="A31" s="965" t="s">
        <v>246</v>
      </c>
      <c r="B31" s="965"/>
      <c r="C31" s="965"/>
      <c r="D31" s="965"/>
      <c r="E31" s="965"/>
      <c r="F31" s="965"/>
      <c r="G31" s="965"/>
    </row>
    <row r="32" spans="1:14" ht="16.5" customHeight="1">
      <c r="A32" s="1" t="s">
        <v>242</v>
      </c>
    </row>
    <row r="33" spans="1:2" ht="16.5" customHeight="1">
      <c r="B33" s="1" t="s">
        <v>243</v>
      </c>
    </row>
    <row r="34" spans="1:2" ht="16.5" customHeight="1"/>
    <row r="35" spans="1:2" ht="16.5" customHeight="1"/>
    <row r="36" spans="1:2" ht="16.5" customHeight="1">
      <c r="A36" s="1" t="s">
        <v>244</v>
      </c>
    </row>
    <row r="37" spans="1:2" ht="16.5" customHeight="1"/>
    <row r="38" spans="1:2" ht="16.5" customHeight="1"/>
    <row r="39" spans="1:2" ht="16.5" customHeight="1"/>
    <row r="40" spans="1:2" ht="16.5" customHeight="1">
      <c r="A40" s="1" t="s">
        <v>245</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workbookViewId="0">
      <selection activeCell="A26" sqref="A26"/>
    </sheetView>
  </sheetViews>
  <sheetFormatPr defaultRowHeight="15"/>
  <cols>
    <col min="1" max="1" width="71.33203125" customWidth="1"/>
  </cols>
  <sheetData>
    <row r="3" spans="1:12">
      <c r="A3" s="460" t="s">
        <v>452</v>
      </c>
      <c r="B3" s="460"/>
      <c r="C3" s="460"/>
      <c r="D3" s="460"/>
      <c r="E3" s="460"/>
      <c r="F3" s="460"/>
      <c r="G3" s="460"/>
      <c r="H3" s="460"/>
      <c r="I3" s="460"/>
      <c r="J3" s="460"/>
      <c r="K3" s="460"/>
      <c r="L3" s="460"/>
    </row>
    <row r="5" spans="1:12">
      <c r="A5" s="461" t="s">
        <v>453</v>
      </c>
    </row>
    <row r="6" spans="1:12">
      <c r="A6" s="461" t="str">
        <f>CONCATENATE("",inputPrYr!C5-2," 'total expenditures' exceed your ",inputPrYr!C5-2," 'budget authority.'")</f>
        <v>2012 'total expenditures' exceed your 2012 'budget authority.'</v>
      </c>
    </row>
    <row r="7" spans="1:12">
      <c r="A7" s="461"/>
    </row>
    <row r="8" spans="1:12">
      <c r="A8" s="461" t="s">
        <v>454</v>
      </c>
    </row>
    <row r="9" spans="1:12">
      <c r="A9" s="461" t="s">
        <v>455</v>
      </c>
    </row>
    <row r="10" spans="1:12">
      <c r="A10" s="461" t="s">
        <v>456</v>
      </c>
    </row>
    <row r="11" spans="1:12">
      <c r="A11" s="461"/>
    </row>
    <row r="12" spans="1:12">
      <c r="A12" s="461"/>
    </row>
    <row r="13" spans="1:12">
      <c r="A13" s="462" t="s">
        <v>457</v>
      </c>
    </row>
    <row r="15" spans="1:12">
      <c r="A15" s="461" t="s">
        <v>640</v>
      </c>
    </row>
    <row r="16" spans="1:12">
      <c r="A16" s="461" t="str">
        <f>CONCATENATE("(i.e. an audit has not been completed, or the ",inputPrYr!C5," adopted")</f>
        <v>(i.e. an audit has not been completed, or the 2014 adopted</v>
      </c>
    </row>
    <row r="17" spans="1:1">
      <c r="A17" s="461" t="s">
        <v>458</v>
      </c>
    </row>
    <row r="18" spans="1:1">
      <c r="A18" s="461" t="s">
        <v>459</v>
      </c>
    </row>
    <row r="19" spans="1:1">
      <c r="A19" s="461" t="s">
        <v>460</v>
      </c>
    </row>
    <row r="21" spans="1:1">
      <c r="A21" s="462" t="s">
        <v>461</v>
      </c>
    </row>
    <row r="22" spans="1:1">
      <c r="A22" s="462"/>
    </row>
    <row r="23" spans="1:1">
      <c r="A23" s="461" t="s">
        <v>462</v>
      </c>
    </row>
    <row r="24" spans="1:1">
      <c r="A24" s="461" t="s">
        <v>463</v>
      </c>
    </row>
    <row r="25" spans="1:1">
      <c r="A25" s="461" t="str">
        <f>CONCATENATE("particular fund.  If your ",inputPrYr!C5-2," budget was amended, did you")</f>
        <v>particular fund.  If your 2012 budget was amended, did you</v>
      </c>
    </row>
    <row r="26" spans="1:1">
      <c r="A26" s="461" t="s">
        <v>464</v>
      </c>
    </row>
    <row r="27" spans="1:1">
      <c r="A27" s="461"/>
    </row>
    <row r="28" spans="1:1">
      <c r="A28" s="461" t="str">
        <f>CONCATENATE("Next, look to see if any of your ",inputPrYr!C5-2," expenditures can be")</f>
        <v>Next, look to see if any of your 2012 expenditures can be</v>
      </c>
    </row>
    <row r="29" spans="1:1">
      <c r="A29" s="461" t="s">
        <v>465</v>
      </c>
    </row>
    <row r="30" spans="1:1">
      <c r="A30" s="461" t="s">
        <v>466</v>
      </c>
    </row>
    <row r="31" spans="1:1">
      <c r="A31" s="461" t="s">
        <v>467</v>
      </c>
    </row>
    <row r="32" spans="1:1">
      <c r="A32" s="461"/>
    </row>
    <row r="33" spans="1:1">
      <c r="A33" s="461" t="str">
        <f>CONCATENATE("Additionally, do your ",inputPrYr!C5-2," receipts contain a reimbursement")</f>
        <v>Additionally, do your 2012 receipts contain a reimbursement</v>
      </c>
    </row>
    <row r="34" spans="1:1">
      <c r="A34" s="461" t="s">
        <v>468</v>
      </c>
    </row>
    <row r="35" spans="1:1">
      <c r="A35" s="461" t="s">
        <v>469</v>
      </c>
    </row>
    <row r="36" spans="1:1">
      <c r="A36" s="461"/>
    </row>
    <row r="37" spans="1:1">
      <c r="A37" s="461" t="s">
        <v>470</v>
      </c>
    </row>
    <row r="38" spans="1:1">
      <c r="A38" s="461" t="s">
        <v>471</v>
      </c>
    </row>
    <row r="39" spans="1:1">
      <c r="A39" s="461" t="s">
        <v>472</v>
      </c>
    </row>
    <row r="40" spans="1:1">
      <c r="A40" s="461" t="s">
        <v>473</v>
      </c>
    </row>
    <row r="41" spans="1:1">
      <c r="A41" s="461" t="s">
        <v>474</v>
      </c>
    </row>
    <row r="42" spans="1:1">
      <c r="A42" s="461" t="s">
        <v>475</v>
      </c>
    </row>
    <row r="43" spans="1:1">
      <c r="A43" s="461" t="s">
        <v>476</v>
      </c>
    </row>
    <row r="44" spans="1:1">
      <c r="A44" s="461" t="s">
        <v>477</v>
      </c>
    </row>
    <row r="45" spans="1:1">
      <c r="A45" s="461"/>
    </row>
    <row r="46" spans="1:1">
      <c r="A46" s="461" t="s">
        <v>478</v>
      </c>
    </row>
    <row r="47" spans="1:1">
      <c r="A47" s="461" t="s">
        <v>479</v>
      </c>
    </row>
    <row r="48" spans="1:1">
      <c r="A48" s="461" t="s">
        <v>480</v>
      </c>
    </row>
    <row r="49" spans="1:1">
      <c r="A49" s="461"/>
    </row>
    <row r="50" spans="1:1">
      <c r="A50" s="461" t="s">
        <v>481</v>
      </c>
    </row>
    <row r="51" spans="1:1">
      <c r="A51" s="461" t="s">
        <v>482</v>
      </c>
    </row>
    <row r="52" spans="1:1">
      <c r="A52" s="461" t="s">
        <v>641</v>
      </c>
    </row>
    <row r="53" spans="1:1">
      <c r="A53" s="461"/>
    </row>
    <row r="54" spans="1:1">
      <c r="A54" s="462" t="s">
        <v>642</v>
      </c>
    </row>
    <row r="55" spans="1:1">
      <c r="A55" s="461"/>
    </row>
    <row r="56" spans="1:1">
      <c r="A56" s="461" t="s">
        <v>643</v>
      </c>
    </row>
    <row r="57" spans="1:1">
      <c r="A57" s="461" t="s">
        <v>644</v>
      </c>
    </row>
    <row r="58" spans="1:1">
      <c r="A58" s="461" t="s">
        <v>645</v>
      </c>
    </row>
    <row r="59" spans="1:1">
      <c r="A59" s="461" t="s">
        <v>646</v>
      </c>
    </row>
    <row r="60" spans="1:1">
      <c r="A60" s="461" t="s">
        <v>647</v>
      </c>
    </row>
    <row r="61" spans="1:1">
      <c r="A61" s="461" t="s">
        <v>648</v>
      </c>
    </row>
    <row r="62" spans="1:1">
      <c r="A62" s="461" t="s">
        <v>649</v>
      </c>
    </row>
    <row r="63" spans="1:1">
      <c r="A63" s="461" t="s">
        <v>650</v>
      </c>
    </row>
    <row r="64" spans="1:1">
      <c r="A64" s="461" t="s">
        <v>651</v>
      </c>
    </row>
    <row r="65" spans="1:1">
      <c r="A65" s="461" t="s">
        <v>652</v>
      </c>
    </row>
    <row r="66" spans="1:1">
      <c r="A66" s="461" t="s">
        <v>653</v>
      </c>
    </row>
    <row r="67" spans="1:1">
      <c r="A67" s="461" t="s">
        <v>654</v>
      </c>
    </row>
    <row r="68" spans="1:1">
      <c r="A68" s="461" t="s">
        <v>655</v>
      </c>
    </row>
    <row r="69" spans="1:1">
      <c r="A69" s="461"/>
    </row>
    <row r="70" spans="1:1">
      <c r="A70" s="461" t="s">
        <v>656</v>
      </c>
    </row>
    <row r="71" spans="1:1">
      <c r="A71" s="461" t="s">
        <v>657</v>
      </c>
    </row>
    <row r="72" spans="1:1">
      <c r="A72" s="461" t="s">
        <v>658</v>
      </c>
    </row>
    <row r="73" spans="1:1">
      <c r="A73" s="461"/>
    </row>
    <row r="74" spans="1:1">
      <c r="A74" s="462" t="str">
        <f>CONCATENATE("What if the ",inputPrYr!C5-2," financial records have been closed?")</f>
        <v>What if the 2012 financial records have been closed?</v>
      </c>
    </row>
    <row r="76" spans="1:1">
      <c r="A76" s="461" t="s">
        <v>484</v>
      </c>
    </row>
    <row r="77" spans="1:1">
      <c r="A77" s="461" t="str">
        <f>CONCATENATE("(i.e. an audit for ",inputPrYr!C5-2," has been completed, or the ",inputPrYr!C5)</f>
        <v>(i.e. an audit for 2012 has been completed, or the 2014</v>
      </c>
    </row>
    <row r="78" spans="1:1">
      <c r="A78" s="461" t="s">
        <v>485</v>
      </c>
    </row>
    <row r="79" spans="1:1">
      <c r="A79" s="461" t="s">
        <v>486</v>
      </c>
    </row>
    <row r="80" spans="1:1">
      <c r="A80" s="461"/>
    </row>
    <row r="81" spans="1:1">
      <c r="A81" s="461" t="s">
        <v>487</v>
      </c>
    </row>
    <row r="82" spans="1:1">
      <c r="A82" s="461" t="s">
        <v>488</v>
      </c>
    </row>
    <row r="83" spans="1:1">
      <c r="A83" s="461" t="s">
        <v>489</v>
      </c>
    </row>
    <row r="84" spans="1:1">
      <c r="A84" s="461"/>
    </row>
    <row r="85" spans="1:1">
      <c r="A85" s="461" t="s">
        <v>490</v>
      </c>
    </row>
  </sheetData>
  <sheetProtection sheet="1"/>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workbookViewId="0">
      <selection activeCell="B39" sqref="B39"/>
    </sheetView>
  </sheetViews>
  <sheetFormatPr defaultRowHeight="15"/>
  <cols>
    <col min="1" max="1" width="71.33203125" customWidth="1"/>
  </cols>
  <sheetData>
    <row r="3" spans="1:10">
      <c r="A3" s="460" t="s">
        <v>491</v>
      </c>
      <c r="B3" s="460"/>
      <c r="C3" s="460"/>
      <c r="D3" s="460"/>
      <c r="E3" s="460"/>
      <c r="F3" s="460"/>
      <c r="G3" s="460"/>
      <c r="H3" s="463"/>
      <c r="I3" s="463"/>
      <c r="J3" s="463"/>
    </row>
    <row r="5" spans="1:10">
      <c r="A5" s="461" t="s">
        <v>492</v>
      </c>
    </row>
    <row r="6" spans="1:10">
      <c r="A6" t="str">
        <f>CONCATENATE(inputPrYr!C5-2," expenditures show that you finished the year with a ")</f>
        <v xml:space="preserve">2012 expenditures show that you finished the year with a </v>
      </c>
    </row>
    <row r="7" spans="1:10">
      <c r="A7" t="s">
        <v>493</v>
      </c>
    </row>
    <row r="9" spans="1:10">
      <c r="A9" t="s">
        <v>494</v>
      </c>
    </row>
    <row r="10" spans="1:10">
      <c r="A10" t="s">
        <v>495</v>
      </c>
    </row>
    <row r="11" spans="1:10">
      <c r="A11" t="s">
        <v>496</v>
      </c>
    </row>
    <row r="13" spans="1:10">
      <c r="A13" s="462" t="s">
        <v>497</v>
      </c>
    </row>
    <row r="14" spans="1:10">
      <c r="A14" s="462"/>
    </row>
    <row r="15" spans="1:10">
      <c r="A15" s="461" t="s">
        <v>498</v>
      </c>
    </row>
    <row r="16" spans="1:10">
      <c r="A16" s="461" t="s">
        <v>499</v>
      </c>
    </row>
    <row r="17" spans="1:1">
      <c r="A17" s="461" t="s">
        <v>500</v>
      </c>
    </row>
    <row r="18" spans="1:1">
      <c r="A18" s="461"/>
    </row>
    <row r="19" spans="1:1">
      <c r="A19" s="462" t="s">
        <v>501</v>
      </c>
    </row>
    <row r="20" spans="1:1">
      <c r="A20" s="462"/>
    </row>
    <row r="21" spans="1:1">
      <c r="A21" s="461" t="s">
        <v>502</v>
      </c>
    </row>
    <row r="22" spans="1:1">
      <c r="A22" s="461" t="s">
        <v>503</v>
      </c>
    </row>
    <row r="23" spans="1:1">
      <c r="A23" s="461" t="s">
        <v>504</v>
      </c>
    </row>
    <row r="24" spans="1:1">
      <c r="A24" s="461"/>
    </row>
    <row r="25" spans="1:1">
      <c r="A25" s="462" t="s">
        <v>505</v>
      </c>
    </row>
    <row r="26" spans="1:1">
      <c r="A26" s="462"/>
    </row>
    <row r="27" spans="1:1">
      <c r="A27" s="461" t="s">
        <v>506</v>
      </c>
    </row>
    <row r="28" spans="1:1">
      <c r="A28" s="461" t="s">
        <v>507</v>
      </c>
    </row>
    <row r="29" spans="1:1">
      <c r="A29" s="461" t="s">
        <v>508</v>
      </c>
    </row>
    <row r="30" spans="1:1">
      <c r="A30" s="461"/>
    </row>
    <row r="31" spans="1:1">
      <c r="A31" s="462" t="s">
        <v>509</v>
      </c>
    </row>
    <row r="32" spans="1:1">
      <c r="A32" s="462"/>
    </row>
    <row r="33" spans="1:8">
      <c r="A33" s="461" t="str">
        <f>CONCATENATE("If your financial records for ",inputPrYr!C5-2," are not closed")</f>
        <v>If your financial records for 2012 are not closed</v>
      </c>
      <c r="B33" s="461"/>
      <c r="C33" s="461"/>
      <c r="D33" s="461"/>
      <c r="E33" s="461"/>
      <c r="F33" s="461"/>
      <c r="G33" s="461"/>
      <c r="H33" s="461"/>
    </row>
    <row r="34" spans="1:8">
      <c r="A34" s="461" t="str">
        <f>CONCATENATE("(i.e. an audit has not been completed, or the ",inputPrYr!C5," adopted ")</f>
        <v xml:space="preserve">(i.e. an audit has not been completed, or the 2014 adopted </v>
      </c>
      <c r="B34" s="461"/>
      <c r="C34" s="461"/>
      <c r="D34" s="461"/>
      <c r="E34" s="461"/>
      <c r="F34" s="461"/>
      <c r="G34" s="461"/>
      <c r="H34" s="461"/>
    </row>
    <row r="35" spans="1:8">
      <c r="A35" s="461" t="s">
        <v>510</v>
      </c>
      <c r="B35" s="461"/>
      <c r="C35" s="461"/>
      <c r="D35" s="461"/>
      <c r="E35" s="461"/>
      <c r="F35" s="461"/>
      <c r="G35" s="461"/>
      <c r="H35" s="461"/>
    </row>
    <row r="36" spans="1:8">
      <c r="A36" s="461" t="s">
        <v>511</v>
      </c>
      <c r="B36" s="461"/>
      <c r="C36" s="461"/>
      <c r="D36" s="461"/>
      <c r="E36" s="461"/>
      <c r="F36" s="461"/>
      <c r="G36" s="461"/>
      <c r="H36" s="461"/>
    </row>
    <row r="37" spans="1:8">
      <c r="A37" s="461" t="s">
        <v>512</v>
      </c>
      <c r="B37" s="461"/>
      <c r="C37" s="461"/>
      <c r="D37" s="461"/>
      <c r="E37" s="461"/>
      <c r="F37" s="461"/>
      <c r="G37" s="461"/>
      <c r="H37" s="461"/>
    </row>
    <row r="38" spans="1:8">
      <c r="A38" s="461" t="s">
        <v>513</v>
      </c>
      <c r="B38" s="461"/>
      <c r="C38" s="461"/>
      <c r="D38" s="461"/>
      <c r="E38" s="461"/>
      <c r="F38" s="461"/>
      <c r="G38" s="461"/>
      <c r="H38" s="461"/>
    </row>
    <row r="39" spans="1:8">
      <c r="A39" s="461" t="s">
        <v>514</v>
      </c>
      <c r="B39" s="461"/>
      <c r="C39" s="461"/>
      <c r="D39" s="461"/>
      <c r="E39" s="461"/>
      <c r="F39" s="461"/>
      <c r="G39" s="461"/>
      <c r="H39" s="461"/>
    </row>
    <row r="40" spans="1:8">
      <c r="A40" s="461"/>
      <c r="B40" s="461"/>
      <c r="C40" s="461"/>
      <c r="D40" s="461"/>
      <c r="E40" s="461"/>
      <c r="F40" s="461"/>
      <c r="G40" s="461"/>
      <c r="H40" s="461"/>
    </row>
    <row r="41" spans="1:8">
      <c r="A41" s="461" t="s">
        <v>515</v>
      </c>
      <c r="B41" s="461"/>
      <c r="C41" s="461"/>
      <c r="D41" s="461"/>
      <c r="E41" s="461"/>
      <c r="F41" s="461"/>
      <c r="G41" s="461"/>
      <c r="H41" s="461"/>
    </row>
    <row r="42" spans="1:8">
      <c r="A42" s="461" t="s">
        <v>516</v>
      </c>
      <c r="B42" s="461"/>
      <c r="C42" s="461"/>
      <c r="D42" s="461"/>
      <c r="E42" s="461"/>
      <c r="F42" s="461"/>
      <c r="G42" s="461"/>
      <c r="H42" s="461"/>
    </row>
    <row r="43" spans="1:8">
      <c r="A43" s="461" t="s">
        <v>517</v>
      </c>
      <c r="B43" s="461"/>
      <c r="C43" s="461"/>
      <c r="D43" s="461"/>
      <c r="E43" s="461"/>
      <c r="F43" s="461"/>
      <c r="G43" s="461"/>
      <c r="H43" s="461"/>
    </row>
    <row r="44" spans="1:8">
      <c r="A44" s="461" t="s">
        <v>518</v>
      </c>
      <c r="B44" s="461"/>
      <c r="C44" s="461"/>
      <c r="D44" s="461"/>
      <c r="E44" s="461"/>
      <c r="F44" s="461"/>
      <c r="G44" s="461"/>
      <c r="H44" s="461"/>
    </row>
    <row r="45" spans="1:8">
      <c r="A45" s="461"/>
      <c r="B45" s="461"/>
      <c r="C45" s="461"/>
      <c r="D45" s="461"/>
      <c r="E45" s="461"/>
      <c r="F45" s="461"/>
      <c r="G45" s="461"/>
      <c r="H45" s="461"/>
    </row>
    <row r="46" spans="1:8">
      <c r="A46" s="461" t="s">
        <v>519</v>
      </c>
      <c r="B46" s="461"/>
      <c r="C46" s="461"/>
      <c r="D46" s="461"/>
      <c r="E46" s="461"/>
      <c r="F46" s="461"/>
      <c r="G46" s="461"/>
      <c r="H46" s="461"/>
    </row>
    <row r="47" spans="1:8">
      <c r="A47" s="461" t="s">
        <v>520</v>
      </c>
      <c r="B47" s="461"/>
      <c r="C47" s="461"/>
      <c r="D47" s="461"/>
      <c r="E47" s="461"/>
      <c r="F47" s="461"/>
      <c r="G47" s="461"/>
      <c r="H47" s="461"/>
    </row>
    <row r="48" spans="1:8">
      <c r="A48" s="461" t="s">
        <v>521</v>
      </c>
      <c r="B48" s="461"/>
      <c r="C48" s="461"/>
      <c r="D48" s="461"/>
      <c r="E48" s="461"/>
      <c r="F48" s="461"/>
      <c r="G48" s="461"/>
      <c r="H48" s="461"/>
    </row>
    <row r="49" spans="1:8">
      <c r="A49" s="461" t="s">
        <v>522</v>
      </c>
      <c r="B49" s="461"/>
      <c r="C49" s="461"/>
      <c r="D49" s="461"/>
      <c r="E49" s="461"/>
      <c r="F49" s="461"/>
      <c r="G49" s="461"/>
      <c r="H49" s="461"/>
    </row>
    <row r="50" spans="1:8">
      <c r="A50" s="461" t="s">
        <v>523</v>
      </c>
      <c r="B50" s="461"/>
      <c r="C50" s="461"/>
      <c r="D50" s="461"/>
      <c r="E50" s="461"/>
      <c r="F50" s="461"/>
      <c r="G50" s="461"/>
      <c r="H50" s="461"/>
    </row>
    <row r="51" spans="1:8">
      <c r="A51" s="461"/>
      <c r="B51" s="461"/>
      <c r="C51" s="461"/>
      <c r="D51" s="461"/>
      <c r="E51" s="461"/>
      <c r="F51" s="461"/>
      <c r="G51" s="461"/>
      <c r="H51" s="461"/>
    </row>
    <row r="52" spans="1:8">
      <c r="A52" s="462" t="s">
        <v>524</v>
      </c>
      <c r="B52" s="462"/>
      <c r="C52" s="462"/>
      <c r="D52" s="462"/>
      <c r="E52" s="462"/>
      <c r="F52" s="462"/>
      <c r="G52" s="462"/>
      <c r="H52" s="461"/>
    </row>
    <row r="53" spans="1:8">
      <c r="A53" s="462" t="s">
        <v>525</v>
      </c>
      <c r="B53" s="462"/>
      <c r="C53" s="462"/>
      <c r="D53" s="462"/>
      <c r="E53" s="462"/>
      <c r="F53" s="462"/>
      <c r="G53" s="462"/>
      <c r="H53" s="461"/>
    </row>
    <row r="54" spans="1:8">
      <c r="A54" s="461"/>
      <c r="B54" s="461"/>
      <c r="C54" s="461"/>
      <c r="D54" s="461"/>
      <c r="E54" s="461"/>
      <c r="F54" s="461"/>
      <c r="G54" s="461"/>
      <c r="H54" s="461"/>
    </row>
    <row r="55" spans="1:8">
      <c r="A55" s="461" t="s">
        <v>526</v>
      </c>
      <c r="B55" s="461"/>
      <c r="C55" s="461"/>
      <c r="D55" s="461"/>
      <c r="E55" s="461"/>
      <c r="F55" s="461"/>
      <c r="G55" s="461"/>
      <c r="H55" s="461"/>
    </row>
    <row r="56" spans="1:8">
      <c r="A56" s="461" t="s">
        <v>527</v>
      </c>
      <c r="B56" s="461"/>
      <c r="C56" s="461"/>
      <c r="D56" s="461"/>
      <c r="E56" s="461"/>
      <c r="F56" s="461"/>
      <c r="G56" s="461"/>
      <c r="H56" s="461"/>
    </row>
    <row r="57" spans="1:8">
      <c r="A57" s="461" t="s">
        <v>528</v>
      </c>
      <c r="B57" s="461"/>
      <c r="C57" s="461"/>
      <c r="D57" s="461"/>
      <c r="E57" s="461"/>
      <c r="F57" s="461"/>
      <c r="G57" s="461"/>
      <c r="H57" s="461"/>
    </row>
    <row r="58" spans="1:8">
      <c r="A58" s="461" t="s">
        <v>529</v>
      </c>
      <c r="B58" s="461"/>
      <c r="C58" s="461"/>
      <c r="D58" s="461"/>
      <c r="E58" s="461"/>
      <c r="F58" s="461"/>
      <c r="G58" s="461"/>
      <c r="H58" s="461"/>
    </row>
    <row r="59" spans="1:8">
      <c r="A59" s="461"/>
      <c r="B59" s="461"/>
      <c r="C59" s="461"/>
      <c r="D59" s="461"/>
      <c r="E59" s="461"/>
      <c r="F59" s="461"/>
      <c r="G59" s="461"/>
      <c r="H59" s="461"/>
    </row>
    <row r="60" spans="1:8">
      <c r="A60" s="461" t="s">
        <v>530</v>
      </c>
      <c r="B60" s="461"/>
      <c r="C60" s="461"/>
      <c r="D60" s="461"/>
      <c r="E60" s="461"/>
      <c r="F60" s="461"/>
      <c r="G60" s="461"/>
      <c r="H60" s="461"/>
    </row>
    <row r="61" spans="1:8">
      <c r="A61" s="461" t="s">
        <v>531</v>
      </c>
      <c r="B61" s="461"/>
      <c r="C61" s="461"/>
      <c r="D61" s="461"/>
      <c r="E61" s="461"/>
      <c r="F61" s="461"/>
      <c r="G61" s="461"/>
      <c r="H61" s="461"/>
    </row>
    <row r="62" spans="1:8">
      <c r="A62" s="461" t="s">
        <v>532</v>
      </c>
      <c r="B62" s="461"/>
      <c r="C62" s="461"/>
      <c r="D62" s="461"/>
      <c r="E62" s="461"/>
      <c r="F62" s="461"/>
      <c r="G62" s="461"/>
      <c r="H62" s="461"/>
    </row>
    <row r="63" spans="1:8">
      <c r="A63" s="461" t="s">
        <v>533</v>
      </c>
      <c r="B63" s="461"/>
      <c r="C63" s="461"/>
      <c r="D63" s="461"/>
      <c r="E63" s="461"/>
      <c r="F63" s="461"/>
      <c r="G63" s="461"/>
      <c r="H63" s="461"/>
    </row>
    <row r="64" spans="1:8">
      <c r="A64" s="461" t="s">
        <v>534</v>
      </c>
      <c r="B64" s="461"/>
      <c r="C64" s="461"/>
      <c r="D64" s="461"/>
      <c r="E64" s="461"/>
      <c r="F64" s="461"/>
      <c r="G64" s="461"/>
      <c r="H64" s="461"/>
    </row>
    <row r="65" spans="1:8">
      <c r="A65" s="461" t="s">
        <v>535</v>
      </c>
      <c r="B65" s="461"/>
      <c r="C65" s="461"/>
      <c r="D65" s="461"/>
      <c r="E65" s="461"/>
      <c r="F65" s="461"/>
      <c r="G65" s="461"/>
      <c r="H65" s="461"/>
    </row>
    <row r="66" spans="1:8">
      <c r="A66" s="461"/>
      <c r="B66" s="461"/>
      <c r="C66" s="461"/>
      <c r="D66" s="461"/>
      <c r="E66" s="461"/>
      <c r="F66" s="461"/>
      <c r="G66" s="461"/>
      <c r="H66" s="461"/>
    </row>
    <row r="67" spans="1:8">
      <c r="A67" s="461" t="s">
        <v>536</v>
      </c>
      <c r="B67" s="461"/>
      <c r="C67" s="461"/>
      <c r="D67" s="461"/>
      <c r="E67" s="461"/>
      <c r="F67" s="461"/>
      <c r="G67" s="461"/>
      <c r="H67" s="461"/>
    </row>
    <row r="68" spans="1:8">
      <c r="A68" s="461" t="s">
        <v>537</v>
      </c>
      <c r="B68" s="461"/>
      <c r="C68" s="461"/>
      <c r="D68" s="461"/>
      <c r="E68" s="461"/>
      <c r="F68" s="461"/>
      <c r="G68" s="461"/>
      <c r="H68" s="461"/>
    </row>
    <row r="69" spans="1:8">
      <c r="A69" s="461" t="s">
        <v>538</v>
      </c>
      <c r="B69" s="461"/>
      <c r="C69" s="461"/>
      <c r="D69" s="461"/>
      <c r="E69" s="461"/>
      <c r="F69" s="461"/>
      <c r="G69" s="461"/>
      <c r="H69" s="461"/>
    </row>
    <row r="70" spans="1:8">
      <c r="A70" s="461" t="s">
        <v>539</v>
      </c>
      <c r="B70" s="461"/>
      <c r="C70" s="461"/>
      <c r="D70" s="461"/>
      <c r="E70" s="461"/>
      <c r="F70" s="461"/>
      <c r="G70" s="461"/>
      <c r="H70" s="461"/>
    </row>
    <row r="71" spans="1:8">
      <c r="A71" s="461" t="s">
        <v>540</v>
      </c>
      <c r="B71" s="461"/>
      <c r="C71" s="461"/>
      <c r="D71" s="461"/>
      <c r="E71" s="461"/>
      <c r="F71" s="461"/>
      <c r="G71" s="461"/>
      <c r="H71" s="461"/>
    </row>
    <row r="72" spans="1:8">
      <c r="A72" s="461" t="s">
        <v>541</v>
      </c>
      <c r="B72" s="461"/>
      <c r="C72" s="461"/>
      <c r="D72" s="461"/>
      <c r="E72" s="461"/>
      <c r="F72" s="461"/>
      <c r="G72" s="461"/>
      <c r="H72" s="461"/>
    </row>
    <row r="73" spans="1:8">
      <c r="A73" s="461" t="s">
        <v>542</v>
      </c>
      <c r="B73" s="461"/>
      <c r="C73" s="461"/>
      <c r="D73" s="461"/>
      <c r="E73" s="461"/>
      <c r="F73" s="461"/>
      <c r="G73" s="461"/>
      <c r="H73" s="461"/>
    </row>
    <row r="74" spans="1:8">
      <c r="A74" s="461"/>
      <c r="B74" s="461"/>
      <c r="C74" s="461"/>
      <c r="D74" s="461"/>
      <c r="E74" s="461"/>
      <c r="F74" s="461"/>
      <c r="G74" s="461"/>
      <c r="H74" s="461"/>
    </row>
    <row r="75" spans="1:8">
      <c r="A75" s="461" t="s">
        <v>543</v>
      </c>
      <c r="B75" s="461"/>
      <c r="C75" s="461"/>
      <c r="D75" s="461"/>
      <c r="E75" s="461"/>
      <c r="F75" s="461"/>
      <c r="G75" s="461"/>
      <c r="H75" s="461"/>
    </row>
    <row r="76" spans="1:8">
      <c r="A76" s="461" t="s">
        <v>544</v>
      </c>
      <c r="B76" s="461"/>
      <c r="C76" s="461"/>
      <c r="D76" s="461"/>
      <c r="E76" s="461"/>
      <c r="F76" s="461"/>
      <c r="G76" s="461"/>
      <c r="H76" s="461"/>
    </row>
    <row r="77" spans="1:8">
      <c r="A77" s="461" t="s">
        <v>545</v>
      </c>
      <c r="B77" s="461"/>
      <c r="C77" s="461"/>
      <c r="D77" s="461"/>
      <c r="E77" s="461"/>
      <c r="F77" s="461"/>
      <c r="G77" s="461"/>
      <c r="H77" s="461"/>
    </row>
    <row r="78" spans="1:8">
      <c r="A78" s="461"/>
      <c r="B78" s="461"/>
      <c r="C78" s="461"/>
      <c r="D78" s="461"/>
      <c r="E78" s="461"/>
      <c r="F78" s="461"/>
      <c r="G78" s="461"/>
      <c r="H78" s="461"/>
    </row>
    <row r="79" spans="1:8">
      <c r="A79" s="461" t="s">
        <v>490</v>
      </c>
    </row>
    <row r="80" spans="1:8">
      <c r="A80" s="462"/>
    </row>
    <row r="81" spans="1:1">
      <c r="A81" s="461"/>
    </row>
    <row r="82" spans="1:1">
      <c r="A82" s="461"/>
    </row>
    <row r="83" spans="1:1">
      <c r="A83" s="461"/>
    </row>
    <row r="84" spans="1:1">
      <c r="A84" s="461"/>
    </row>
    <row r="85" spans="1:1">
      <c r="A85" s="461"/>
    </row>
    <row r="86" spans="1:1">
      <c r="A86" s="461"/>
    </row>
    <row r="87" spans="1:1">
      <c r="A87" s="461"/>
    </row>
    <row r="88" spans="1:1">
      <c r="A88" s="461"/>
    </row>
    <row r="89" spans="1:1">
      <c r="A89" s="461"/>
    </row>
    <row r="90" spans="1:1">
      <c r="A90" s="461"/>
    </row>
    <row r="91" spans="1:1">
      <c r="A91" s="461"/>
    </row>
    <row r="92" spans="1:1">
      <c r="A92" s="461"/>
    </row>
    <row r="93" spans="1:1">
      <c r="A93" s="461"/>
    </row>
    <row r="94" spans="1:1">
      <c r="A94" s="461"/>
    </row>
    <row r="95" spans="1:1">
      <c r="A95" s="461"/>
    </row>
    <row r="96" spans="1:1">
      <c r="A96" s="461"/>
    </row>
    <row r="97" spans="1:1">
      <c r="A97" s="461"/>
    </row>
    <row r="98" spans="1:1">
      <c r="A98" s="461"/>
    </row>
    <row r="99" spans="1:1">
      <c r="A99" s="461"/>
    </row>
    <row r="100" spans="1:1">
      <c r="A100" s="461"/>
    </row>
    <row r="101" spans="1:1">
      <c r="A101" s="461"/>
    </row>
    <row r="103" spans="1:1">
      <c r="A103" s="461"/>
    </row>
    <row r="104" spans="1:1">
      <c r="A104" s="461"/>
    </row>
    <row r="105" spans="1:1">
      <c r="A105" s="461"/>
    </row>
    <row r="107" spans="1:1">
      <c r="A107" s="462"/>
    </row>
    <row r="108" spans="1:1">
      <c r="A108" s="462"/>
    </row>
    <row r="109" spans="1:1">
      <c r="A109" s="462"/>
    </row>
  </sheetData>
  <sheetProtection sheet="1"/>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
  <cols>
    <col min="1" max="1" width="71.33203125" customWidth="1"/>
  </cols>
  <sheetData>
    <row r="3" spans="1:12">
      <c r="A3" s="460" t="s">
        <v>546</v>
      </c>
      <c r="B3" s="460"/>
      <c r="C3" s="460"/>
      <c r="D3" s="460"/>
      <c r="E3" s="460"/>
      <c r="F3" s="460"/>
      <c r="G3" s="460"/>
      <c r="H3" s="460"/>
      <c r="I3" s="460"/>
      <c r="J3" s="460"/>
      <c r="K3" s="460"/>
      <c r="L3" s="460"/>
    </row>
    <row r="4" spans="1:12">
      <c r="A4" s="460"/>
      <c r="B4" s="460"/>
      <c r="C4" s="460"/>
      <c r="D4" s="460"/>
      <c r="E4" s="460"/>
      <c r="F4" s="460"/>
      <c r="G4" s="460"/>
      <c r="H4" s="460"/>
      <c r="I4" s="460"/>
      <c r="J4" s="460"/>
      <c r="K4" s="460"/>
      <c r="L4" s="460"/>
    </row>
    <row r="5" spans="1:12">
      <c r="A5" s="461" t="s">
        <v>453</v>
      </c>
      <c r="I5" s="460"/>
      <c r="J5" s="460"/>
      <c r="K5" s="460"/>
      <c r="L5" s="460"/>
    </row>
    <row r="6" spans="1:12">
      <c r="A6" s="461" t="str">
        <f>CONCATENATE("estimated ",inputPrYr!C5-1," 'total expenditures' exceed your ",inputPrYr!C5-1,"")</f>
        <v>estimated 2013 'total expenditures' exceed your 2013</v>
      </c>
      <c r="I6" s="460"/>
      <c r="J6" s="460"/>
      <c r="K6" s="460"/>
      <c r="L6" s="460"/>
    </row>
    <row r="7" spans="1:12">
      <c r="A7" s="464" t="s">
        <v>659</v>
      </c>
      <c r="I7" s="460"/>
      <c r="J7" s="460"/>
      <c r="K7" s="460"/>
      <c r="L7" s="460"/>
    </row>
    <row r="8" spans="1:12">
      <c r="A8" s="461"/>
      <c r="I8" s="460"/>
      <c r="J8" s="460"/>
      <c r="K8" s="460"/>
      <c r="L8" s="460"/>
    </row>
    <row r="9" spans="1:12">
      <c r="A9" s="461" t="s">
        <v>547</v>
      </c>
      <c r="I9" s="460"/>
      <c r="J9" s="460"/>
      <c r="K9" s="460"/>
      <c r="L9" s="460"/>
    </row>
    <row r="10" spans="1:12">
      <c r="A10" s="461" t="s">
        <v>548</v>
      </c>
      <c r="I10" s="460"/>
      <c r="J10" s="460"/>
      <c r="K10" s="460"/>
      <c r="L10" s="460"/>
    </row>
    <row r="11" spans="1:12">
      <c r="A11" s="461" t="s">
        <v>549</v>
      </c>
      <c r="I11" s="460"/>
      <c r="J11" s="460"/>
      <c r="K11" s="460"/>
      <c r="L11" s="460"/>
    </row>
    <row r="12" spans="1:12">
      <c r="A12" s="461" t="s">
        <v>550</v>
      </c>
      <c r="I12" s="460"/>
      <c r="J12" s="460"/>
      <c r="K12" s="460"/>
      <c r="L12" s="460"/>
    </row>
    <row r="13" spans="1:12">
      <c r="A13" s="461" t="s">
        <v>551</v>
      </c>
      <c r="I13" s="460"/>
      <c r="J13" s="460"/>
      <c r="K13" s="460"/>
      <c r="L13" s="460"/>
    </row>
    <row r="14" spans="1:12">
      <c r="A14" s="460"/>
      <c r="B14" s="460"/>
      <c r="C14" s="460"/>
      <c r="D14" s="460"/>
      <c r="E14" s="460"/>
      <c r="F14" s="460"/>
      <c r="G14" s="460"/>
      <c r="H14" s="460"/>
      <c r="I14" s="460"/>
      <c r="J14" s="460"/>
      <c r="K14" s="460"/>
      <c r="L14" s="460"/>
    </row>
    <row r="15" spans="1:12">
      <c r="A15" s="462" t="s">
        <v>552</v>
      </c>
    </row>
    <row r="16" spans="1:12">
      <c r="A16" s="462" t="s">
        <v>553</v>
      </c>
    </row>
    <row r="17" spans="1:7">
      <c r="A17" s="462"/>
    </row>
    <row r="18" spans="1:7">
      <c r="A18" s="461" t="s">
        <v>554</v>
      </c>
      <c r="B18" s="461"/>
      <c r="C18" s="461"/>
      <c r="D18" s="461"/>
      <c r="E18" s="461"/>
      <c r="F18" s="461"/>
      <c r="G18" s="461"/>
    </row>
    <row r="19" spans="1:7">
      <c r="A19" s="461" t="str">
        <f>CONCATENATE("your ",inputPrYr!C5-1," numbers to see what steps might be necessary to")</f>
        <v>your 2013 numbers to see what steps might be necessary to</v>
      </c>
      <c r="B19" s="461"/>
      <c r="C19" s="461"/>
      <c r="D19" s="461"/>
      <c r="E19" s="461"/>
      <c r="F19" s="461"/>
      <c r="G19" s="461"/>
    </row>
    <row r="20" spans="1:7">
      <c r="A20" s="461" t="s">
        <v>555</v>
      </c>
      <c r="B20" s="461"/>
      <c r="C20" s="461"/>
      <c r="D20" s="461"/>
      <c r="E20" s="461"/>
      <c r="F20" s="461"/>
      <c r="G20" s="461"/>
    </row>
    <row r="21" spans="1:7">
      <c r="A21" s="461" t="s">
        <v>556</v>
      </c>
      <c r="B21" s="461"/>
      <c r="C21" s="461"/>
      <c r="D21" s="461"/>
      <c r="E21" s="461"/>
      <c r="F21" s="461"/>
      <c r="G21" s="461"/>
    </row>
    <row r="22" spans="1:7">
      <c r="A22" s="461"/>
    </row>
    <row r="23" spans="1:7">
      <c r="A23" s="462" t="s">
        <v>557</v>
      </c>
    </row>
    <row r="24" spans="1:7">
      <c r="A24" s="462"/>
    </row>
    <row r="25" spans="1:7">
      <c r="A25" s="461" t="s">
        <v>558</v>
      </c>
    </row>
    <row r="26" spans="1:7">
      <c r="A26" s="461" t="s">
        <v>559</v>
      </c>
      <c r="B26" s="461"/>
      <c r="C26" s="461"/>
      <c r="D26" s="461"/>
      <c r="E26" s="461"/>
      <c r="F26" s="461"/>
    </row>
    <row r="27" spans="1:7">
      <c r="A27" s="461" t="s">
        <v>560</v>
      </c>
      <c r="B27" s="461"/>
      <c r="C27" s="461"/>
      <c r="D27" s="461"/>
      <c r="E27" s="461"/>
      <c r="F27" s="461"/>
    </row>
    <row r="28" spans="1:7">
      <c r="A28" s="461" t="s">
        <v>561</v>
      </c>
      <c r="B28" s="461"/>
      <c r="C28" s="461"/>
      <c r="D28" s="461"/>
      <c r="E28" s="461"/>
      <c r="F28" s="461"/>
    </row>
    <row r="29" spans="1:7">
      <c r="A29" s="461"/>
      <c r="B29" s="461"/>
      <c r="C29" s="461"/>
      <c r="D29" s="461"/>
      <c r="E29" s="461"/>
      <c r="F29" s="461"/>
    </row>
    <row r="30" spans="1:7">
      <c r="A30" s="462" t="s">
        <v>562</v>
      </c>
      <c r="B30" s="462"/>
      <c r="C30" s="462"/>
      <c r="D30" s="462"/>
      <c r="E30" s="462"/>
      <c r="F30" s="462"/>
      <c r="G30" s="462"/>
    </row>
    <row r="31" spans="1:7">
      <c r="A31" s="462" t="s">
        <v>563</v>
      </c>
      <c r="B31" s="462"/>
      <c r="C31" s="462"/>
      <c r="D31" s="462"/>
      <c r="E31" s="462"/>
      <c r="F31" s="462"/>
      <c r="G31" s="462"/>
    </row>
    <row r="32" spans="1:7">
      <c r="A32" s="461"/>
      <c r="B32" s="461"/>
      <c r="C32" s="461"/>
      <c r="D32" s="461"/>
      <c r="E32" s="461"/>
      <c r="F32" s="461"/>
    </row>
    <row r="33" spans="1:6">
      <c r="A33" s="465" t="str">
        <f>CONCATENATE("Well, let's look to see if any of your ",inputPrYr!C5-1," expenditures can")</f>
        <v>Well, let's look to see if any of your 2013 expenditures can</v>
      </c>
      <c r="B33" s="461"/>
      <c r="C33" s="461"/>
      <c r="D33" s="461"/>
      <c r="E33" s="461"/>
      <c r="F33" s="461"/>
    </row>
    <row r="34" spans="1:6">
      <c r="A34" s="465" t="s">
        <v>564</v>
      </c>
      <c r="B34" s="461"/>
      <c r="C34" s="461"/>
      <c r="D34" s="461"/>
      <c r="E34" s="461"/>
      <c r="F34" s="461"/>
    </row>
    <row r="35" spans="1:6">
      <c r="A35" s="465" t="s">
        <v>466</v>
      </c>
      <c r="B35" s="461"/>
      <c r="C35" s="461"/>
      <c r="D35" s="461"/>
      <c r="E35" s="461"/>
      <c r="F35" s="461"/>
    </row>
    <row r="36" spans="1:6">
      <c r="A36" s="465" t="s">
        <v>467</v>
      </c>
      <c r="B36" s="461"/>
      <c r="C36" s="461"/>
      <c r="D36" s="461"/>
      <c r="E36" s="461"/>
      <c r="F36" s="461"/>
    </row>
    <row r="37" spans="1:6">
      <c r="A37" s="465"/>
      <c r="B37" s="461"/>
      <c r="C37" s="461"/>
      <c r="D37" s="461"/>
      <c r="E37" s="461"/>
      <c r="F37" s="461"/>
    </row>
    <row r="38" spans="1:6">
      <c r="A38" s="465" t="str">
        <f>CONCATENATE("Additionally, do your ",inputPrYr!C5-1," receipts contain a reimbursement")</f>
        <v>Additionally, do your 2013 receipts contain a reimbursement</v>
      </c>
      <c r="B38" s="461"/>
      <c r="C38" s="461"/>
      <c r="D38" s="461"/>
      <c r="E38" s="461"/>
      <c r="F38" s="461"/>
    </row>
    <row r="39" spans="1:6">
      <c r="A39" s="465" t="s">
        <v>468</v>
      </c>
      <c r="B39" s="461"/>
      <c r="C39" s="461"/>
      <c r="D39" s="461"/>
      <c r="E39" s="461"/>
      <c r="F39" s="461"/>
    </row>
    <row r="40" spans="1:6">
      <c r="A40" s="465" t="s">
        <v>469</v>
      </c>
      <c r="B40" s="461"/>
      <c r="C40" s="461"/>
      <c r="D40" s="461"/>
      <c r="E40" s="461"/>
      <c r="F40" s="461"/>
    </row>
    <row r="41" spans="1:6">
      <c r="A41" s="465"/>
      <c r="B41" s="461"/>
      <c r="C41" s="461"/>
      <c r="D41" s="461"/>
      <c r="E41" s="461"/>
      <c r="F41" s="461"/>
    </row>
    <row r="42" spans="1:6">
      <c r="A42" s="465" t="s">
        <v>470</v>
      </c>
      <c r="B42" s="461"/>
      <c r="C42" s="461"/>
      <c r="D42" s="461"/>
      <c r="E42" s="461"/>
      <c r="F42" s="461"/>
    </row>
    <row r="43" spans="1:6">
      <c r="A43" s="465" t="s">
        <v>471</v>
      </c>
      <c r="B43" s="461"/>
      <c r="C43" s="461"/>
      <c r="D43" s="461"/>
      <c r="E43" s="461"/>
      <c r="F43" s="461"/>
    </row>
    <row r="44" spans="1:6">
      <c r="A44" s="465" t="s">
        <v>472</v>
      </c>
      <c r="B44" s="461"/>
      <c r="C44" s="461"/>
      <c r="D44" s="461"/>
      <c r="E44" s="461"/>
      <c r="F44" s="461"/>
    </row>
    <row r="45" spans="1:6">
      <c r="A45" s="465" t="s">
        <v>565</v>
      </c>
      <c r="B45" s="461"/>
      <c r="C45" s="461"/>
      <c r="D45" s="461"/>
      <c r="E45" s="461"/>
      <c r="F45" s="461"/>
    </row>
    <row r="46" spans="1:6">
      <c r="A46" s="465" t="s">
        <v>474</v>
      </c>
      <c r="B46" s="461"/>
      <c r="C46" s="461"/>
      <c r="D46" s="461"/>
      <c r="E46" s="461"/>
      <c r="F46" s="461"/>
    </row>
    <row r="47" spans="1:6">
      <c r="A47" s="465" t="s">
        <v>566</v>
      </c>
      <c r="B47" s="461"/>
      <c r="C47" s="461"/>
      <c r="D47" s="461"/>
      <c r="E47" s="461"/>
      <c r="F47" s="461"/>
    </row>
    <row r="48" spans="1:6">
      <c r="A48" s="465" t="s">
        <v>567</v>
      </c>
      <c r="B48" s="461"/>
      <c r="C48" s="461"/>
      <c r="D48" s="461"/>
      <c r="E48" s="461"/>
      <c r="F48" s="461"/>
    </row>
    <row r="49" spans="1:6">
      <c r="A49" s="465" t="s">
        <v>477</v>
      </c>
      <c r="B49" s="461"/>
      <c r="C49" s="461"/>
      <c r="D49" s="461"/>
      <c r="E49" s="461"/>
      <c r="F49" s="461"/>
    </row>
    <row r="50" spans="1:6">
      <c r="A50" s="465"/>
      <c r="B50" s="461"/>
      <c r="C50" s="461"/>
      <c r="D50" s="461"/>
      <c r="E50" s="461"/>
      <c r="F50" s="461"/>
    </row>
    <row r="51" spans="1:6">
      <c r="A51" s="465" t="s">
        <v>478</v>
      </c>
      <c r="B51" s="461"/>
      <c r="C51" s="461"/>
      <c r="D51" s="461"/>
      <c r="E51" s="461"/>
      <c r="F51" s="461"/>
    </row>
    <row r="52" spans="1:6">
      <c r="A52" s="465" t="s">
        <v>479</v>
      </c>
      <c r="B52" s="461"/>
      <c r="C52" s="461"/>
      <c r="D52" s="461"/>
      <c r="E52" s="461"/>
      <c r="F52" s="461"/>
    </row>
    <row r="53" spans="1:6">
      <c r="A53" s="465" t="s">
        <v>480</v>
      </c>
      <c r="B53" s="461"/>
      <c r="C53" s="461"/>
      <c r="D53" s="461"/>
      <c r="E53" s="461"/>
      <c r="F53" s="461"/>
    </row>
    <row r="54" spans="1:6">
      <c r="A54" s="465"/>
      <c r="B54" s="461"/>
      <c r="C54" s="461"/>
      <c r="D54" s="461"/>
      <c r="E54" s="461"/>
      <c r="F54" s="461"/>
    </row>
    <row r="55" spans="1:6">
      <c r="A55" s="465" t="s">
        <v>568</v>
      </c>
      <c r="B55" s="461"/>
      <c r="C55" s="461"/>
      <c r="D55" s="461"/>
      <c r="E55" s="461"/>
      <c r="F55" s="461"/>
    </row>
    <row r="56" spans="1:6">
      <c r="A56" s="465" t="s">
        <v>569</v>
      </c>
      <c r="B56" s="461"/>
      <c r="C56" s="461"/>
      <c r="D56" s="461"/>
      <c r="E56" s="461"/>
      <c r="F56" s="461"/>
    </row>
    <row r="57" spans="1:6">
      <c r="A57" s="465" t="s">
        <v>570</v>
      </c>
      <c r="B57" s="461"/>
      <c r="C57" s="461"/>
      <c r="D57" s="461"/>
      <c r="E57" s="461"/>
      <c r="F57" s="461"/>
    </row>
    <row r="58" spans="1:6">
      <c r="A58" s="465" t="s">
        <v>571</v>
      </c>
      <c r="B58" s="461"/>
      <c r="C58" s="461"/>
      <c r="D58" s="461"/>
      <c r="E58" s="461"/>
      <c r="F58" s="461"/>
    </row>
    <row r="59" spans="1:6">
      <c r="A59" s="465" t="s">
        <v>483</v>
      </c>
      <c r="B59" s="461"/>
      <c r="C59" s="461"/>
      <c r="D59" s="461"/>
      <c r="E59" s="461"/>
      <c r="F59" s="461"/>
    </row>
    <row r="60" spans="1:6">
      <c r="A60" s="465"/>
      <c r="B60" s="461"/>
      <c r="C60" s="461"/>
      <c r="D60" s="461"/>
      <c r="E60" s="461"/>
      <c r="F60" s="461"/>
    </row>
    <row r="61" spans="1:6">
      <c r="A61" s="466" t="s">
        <v>572</v>
      </c>
      <c r="B61" s="461"/>
      <c r="C61" s="461"/>
      <c r="D61" s="461"/>
      <c r="E61" s="461"/>
      <c r="F61" s="461"/>
    </row>
    <row r="62" spans="1:6">
      <c r="A62" s="466" t="s">
        <v>573</v>
      </c>
      <c r="B62" s="461"/>
      <c r="C62" s="461"/>
      <c r="D62" s="461"/>
      <c r="E62" s="461"/>
      <c r="F62" s="461"/>
    </row>
    <row r="63" spans="1:6">
      <c r="A63" s="466" t="s">
        <v>574</v>
      </c>
      <c r="B63" s="461"/>
      <c r="C63" s="461"/>
      <c r="D63" s="461"/>
      <c r="E63" s="461"/>
      <c r="F63" s="461"/>
    </row>
    <row r="64" spans="1:6">
      <c r="A64" s="466" t="s">
        <v>575</v>
      </c>
    </row>
    <row r="65" spans="1:1">
      <c r="A65" s="466" t="s">
        <v>576</v>
      </c>
    </row>
    <row r="66" spans="1:1">
      <c r="A66" s="466" t="s">
        <v>577</v>
      </c>
    </row>
    <row r="68" spans="1:1">
      <c r="A68" s="461" t="s">
        <v>578</v>
      </c>
    </row>
    <row r="69" spans="1:1">
      <c r="A69" s="461" t="s">
        <v>579</v>
      </c>
    </row>
    <row r="70" spans="1:1">
      <c r="A70" s="461" t="s">
        <v>580</v>
      </c>
    </row>
    <row r="71" spans="1:1">
      <c r="A71" s="461" t="s">
        <v>581</v>
      </c>
    </row>
    <row r="72" spans="1:1">
      <c r="A72" s="461" t="s">
        <v>582</v>
      </c>
    </row>
    <row r="73" spans="1:1">
      <c r="A73" s="461" t="s">
        <v>583</v>
      </c>
    </row>
    <row r="75" spans="1:1">
      <c r="A75" s="461" t="s">
        <v>490</v>
      </c>
    </row>
  </sheetData>
  <sheetProtection sheet="1"/>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
  <cols>
    <col min="1" max="1" width="71.33203125" customWidth="1"/>
  </cols>
  <sheetData>
    <row r="3" spans="1:7">
      <c r="A3" s="460" t="s">
        <v>584</v>
      </c>
      <c r="B3" s="460"/>
      <c r="C3" s="460"/>
      <c r="D3" s="460"/>
      <c r="E3" s="460"/>
      <c r="F3" s="460"/>
      <c r="G3" s="460"/>
    </row>
    <row r="4" spans="1:7">
      <c r="A4" s="460"/>
      <c r="B4" s="460"/>
      <c r="C4" s="460"/>
      <c r="D4" s="460"/>
      <c r="E4" s="460"/>
      <c r="F4" s="460"/>
      <c r="G4" s="460"/>
    </row>
    <row r="5" spans="1:7">
      <c r="A5" s="461" t="s">
        <v>492</v>
      </c>
    </row>
    <row r="6" spans="1:7">
      <c r="A6" s="461" t="str">
        <f>CONCATENATE(inputPrYr!C5," estimated expenditures show that at the end of this year")</f>
        <v>2014 estimated expenditures show that at the end of this year</v>
      </c>
    </row>
    <row r="7" spans="1:7">
      <c r="A7" s="461" t="s">
        <v>585</v>
      </c>
    </row>
    <row r="8" spans="1:7">
      <c r="A8" s="461" t="s">
        <v>586</v>
      </c>
    </row>
    <row r="10" spans="1:7">
      <c r="A10" t="s">
        <v>494</v>
      </c>
    </row>
    <row r="11" spans="1:7">
      <c r="A11" t="s">
        <v>495</v>
      </c>
    </row>
    <row r="12" spans="1:7">
      <c r="A12" t="s">
        <v>496</v>
      </c>
    </row>
    <row r="13" spans="1:7">
      <c r="A13" s="460"/>
      <c r="B13" s="460"/>
      <c r="C13" s="460"/>
      <c r="D13" s="460"/>
      <c r="E13" s="460"/>
      <c r="F13" s="460"/>
      <c r="G13" s="460"/>
    </row>
    <row r="14" spans="1:7">
      <c r="A14" s="462" t="s">
        <v>587</v>
      </c>
    </row>
    <row r="15" spans="1:7">
      <c r="A15" s="461"/>
    </row>
    <row r="16" spans="1:7">
      <c r="A16" s="461" t="s">
        <v>588</v>
      </c>
    </row>
    <row r="17" spans="1:7">
      <c r="A17" s="461" t="s">
        <v>589</v>
      </c>
    </row>
    <row r="18" spans="1:7">
      <c r="A18" s="461" t="s">
        <v>590</v>
      </c>
    </row>
    <row r="19" spans="1:7">
      <c r="A19" s="461"/>
    </row>
    <row r="20" spans="1:7">
      <c r="A20" s="461" t="s">
        <v>591</v>
      </c>
    </row>
    <row r="21" spans="1:7">
      <c r="A21" s="461" t="s">
        <v>592</v>
      </c>
    </row>
    <row r="22" spans="1:7">
      <c r="A22" s="461" t="s">
        <v>593</v>
      </c>
    </row>
    <row r="23" spans="1:7">
      <c r="A23" s="461" t="s">
        <v>594</v>
      </c>
    </row>
    <row r="24" spans="1:7">
      <c r="A24" s="461"/>
    </row>
    <row r="25" spans="1:7">
      <c r="A25" s="462" t="s">
        <v>557</v>
      </c>
    </row>
    <row r="26" spans="1:7">
      <c r="A26" s="462"/>
    </row>
    <row r="27" spans="1:7">
      <c r="A27" s="461" t="s">
        <v>558</v>
      </c>
    </row>
    <row r="28" spans="1:7">
      <c r="A28" s="461" t="s">
        <v>559</v>
      </c>
      <c r="B28" s="461"/>
      <c r="C28" s="461"/>
      <c r="D28" s="461"/>
      <c r="E28" s="461"/>
      <c r="F28" s="461"/>
    </row>
    <row r="29" spans="1:7">
      <c r="A29" s="461" t="s">
        <v>560</v>
      </c>
      <c r="B29" s="461"/>
      <c r="C29" s="461"/>
      <c r="D29" s="461"/>
      <c r="E29" s="461"/>
      <c r="F29" s="461"/>
    </row>
    <row r="30" spans="1:7">
      <c r="A30" s="461" t="s">
        <v>561</v>
      </c>
      <c r="B30" s="461"/>
      <c r="C30" s="461"/>
      <c r="D30" s="461"/>
      <c r="E30" s="461"/>
      <c r="F30" s="461"/>
    </row>
    <row r="31" spans="1:7">
      <c r="A31" s="461"/>
    </row>
    <row r="32" spans="1:7">
      <c r="A32" s="462" t="s">
        <v>562</v>
      </c>
      <c r="B32" s="462"/>
      <c r="C32" s="462"/>
      <c r="D32" s="462"/>
      <c r="E32" s="462"/>
      <c r="F32" s="462"/>
      <c r="G32" s="462"/>
    </row>
    <row r="33" spans="1:7">
      <c r="A33" s="462" t="s">
        <v>563</v>
      </c>
      <c r="B33" s="462"/>
      <c r="C33" s="462"/>
      <c r="D33" s="462"/>
      <c r="E33" s="462"/>
      <c r="F33" s="462"/>
      <c r="G33" s="462"/>
    </row>
    <row r="34" spans="1:7">
      <c r="A34" s="462"/>
      <c r="B34" s="462"/>
      <c r="C34" s="462"/>
      <c r="D34" s="462"/>
      <c r="E34" s="462"/>
      <c r="F34" s="462"/>
      <c r="G34" s="462"/>
    </row>
    <row r="35" spans="1:7">
      <c r="A35" s="461" t="s">
        <v>595</v>
      </c>
      <c r="B35" s="461"/>
      <c r="C35" s="461"/>
      <c r="D35" s="461"/>
      <c r="E35" s="461"/>
      <c r="F35" s="461"/>
      <c r="G35" s="461"/>
    </row>
    <row r="36" spans="1:7">
      <c r="A36" s="461" t="s">
        <v>596</v>
      </c>
      <c r="B36" s="461"/>
      <c r="C36" s="461"/>
      <c r="D36" s="461"/>
      <c r="E36" s="461"/>
      <c r="F36" s="461"/>
      <c r="G36" s="461"/>
    </row>
    <row r="37" spans="1:7">
      <c r="A37" s="461" t="s">
        <v>597</v>
      </c>
      <c r="B37" s="461"/>
      <c r="C37" s="461"/>
      <c r="D37" s="461"/>
      <c r="E37" s="461"/>
      <c r="F37" s="461"/>
      <c r="G37" s="461"/>
    </row>
    <row r="38" spans="1:7">
      <c r="A38" s="461" t="s">
        <v>598</v>
      </c>
      <c r="B38" s="461"/>
      <c r="C38" s="461"/>
      <c r="D38" s="461"/>
      <c r="E38" s="461"/>
      <c r="F38" s="461"/>
      <c r="G38" s="461"/>
    </row>
    <row r="39" spans="1:7">
      <c r="A39" s="461" t="s">
        <v>599</v>
      </c>
      <c r="B39" s="461"/>
      <c r="C39" s="461"/>
      <c r="D39" s="461"/>
      <c r="E39" s="461"/>
      <c r="F39" s="461"/>
      <c r="G39" s="461"/>
    </row>
    <row r="40" spans="1:7">
      <c r="A40" s="462"/>
      <c r="B40" s="462"/>
      <c r="C40" s="462"/>
      <c r="D40" s="462"/>
      <c r="E40" s="462"/>
      <c r="F40" s="462"/>
      <c r="G40" s="462"/>
    </row>
    <row r="41" spans="1:7">
      <c r="A41" s="465" t="str">
        <f>CONCATENATE("So, let's look to see if any of your ",inputPrYr!C5-1," expenditures can")</f>
        <v>So, let's look to see if any of your 2013 expenditures can</v>
      </c>
      <c r="B41" s="461"/>
      <c r="C41" s="461"/>
      <c r="D41" s="461"/>
      <c r="E41" s="461"/>
      <c r="F41" s="461"/>
    </row>
    <row r="42" spans="1:7">
      <c r="A42" s="465" t="s">
        <v>564</v>
      </c>
      <c r="B42" s="461"/>
      <c r="C42" s="461"/>
      <c r="D42" s="461"/>
      <c r="E42" s="461"/>
      <c r="F42" s="461"/>
    </row>
    <row r="43" spans="1:7">
      <c r="A43" s="465" t="s">
        <v>466</v>
      </c>
      <c r="B43" s="461"/>
      <c r="C43" s="461"/>
      <c r="D43" s="461"/>
      <c r="E43" s="461"/>
      <c r="F43" s="461"/>
    </row>
    <row r="44" spans="1:7">
      <c r="A44" s="465" t="s">
        <v>467</v>
      </c>
      <c r="B44" s="461"/>
      <c r="C44" s="461"/>
      <c r="D44" s="461"/>
      <c r="E44" s="461"/>
      <c r="F44" s="461"/>
    </row>
    <row r="45" spans="1:7">
      <c r="A45" s="461"/>
    </row>
    <row r="46" spans="1:7">
      <c r="A46" s="465" t="str">
        <f>CONCATENATE("Additionally, do your ",inputPrYr!C5-1," receipts contain a reimbursement")</f>
        <v>Additionally, do your 2013 receipts contain a reimbursement</v>
      </c>
      <c r="B46" s="461"/>
      <c r="C46" s="461"/>
      <c r="D46" s="461"/>
      <c r="E46" s="461"/>
      <c r="F46" s="461"/>
    </row>
    <row r="47" spans="1:7">
      <c r="A47" s="465" t="s">
        <v>468</v>
      </c>
      <c r="B47" s="461"/>
      <c r="C47" s="461"/>
      <c r="D47" s="461"/>
      <c r="E47" s="461"/>
      <c r="F47" s="461"/>
    </row>
    <row r="48" spans="1:7">
      <c r="A48" s="465" t="s">
        <v>469</v>
      </c>
      <c r="B48" s="461"/>
      <c r="C48" s="461"/>
      <c r="D48" s="461"/>
      <c r="E48" s="461"/>
      <c r="F48" s="461"/>
    </row>
    <row r="49" spans="1:7">
      <c r="A49" s="461"/>
      <c r="B49" s="461"/>
      <c r="C49" s="461"/>
      <c r="D49" s="461"/>
      <c r="E49" s="461"/>
      <c r="F49" s="461"/>
      <c r="G49" s="461"/>
    </row>
    <row r="50" spans="1:7">
      <c r="A50" s="461" t="s">
        <v>519</v>
      </c>
      <c r="B50" s="461"/>
      <c r="C50" s="461"/>
      <c r="D50" s="461"/>
      <c r="E50" s="461"/>
      <c r="F50" s="461"/>
      <c r="G50" s="461"/>
    </row>
    <row r="51" spans="1:7">
      <c r="A51" s="461" t="s">
        <v>520</v>
      </c>
      <c r="B51" s="461"/>
      <c r="C51" s="461"/>
      <c r="D51" s="461"/>
      <c r="E51" s="461"/>
      <c r="F51" s="461"/>
      <c r="G51" s="461"/>
    </row>
    <row r="52" spans="1:7">
      <c r="A52" s="461" t="s">
        <v>521</v>
      </c>
      <c r="B52" s="461"/>
      <c r="C52" s="461"/>
      <c r="D52" s="461"/>
      <c r="E52" s="461"/>
      <c r="F52" s="461"/>
      <c r="G52" s="461"/>
    </row>
    <row r="53" spans="1:7">
      <c r="A53" s="461" t="s">
        <v>522</v>
      </c>
      <c r="B53" s="461"/>
      <c r="C53" s="461"/>
      <c r="D53" s="461"/>
      <c r="E53" s="461"/>
      <c r="F53" s="461"/>
      <c r="G53" s="461"/>
    </row>
    <row r="54" spans="1:7">
      <c r="A54" s="461" t="s">
        <v>523</v>
      </c>
      <c r="B54" s="461"/>
      <c r="C54" s="461"/>
      <c r="D54" s="461"/>
      <c r="E54" s="461"/>
      <c r="F54" s="461"/>
      <c r="G54" s="461"/>
    </row>
    <row r="55" spans="1:7">
      <c r="A55" s="461"/>
      <c r="B55" s="461"/>
      <c r="C55" s="461"/>
      <c r="D55" s="461"/>
      <c r="E55" s="461"/>
      <c r="F55" s="461"/>
      <c r="G55" s="461"/>
    </row>
    <row r="56" spans="1:7">
      <c r="A56" s="465" t="s">
        <v>478</v>
      </c>
      <c r="B56" s="461"/>
      <c r="C56" s="461"/>
      <c r="D56" s="461"/>
      <c r="E56" s="461"/>
      <c r="F56" s="461"/>
    </row>
    <row r="57" spans="1:7">
      <c r="A57" s="465" t="s">
        <v>479</v>
      </c>
      <c r="B57" s="461"/>
      <c r="C57" s="461"/>
      <c r="D57" s="461"/>
      <c r="E57" s="461"/>
      <c r="F57" s="461"/>
    </row>
    <row r="58" spans="1:7">
      <c r="A58" s="465" t="s">
        <v>480</v>
      </c>
      <c r="B58" s="461"/>
      <c r="C58" s="461"/>
      <c r="D58" s="461"/>
      <c r="E58" s="461"/>
      <c r="F58" s="461"/>
    </row>
    <row r="59" spans="1:7">
      <c r="A59" s="465"/>
      <c r="B59" s="461"/>
      <c r="C59" s="461"/>
      <c r="D59" s="461"/>
      <c r="E59" s="461"/>
      <c r="F59" s="461"/>
    </row>
    <row r="60" spans="1:7">
      <c r="A60" s="461" t="s">
        <v>600</v>
      </c>
      <c r="B60" s="461"/>
      <c r="C60" s="461"/>
      <c r="D60" s="461"/>
      <c r="E60" s="461"/>
      <c r="F60" s="461"/>
      <c r="G60" s="461"/>
    </row>
    <row r="61" spans="1:7">
      <c r="A61" s="461" t="s">
        <v>601</v>
      </c>
      <c r="B61" s="461"/>
      <c r="C61" s="461"/>
      <c r="D61" s="461"/>
      <c r="E61" s="461"/>
      <c r="F61" s="461"/>
      <c r="G61" s="461"/>
    </row>
    <row r="62" spans="1:7">
      <c r="A62" s="461" t="s">
        <v>602</v>
      </c>
      <c r="B62" s="461"/>
      <c r="C62" s="461"/>
      <c r="D62" s="461"/>
      <c r="E62" s="461"/>
      <c r="F62" s="461"/>
      <c r="G62" s="461"/>
    </row>
    <row r="63" spans="1:7">
      <c r="A63" s="461" t="s">
        <v>603</v>
      </c>
      <c r="B63" s="461"/>
      <c r="C63" s="461"/>
      <c r="D63" s="461"/>
      <c r="E63" s="461"/>
      <c r="F63" s="461"/>
      <c r="G63" s="461"/>
    </row>
    <row r="64" spans="1:7">
      <c r="A64" s="461" t="s">
        <v>604</v>
      </c>
      <c r="B64" s="461"/>
      <c r="C64" s="461"/>
      <c r="D64" s="461"/>
      <c r="E64" s="461"/>
      <c r="F64" s="461"/>
      <c r="G64" s="461"/>
    </row>
    <row r="66" spans="1:6">
      <c r="A66" s="465" t="s">
        <v>568</v>
      </c>
      <c r="B66" s="461"/>
      <c r="C66" s="461"/>
      <c r="D66" s="461"/>
      <c r="E66" s="461"/>
      <c r="F66" s="461"/>
    </row>
    <row r="67" spans="1:6">
      <c r="A67" s="465" t="s">
        <v>569</v>
      </c>
      <c r="B67" s="461"/>
      <c r="C67" s="461"/>
      <c r="D67" s="461"/>
      <c r="E67" s="461"/>
      <c r="F67" s="461"/>
    </row>
    <row r="68" spans="1:6">
      <c r="A68" s="465" t="s">
        <v>570</v>
      </c>
      <c r="B68" s="461"/>
      <c r="C68" s="461"/>
      <c r="D68" s="461"/>
      <c r="E68" s="461"/>
      <c r="F68" s="461"/>
    </row>
    <row r="69" spans="1:6">
      <c r="A69" s="465" t="s">
        <v>571</v>
      </c>
      <c r="B69" s="461"/>
      <c r="C69" s="461"/>
      <c r="D69" s="461"/>
      <c r="E69" s="461"/>
      <c r="F69" s="461"/>
    </row>
    <row r="70" spans="1:6">
      <c r="A70" s="465" t="s">
        <v>483</v>
      </c>
      <c r="B70" s="461"/>
      <c r="C70" s="461"/>
      <c r="D70" s="461"/>
      <c r="E70" s="461"/>
      <c r="F70" s="461"/>
    </row>
    <row r="71" spans="1:6">
      <c r="A71" s="461"/>
    </row>
    <row r="72" spans="1:6">
      <c r="A72" s="461" t="s">
        <v>490</v>
      </c>
    </row>
    <row r="73" spans="1:6">
      <c r="A73" s="461"/>
    </row>
    <row r="74" spans="1:6">
      <c r="A74" s="461"/>
    </row>
    <row r="75" spans="1:6">
      <c r="A75" s="461"/>
    </row>
    <row r="78" spans="1:6">
      <c r="A78" s="462"/>
    </row>
    <row r="80" spans="1:6">
      <c r="A80" s="461"/>
    </row>
    <row r="81" spans="1:1">
      <c r="A81" s="461"/>
    </row>
    <row r="82" spans="1:1">
      <c r="A82" s="461"/>
    </row>
    <row r="83" spans="1:1">
      <c r="A83" s="461"/>
    </row>
    <row r="84" spans="1:1">
      <c r="A84" s="461"/>
    </row>
    <row r="85" spans="1:1">
      <c r="A85" s="461"/>
    </row>
    <row r="86" spans="1:1">
      <c r="A86" s="461"/>
    </row>
    <row r="87" spans="1:1">
      <c r="A87" s="461"/>
    </row>
    <row r="88" spans="1:1">
      <c r="A88" s="461"/>
    </row>
    <row r="89" spans="1:1">
      <c r="A89" s="461"/>
    </row>
    <row r="90" spans="1:1">
      <c r="A90" s="461"/>
    </row>
    <row r="92" spans="1:1">
      <c r="A92" s="461"/>
    </row>
    <row r="93" spans="1:1">
      <c r="A93" s="461"/>
    </row>
    <row r="94" spans="1:1">
      <c r="A94" s="461"/>
    </row>
    <row r="95" spans="1:1">
      <c r="A95" s="461"/>
    </row>
    <row r="96" spans="1:1">
      <c r="A96" s="461"/>
    </row>
    <row r="97" spans="1:1">
      <c r="A97" s="461"/>
    </row>
    <row r="98" spans="1:1">
      <c r="A98" s="461"/>
    </row>
    <row r="99" spans="1:1">
      <c r="A99" s="461"/>
    </row>
    <row r="100" spans="1:1">
      <c r="A100" s="461"/>
    </row>
    <row r="101" spans="1:1">
      <c r="A101" s="461"/>
    </row>
    <row r="102" spans="1:1">
      <c r="A102" s="461"/>
    </row>
    <row r="103" spans="1:1">
      <c r="A103" s="461"/>
    </row>
    <row r="104" spans="1:1">
      <c r="A104" s="461"/>
    </row>
    <row r="105" spans="1:1">
      <c r="A105" s="461"/>
    </row>
    <row r="106" spans="1:1">
      <c r="A106" s="461"/>
    </row>
  </sheetData>
  <sheetProtection sheet="1"/>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460" t="s">
        <v>605</v>
      </c>
      <c r="B3" s="460"/>
      <c r="C3" s="460"/>
      <c r="D3" s="460"/>
      <c r="E3" s="460"/>
      <c r="F3" s="460"/>
      <c r="G3" s="460"/>
    </row>
    <row r="4" spans="1:7">
      <c r="A4" s="460" t="s">
        <v>606</v>
      </c>
      <c r="B4" s="460"/>
      <c r="C4" s="460"/>
      <c r="D4" s="460"/>
      <c r="E4" s="460"/>
      <c r="F4" s="460"/>
      <c r="G4" s="460"/>
    </row>
    <row r="5" spans="1:7">
      <c r="A5" s="460"/>
      <c r="B5" s="460"/>
      <c r="C5" s="460"/>
      <c r="D5" s="460"/>
      <c r="E5" s="460"/>
      <c r="F5" s="460"/>
      <c r="G5" s="460"/>
    </row>
    <row r="6" spans="1:7">
      <c r="A6" s="460"/>
      <c r="B6" s="460"/>
      <c r="C6" s="460"/>
      <c r="D6" s="460"/>
      <c r="E6" s="460"/>
      <c r="F6" s="460"/>
      <c r="G6" s="460"/>
    </row>
    <row r="7" spans="1:7">
      <c r="A7" s="461" t="s">
        <v>453</v>
      </c>
    </row>
    <row r="8" spans="1:7">
      <c r="A8" s="461" t="str">
        <f>CONCATENATE("estimated ",inputPrYr!C5," 'total expenditures' exceed your ",inputPrYr!C5,"")</f>
        <v>estimated 2014 'total expenditures' exceed your 2014</v>
      </c>
    </row>
    <row r="9" spans="1:7">
      <c r="A9" s="464" t="s">
        <v>660</v>
      </c>
    </row>
    <row r="10" spans="1:7">
      <c r="A10" s="461"/>
    </row>
    <row r="11" spans="1:7">
      <c r="A11" s="461" t="s">
        <v>607</v>
      </c>
    </row>
    <row r="12" spans="1:7">
      <c r="A12" s="461" t="s">
        <v>608</v>
      </c>
    </row>
    <row r="13" spans="1:7">
      <c r="A13" s="461" t="s">
        <v>609</v>
      </c>
    </row>
    <row r="14" spans="1:7">
      <c r="A14" s="461"/>
    </row>
    <row r="15" spans="1:7">
      <c r="A15" s="462" t="s">
        <v>610</v>
      </c>
    </row>
    <row r="16" spans="1:7">
      <c r="A16" s="460"/>
      <c r="B16" s="460"/>
      <c r="C16" s="460"/>
      <c r="D16" s="460"/>
      <c r="E16" s="460"/>
      <c r="F16" s="460"/>
      <c r="G16" s="460"/>
    </row>
    <row r="17" spans="1:8">
      <c r="A17" s="467" t="s">
        <v>611</v>
      </c>
      <c r="B17" s="459"/>
      <c r="C17" s="459"/>
      <c r="D17" s="459"/>
      <c r="E17" s="459"/>
      <c r="F17" s="459"/>
      <c r="G17" s="459"/>
      <c r="H17" s="459"/>
    </row>
    <row r="18" spans="1:8">
      <c r="A18" s="461" t="s">
        <v>612</v>
      </c>
      <c r="B18" s="468"/>
      <c r="C18" s="468"/>
      <c r="D18" s="468"/>
      <c r="E18" s="468"/>
      <c r="F18" s="468"/>
      <c r="G18" s="468"/>
    </row>
    <row r="19" spans="1:8">
      <c r="A19" s="461" t="s">
        <v>613</v>
      </c>
    </row>
    <row r="20" spans="1:8">
      <c r="A20" s="461" t="s">
        <v>614</v>
      </c>
    </row>
    <row r="22" spans="1:8">
      <c r="A22" s="462" t="s">
        <v>615</v>
      </c>
    </row>
    <row r="24" spans="1:8">
      <c r="A24" s="461" t="s">
        <v>616</v>
      </c>
    </row>
    <row r="25" spans="1:8">
      <c r="A25" s="461" t="s">
        <v>617</v>
      </c>
    </row>
    <row r="26" spans="1:8">
      <c r="A26" s="461" t="s">
        <v>618</v>
      </c>
    </row>
    <row r="28" spans="1:8">
      <c r="A28" s="462" t="s">
        <v>619</v>
      </c>
    </row>
    <row r="30" spans="1:8">
      <c r="A30" t="s">
        <v>620</v>
      </c>
    </row>
    <row r="31" spans="1:8">
      <c r="A31" t="s">
        <v>621</v>
      </c>
    </row>
    <row r="32" spans="1:8">
      <c r="A32" t="s">
        <v>622</v>
      </c>
    </row>
    <row r="33" spans="1:1">
      <c r="A33" s="461" t="s">
        <v>623</v>
      </c>
    </row>
    <row r="35" spans="1:1">
      <c r="A35" t="s">
        <v>624</v>
      </c>
    </row>
    <row r="36" spans="1:1">
      <c r="A36" t="s">
        <v>625</v>
      </c>
    </row>
    <row r="37" spans="1:1">
      <c r="A37" t="s">
        <v>626</v>
      </c>
    </row>
    <row r="38" spans="1:1">
      <c r="A38" t="s">
        <v>627</v>
      </c>
    </row>
    <row r="40" spans="1:1">
      <c r="A40" t="s">
        <v>628</v>
      </c>
    </row>
    <row r="41" spans="1:1">
      <c r="A41" t="s">
        <v>629</v>
      </c>
    </row>
    <row r="42" spans="1:1">
      <c r="A42" t="s">
        <v>630</v>
      </c>
    </row>
    <row r="43" spans="1:1">
      <c r="A43" t="s">
        <v>631</v>
      </c>
    </row>
    <row r="44" spans="1:1">
      <c r="A44" t="s">
        <v>632</v>
      </c>
    </row>
    <row r="45" spans="1:1">
      <c r="A45" t="s">
        <v>633</v>
      </c>
    </row>
    <row r="47" spans="1:1">
      <c r="A47" t="s">
        <v>634</v>
      </c>
    </row>
    <row r="48" spans="1:1">
      <c r="A48" t="s">
        <v>635</v>
      </c>
    </row>
    <row r="49" spans="1:1">
      <c r="A49" s="461" t="s">
        <v>636</v>
      </c>
    </row>
    <row r="50" spans="1:1">
      <c r="A50" s="461" t="s">
        <v>637</v>
      </c>
    </row>
    <row r="52" spans="1:1">
      <c r="A52" t="s">
        <v>490</v>
      </c>
    </row>
  </sheetData>
  <sheetProtection sheet="1"/>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dimension ref="A1:X354"/>
  <sheetViews>
    <sheetView workbookViewId="0">
      <selection activeCell="B19" sqref="B19"/>
    </sheetView>
  </sheetViews>
  <sheetFormatPr defaultColWidth="8.88671875" defaultRowHeight="14.25"/>
  <cols>
    <col min="1" max="1" width="7.5546875" style="489" customWidth="1"/>
    <col min="2" max="2" width="11.21875" style="490" customWidth="1"/>
    <col min="3" max="3" width="7.44140625" style="490" customWidth="1"/>
    <col min="4" max="4" width="8.88671875" style="490"/>
    <col min="5" max="5" width="1.5546875" style="490" customWidth="1"/>
    <col min="6" max="6" width="14.33203125" style="490" customWidth="1"/>
    <col min="7" max="7" width="2.5546875" style="490" customWidth="1"/>
    <col min="8" max="8" width="9.77734375" style="490" customWidth="1"/>
    <col min="9" max="9" width="2" style="490" customWidth="1"/>
    <col min="10" max="10" width="8.5546875" style="490" customWidth="1"/>
    <col min="11" max="11" width="11.6640625" style="490" customWidth="1"/>
    <col min="12" max="12" width="7.5546875" style="489" customWidth="1"/>
    <col min="13" max="14" width="8.88671875" style="489"/>
    <col min="15" max="15" width="9.88671875" style="489" bestFit="1" customWidth="1"/>
    <col min="16" max="16384" width="8.88671875" style="489"/>
  </cols>
  <sheetData>
    <row r="1" spans="1:12">
      <c r="A1" s="488"/>
      <c r="B1" s="488"/>
      <c r="C1" s="488"/>
      <c r="D1" s="488"/>
      <c r="E1" s="488"/>
      <c r="F1" s="488"/>
      <c r="G1" s="488"/>
      <c r="H1" s="488"/>
      <c r="I1" s="488"/>
      <c r="J1" s="488"/>
      <c r="K1" s="488"/>
      <c r="L1" s="488"/>
    </row>
    <row r="2" spans="1:12">
      <c r="A2" s="488"/>
      <c r="B2" s="488"/>
      <c r="C2" s="488"/>
      <c r="D2" s="488"/>
      <c r="E2" s="488"/>
      <c r="F2" s="488"/>
      <c r="G2" s="488"/>
      <c r="H2" s="488"/>
      <c r="I2" s="488"/>
      <c r="J2" s="488"/>
      <c r="K2" s="488"/>
      <c r="L2" s="488"/>
    </row>
    <row r="3" spans="1:12">
      <c r="A3" s="488"/>
      <c r="B3" s="488"/>
      <c r="C3" s="488"/>
      <c r="D3" s="488"/>
      <c r="E3" s="488"/>
      <c r="F3" s="488"/>
      <c r="G3" s="488"/>
      <c r="H3" s="488"/>
      <c r="I3" s="488"/>
      <c r="J3" s="488"/>
      <c r="K3" s="488"/>
      <c r="L3" s="488"/>
    </row>
    <row r="4" spans="1:12">
      <c r="A4" s="488"/>
      <c r="L4" s="488"/>
    </row>
    <row r="5" spans="1:12" ht="15" customHeight="1">
      <c r="A5" s="488"/>
      <c r="L5" s="488"/>
    </row>
    <row r="6" spans="1:12" ht="33" customHeight="1">
      <c r="A6" s="488"/>
      <c r="B6" s="970" t="s">
        <v>690</v>
      </c>
      <c r="C6" s="984"/>
      <c r="D6" s="984"/>
      <c r="E6" s="984"/>
      <c r="F6" s="984"/>
      <c r="G6" s="984"/>
      <c r="H6" s="984"/>
      <c r="I6" s="984"/>
      <c r="J6" s="984"/>
      <c r="K6" s="984"/>
      <c r="L6" s="491"/>
    </row>
    <row r="7" spans="1:12" ht="40.5" customHeight="1">
      <c r="A7" s="488"/>
      <c r="B7" s="996" t="s">
        <v>691</v>
      </c>
      <c r="C7" s="997"/>
      <c r="D7" s="997"/>
      <c r="E7" s="997"/>
      <c r="F7" s="997"/>
      <c r="G7" s="997"/>
      <c r="H7" s="997"/>
      <c r="I7" s="997"/>
      <c r="J7" s="997"/>
      <c r="K7" s="997"/>
      <c r="L7" s="488"/>
    </row>
    <row r="8" spans="1:12">
      <c r="A8" s="488"/>
      <c r="B8" s="989" t="s">
        <v>692</v>
      </c>
      <c r="C8" s="989"/>
      <c r="D8" s="989"/>
      <c r="E8" s="989"/>
      <c r="F8" s="989"/>
      <c r="G8" s="989"/>
      <c r="H8" s="989"/>
      <c r="I8" s="989"/>
      <c r="J8" s="989"/>
      <c r="K8" s="989"/>
      <c r="L8" s="488"/>
    </row>
    <row r="9" spans="1:12">
      <c r="A9" s="488"/>
      <c r="L9" s="488"/>
    </row>
    <row r="10" spans="1:12">
      <c r="A10" s="488"/>
      <c r="B10" s="989" t="s">
        <v>693</v>
      </c>
      <c r="C10" s="989"/>
      <c r="D10" s="989"/>
      <c r="E10" s="989"/>
      <c r="F10" s="989"/>
      <c r="G10" s="989"/>
      <c r="H10" s="989"/>
      <c r="I10" s="989"/>
      <c r="J10" s="989"/>
      <c r="K10" s="989"/>
      <c r="L10" s="488"/>
    </row>
    <row r="11" spans="1:12">
      <c r="A11" s="488"/>
      <c r="B11" s="623"/>
      <c r="C11" s="623"/>
      <c r="D11" s="623"/>
      <c r="E11" s="623"/>
      <c r="F11" s="623"/>
      <c r="G11" s="623"/>
      <c r="H11" s="623"/>
      <c r="I11" s="623"/>
      <c r="J11" s="623"/>
      <c r="K11" s="623"/>
      <c r="L11" s="488"/>
    </row>
    <row r="12" spans="1:12" ht="32.25" customHeight="1">
      <c r="A12" s="488"/>
      <c r="B12" s="971" t="s">
        <v>694</v>
      </c>
      <c r="C12" s="971"/>
      <c r="D12" s="971"/>
      <c r="E12" s="971"/>
      <c r="F12" s="971"/>
      <c r="G12" s="971"/>
      <c r="H12" s="971"/>
      <c r="I12" s="971"/>
      <c r="J12" s="971"/>
      <c r="K12" s="971"/>
      <c r="L12" s="488"/>
    </row>
    <row r="13" spans="1:12">
      <c r="A13" s="488"/>
      <c r="L13" s="488"/>
    </row>
    <row r="14" spans="1:12">
      <c r="A14" s="488"/>
      <c r="B14" s="492" t="s">
        <v>695</v>
      </c>
      <c r="L14" s="488"/>
    </row>
    <row r="15" spans="1:12">
      <c r="A15" s="488"/>
      <c r="L15" s="488"/>
    </row>
    <row r="16" spans="1:12">
      <c r="A16" s="488"/>
      <c r="B16" s="490" t="s">
        <v>696</v>
      </c>
      <c r="L16" s="488"/>
    </row>
    <row r="17" spans="1:12">
      <c r="A17" s="488"/>
      <c r="B17" s="490" t="s">
        <v>697</v>
      </c>
      <c r="L17" s="488"/>
    </row>
    <row r="18" spans="1:12">
      <c r="A18" s="488"/>
      <c r="L18" s="488"/>
    </row>
    <row r="19" spans="1:12">
      <c r="A19" s="488"/>
      <c r="B19" s="492" t="s">
        <v>832</v>
      </c>
      <c r="L19" s="488"/>
    </row>
    <row r="20" spans="1:12">
      <c r="A20" s="488"/>
      <c r="B20" s="492"/>
      <c r="L20" s="488"/>
    </row>
    <row r="21" spans="1:12">
      <c r="A21" s="488"/>
      <c r="B21" s="490" t="s">
        <v>833</v>
      </c>
      <c r="L21" s="488"/>
    </row>
    <row r="22" spans="1:12">
      <c r="A22" s="488"/>
      <c r="L22" s="488"/>
    </row>
    <row r="23" spans="1:12">
      <c r="A23" s="488"/>
      <c r="B23" s="490" t="s">
        <v>698</v>
      </c>
      <c r="E23" s="490" t="s">
        <v>699</v>
      </c>
      <c r="F23" s="973">
        <v>312000000</v>
      </c>
      <c r="G23" s="973"/>
      <c r="L23" s="488"/>
    </row>
    <row r="24" spans="1:12">
      <c r="A24" s="488"/>
      <c r="L24" s="488"/>
    </row>
    <row r="25" spans="1:12">
      <c r="A25" s="488"/>
      <c r="C25" s="988">
        <f>F23</f>
        <v>312000000</v>
      </c>
      <c r="D25" s="988"/>
      <c r="E25" s="490" t="s">
        <v>700</v>
      </c>
      <c r="F25" s="493">
        <v>1000</v>
      </c>
      <c r="G25" s="493" t="s">
        <v>699</v>
      </c>
      <c r="H25" s="624">
        <f>F23/F25</f>
        <v>312000</v>
      </c>
      <c r="L25" s="488"/>
    </row>
    <row r="26" spans="1:12" ht="15" thickBot="1">
      <c r="A26" s="488"/>
      <c r="L26" s="488"/>
    </row>
    <row r="27" spans="1:12">
      <c r="A27" s="488"/>
      <c r="B27" s="494" t="s">
        <v>695</v>
      </c>
      <c r="C27" s="495"/>
      <c r="D27" s="495"/>
      <c r="E27" s="495"/>
      <c r="F27" s="495"/>
      <c r="G27" s="495"/>
      <c r="H27" s="495"/>
      <c r="I27" s="495"/>
      <c r="J27" s="495"/>
      <c r="K27" s="496"/>
      <c r="L27" s="488"/>
    </row>
    <row r="28" spans="1:12">
      <c r="A28" s="488"/>
      <c r="B28" s="497">
        <f>F23</f>
        <v>312000000</v>
      </c>
      <c r="C28" s="498" t="s">
        <v>701</v>
      </c>
      <c r="D28" s="498"/>
      <c r="E28" s="498" t="s">
        <v>700</v>
      </c>
      <c r="F28" s="628">
        <v>1000</v>
      </c>
      <c r="G28" s="628" t="s">
        <v>699</v>
      </c>
      <c r="H28" s="499">
        <f>B28/F28</f>
        <v>312000</v>
      </c>
      <c r="I28" s="498" t="s">
        <v>702</v>
      </c>
      <c r="J28" s="498"/>
      <c r="K28" s="500"/>
      <c r="L28" s="488"/>
    </row>
    <row r="29" spans="1:12" ht="15" thickBot="1">
      <c r="A29" s="488"/>
      <c r="B29" s="501"/>
      <c r="C29" s="502"/>
      <c r="D29" s="502"/>
      <c r="E29" s="502"/>
      <c r="F29" s="502"/>
      <c r="G29" s="502"/>
      <c r="H29" s="502"/>
      <c r="I29" s="502"/>
      <c r="J29" s="502"/>
      <c r="K29" s="503"/>
      <c r="L29" s="488"/>
    </row>
    <row r="30" spans="1:12" ht="40.5" customHeight="1">
      <c r="A30" s="488"/>
      <c r="B30" s="981" t="s">
        <v>691</v>
      </c>
      <c r="C30" s="981"/>
      <c r="D30" s="981"/>
      <c r="E30" s="981"/>
      <c r="F30" s="981"/>
      <c r="G30" s="981"/>
      <c r="H30" s="981"/>
      <c r="I30" s="981"/>
      <c r="J30" s="981"/>
      <c r="K30" s="981"/>
      <c r="L30" s="488"/>
    </row>
    <row r="31" spans="1:12">
      <c r="A31" s="488"/>
      <c r="B31" s="989" t="s">
        <v>703</v>
      </c>
      <c r="C31" s="989"/>
      <c r="D31" s="989"/>
      <c r="E31" s="989"/>
      <c r="F31" s="989"/>
      <c r="G31" s="989"/>
      <c r="H31" s="989"/>
      <c r="I31" s="989"/>
      <c r="J31" s="989"/>
      <c r="K31" s="989"/>
      <c r="L31" s="488"/>
    </row>
    <row r="32" spans="1:12">
      <c r="A32" s="488"/>
      <c r="L32" s="488"/>
    </row>
    <row r="33" spans="1:12">
      <c r="A33" s="488"/>
      <c r="B33" s="989" t="s">
        <v>704</v>
      </c>
      <c r="C33" s="989"/>
      <c r="D33" s="989"/>
      <c r="E33" s="989"/>
      <c r="F33" s="989"/>
      <c r="G33" s="989"/>
      <c r="H33" s="989"/>
      <c r="I33" s="989"/>
      <c r="J33" s="989"/>
      <c r="K33" s="989"/>
      <c r="L33" s="488"/>
    </row>
    <row r="34" spans="1:12">
      <c r="A34" s="488"/>
      <c r="L34" s="488"/>
    </row>
    <row r="35" spans="1:12" ht="89.25" customHeight="1">
      <c r="A35" s="488"/>
      <c r="B35" s="971" t="s">
        <v>705</v>
      </c>
      <c r="C35" s="987"/>
      <c r="D35" s="987"/>
      <c r="E35" s="987"/>
      <c r="F35" s="987"/>
      <c r="G35" s="987"/>
      <c r="H35" s="987"/>
      <c r="I35" s="987"/>
      <c r="J35" s="987"/>
      <c r="K35" s="987"/>
      <c r="L35" s="488"/>
    </row>
    <row r="36" spans="1:12">
      <c r="A36" s="488"/>
      <c r="L36" s="488"/>
    </row>
    <row r="37" spans="1:12">
      <c r="A37" s="488"/>
      <c r="B37" s="492" t="s">
        <v>706</v>
      </c>
      <c r="L37" s="488"/>
    </row>
    <row r="38" spans="1:12">
      <c r="A38" s="488"/>
      <c r="L38" s="488"/>
    </row>
    <row r="39" spans="1:12">
      <c r="A39" s="488"/>
      <c r="B39" s="490" t="s">
        <v>707</v>
      </c>
      <c r="L39" s="488"/>
    </row>
    <row r="40" spans="1:12">
      <c r="A40" s="488"/>
      <c r="L40" s="488"/>
    </row>
    <row r="41" spans="1:12">
      <c r="A41" s="488"/>
      <c r="C41" s="990">
        <v>312000000</v>
      </c>
      <c r="D41" s="990"/>
      <c r="E41" s="490" t="s">
        <v>700</v>
      </c>
      <c r="F41" s="493">
        <v>1000</v>
      </c>
      <c r="G41" s="493" t="s">
        <v>699</v>
      </c>
      <c r="H41" s="504">
        <f>C41/F41</f>
        <v>312000</v>
      </c>
      <c r="L41" s="488"/>
    </row>
    <row r="42" spans="1:12">
      <c r="A42" s="488"/>
      <c r="L42" s="488"/>
    </row>
    <row r="43" spans="1:12">
      <c r="A43" s="488"/>
      <c r="B43" s="490" t="s">
        <v>708</v>
      </c>
      <c r="L43" s="488"/>
    </row>
    <row r="44" spans="1:12">
      <c r="A44" s="488"/>
      <c r="L44" s="488"/>
    </row>
    <row r="45" spans="1:12">
      <c r="A45" s="488"/>
      <c r="B45" s="490" t="s">
        <v>709</v>
      </c>
      <c r="L45" s="488"/>
    </row>
    <row r="46" spans="1:12" ht="15" thickBot="1">
      <c r="A46" s="488"/>
      <c r="L46" s="488"/>
    </row>
    <row r="47" spans="1:12">
      <c r="A47" s="488"/>
      <c r="B47" s="505" t="s">
        <v>695</v>
      </c>
      <c r="C47" s="495"/>
      <c r="D47" s="495"/>
      <c r="E47" s="495"/>
      <c r="F47" s="495"/>
      <c r="G47" s="495"/>
      <c r="H47" s="495"/>
      <c r="I47" s="495"/>
      <c r="J47" s="495"/>
      <c r="K47" s="496"/>
      <c r="L47" s="488"/>
    </row>
    <row r="48" spans="1:12">
      <c r="A48" s="488"/>
      <c r="B48" s="991">
        <v>312000000</v>
      </c>
      <c r="C48" s="973"/>
      <c r="D48" s="498" t="s">
        <v>710</v>
      </c>
      <c r="E48" s="498" t="s">
        <v>700</v>
      </c>
      <c r="F48" s="628">
        <v>1000</v>
      </c>
      <c r="G48" s="628" t="s">
        <v>699</v>
      </c>
      <c r="H48" s="499">
        <f>B48/F48</f>
        <v>312000</v>
      </c>
      <c r="I48" s="498" t="s">
        <v>711</v>
      </c>
      <c r="J48" s="498"/>
      <c r="K48" s="500"/>
      <c r="L48" s="488"/>
    </row>
    <row r="49" spans="1:24">
      <c r="A49" s="488"/>
      <c r="B49" s="506"/>
      <c r="C49" s="498"/>
      <c r="D49" s="498"/>
      <c r="E49" s="498"/>
      <c r="F49" s="498"/>
      <c r="G49" s="498"/>
      <c r="H49" s="498"/>
      <c r="I49" s="498"/>
      <c r="J49" s="498"/>
      <c r="K49" s="500"/>
      <c r="L49" s="488"/>
    </row>
    <row r="50" spans="1:24">
      <c r="A50" s="488"/>
      <c r="B50" s="507">
        <v>50000</v>
      </c>
      <c r="C50" s="498" t="s">
        <v>712</v>
      </c>
      <c r="D50" s="498"/>
      <c r="E50" s="498" t="s">
        <v>700</v>
      </c>
      <c r="F50" s="499">
        <f>H48</f>
        <v>312000</v>
      </c>
      <c r="G50" s="992" t="s">
        <v>713</v>
      </c>
      <c r="H50" s="993"/>
      <c r="I50" s="628" t="s">
        <v>699</v>
      </c>
      <c r="J50" s="508">
        <f>B50/F50</f>
        <v>0.16025641025641027</v>
      </c>
      <c r="K50" s="500"/>
      <c r="L50" s="488"/>
    </row>
    <row r="51" spans="1:24" ht="15" thickBot="1">
      <c r="A51" s="488"/>
      <c r="B51" s="501"/>
      <c r="C51" s="502"/>
      <c r="D51" s="502"/>
      <c r="E51" s="502"/>
      <c r="F51" s="502"/>
      <c r="G51" s="502"/>
      <c r="H51" s="502"/>
      <c r="I51" s="994" t="s">
        <v>714</v>
      </c>
      <c r="J51" s="994"/>
      <c r="K51" s="995"/>
      <c r="L51" s="488"/>
      <c r="O51" s="631"/>
    </row>
    <row r="52" spans="1:24" ht="40.5" customHeight="1">
      <c r="A52" s="488"/>
      <c r="B52" s="981" t="s">
        <v>691</v>
      </c>
      <c r="C52" s="981"/>
      <c r="D52" s="981"/>
      <c r="E52" s="981"/>
      <c r="F52" s="981"/>
      <c r="G52" s="981"/>
      <c r="H52" s="981"/>
      <c r="I52" s="981"/>
      <c r="J52" s="981"/>
      <c r="K52" s="981"/>
      <c r="L52" s="488"/>
    </row>
    <row r="53" spans="1:24">
      <c r="A53" s="488"/>
      <c r="B53" s="989" t="s">
        <v>715</v>
      </c>
      <c r="C53" s="989"/>
      <c r="D53" s="989"/>
      <c r="E53" s="989"/>
      <c r="F53" s="989"/>
      <c r="G53" s="989"/>
      <c r="H53" s="989"/>
      <c r="I53" s="989"/>
      <c r="J53" s="989"/>
      <c r="K53" s="989"/>
      <c r="L53" s="488"/>
    </row>
    <row r="54" spans="1:24">
      <c r="A54" s="488"/>
      <c r="B54" s="623"/>
      <c r="C54" s="623"/>
      <c r="D54" s="623"/>
      <c r="E54" s="623"/>
      <c r="F54" s="623"/>
      <c r="G54" s="623"/>
      <c r="H54" s="623"/>
      <c r="I54" s="623"/>
      <c r="J54" s="623"/>
      <c r="K54" s="623"/>
      <c r="L54" s="488"/>
    </row>
    <row r="55" spans="1:24">
      <c r="A55" s="488"/>
      <c r="B55" s="970" t="s">
        <v>716</v>
      </c>
      <c r="C55" s="970"/>
      <c r="D55" s="970"/>
      <c r="E55" s="970"/>
      <c r="F55" s="970"/>
      <c r="G55" s="970"/>
      <c r="H55" s="970"/>
      <c r="I55" s="970"/>
      <c r="J55" s="970"/>
      <c r="K55" s="970"/>
      <c r="L55" s="488"/>
    </row>
    <row r="56" spans="1:24" ht="15" customHeight="1">
      <c r="A56" s="488"/>
      <c r="L56" s="488"/>
    </row>
    <row r="57" spans="1:24" ht="74.25" customHeight="1">
      <c r="A57" s="488"/>
      <c r="B57" s="971" t="s">
        <v>717</v>
      </c>
      <c r="C57" s="987"/>
      <c r="D57" s="987"/>
      <c r="E57" s="987"/>
      <c r="F57" s="987"/>
      <c r="G57" s="987"/>
      <c r="H57" s="987"/>
      <c r="I57" s="987"/>
      <c r="J57" s="987"/>
      <c r="K57" s="987"/>
      <c r="L57" s="488"/>
      <c r="M57" s="509"/>
      <c r="N57" s="510"/>
      <c r="O57" s="510"/>
      <c r="P57" s="510"/>
      <c r="Q57" s="510"/>
      <c r="R57" s="510"/>
      <c r="S57" s="510"/>
      <c r="T57" s="510"/>
      <c r="U57" s="510"/>
      <c r="V57" s="510"/>
      <c r="W57" s="510"/>
      <c r="X57" s="510"/>
    </row>
    <row r="58" spans="1:24" ht="15" customHeight="1">
      <c r="A58" s="488"/>
      <c r="B58" s="971"/>
      <c r="C58" s="987"/>
      <c r="D58" s="987"/>
      <c r="E58" s="987"/>
      <c r="F58" s="987"/>
      <c r="G58" s="987"/>
      <c r="H58" s="987"/>
      <c r="I58" s="987"/>
      <c r="J58" s="987"/>
      <c r="K58" s="987"/>
      <c r="L58" s="488"/>
      <c r="M58" s="509"/>
      <c r="N58" s="510"/>
      <c r="O58" s="510"/>
      <c r="P58" s="510"/>
      <c r="Q58" s="510"/>
      <c r="R58" s="510"/>
      <c r="S58" s="510"/>
      <c r="T58" s="510"/>
      <c r="U58" s="510"/>
      <c r="V58" s="510"/>
      <c r="W58" s="510"/>
      <c r="X58" s="510"/>
    </row>
    <row r="59" spans="1:24">
      <c r="A59" s="488"/>
      <c r="B59" s="492" t="s">
        <v>706</v>
      </c>
      <c r="L59" s="488"/>
      <c r="M59" s="510"/>
      <c r="N59" s="510"/>
      <c r="O59" s="510"/>
      <c r="P59" s="510"/>
      <c r="Q59" s="510"/>
      <c r="R59" s="510"/>
      <c r="S59" s="510"/>
      <c r="T59" s="510"/>
      <c r="U59" s="510"/>
      <c r="V59" s="510"/>
      <c r="W59" s="510"/>
      <c r="X59" s="510"/>
    </row>
    <row r="60" spans="1:24">
      <c r="A60" s="488"/>
      <c r="L60" s="488"/>
      <c r="M60" s="510"/>
      <c r="N60" s="510"/>
      <c r="O60" s="510"/>
      <c r="P60" s="510"/>
      <c r="Q60" s="510"/>
      <c r="R60" s="510"/>
      <c r="S60" s="510"/>
      <c r="T60" s="510"/>
      <c r="U60" s="510"/>
      <c r="V60" s="510"/>
      <c r="W60" s="510"/>
      <c r="X60" s="510"/>
    </row>
    <row r="61" spans="1:24">
      <c r="A61" s="488"/>
      <c r="B61" s="490" t="s">
        <v>718</v>
      </c>
      <c r="L61" s="488"/>
      <c r="M61" s="510"/>
      <c r="N61" s="510"/>
      <c r="O61" s="510"/>
      <c r="P61" s="510"/>
      <c r="Q61" s="510"/>
      <c r="R61" s="510"/>
      <c r="S61" s="510"/>
      <c r="T61" s="510"/>
      <c r="U61" s="510"/>
      <c r="V61" s="510"/>
      <c r="W61" s="510"/>
      <c r="X61" s="510"/>
    </row>
    <row r="62" spans="1:24">
      <c r="A62" s="488"/>
      <c r="B62" s="490" t="s">
        <v>834</v>
      </c>
      <c r="L62" s="488"/>
      <c r="M62" s="510"/>
      <c r="N62" s="510"/>
      <c r="O62" s="510"/>
      <c r="P62" s="510"/>
      <c r="Q62" s="510"/>
      <c r="R62" s="510"/>
      <c r="S62" s="510"/>
      <c r="T62" s="510"/>
      <c r="U62" s="510"/>
      <c r="V62" s="510"/>
      <c r="W62" s="510"/>
      <c r="X62" s="510"/>
    </row>
    <row r="63" spans="1:24">
      <c r="A63" s="488"/>
      <c r="B63" s="490" t="s">
        <v>835</v>
      </c>
      <c r="L63" s="488"/>
      <c r="M63" s="510"/>
      <c r="N63" s="510"/>
      <c r="O63" s="510"/>
      <c r="P63" s="510"/>
      <c r="Q63" s="510"/>
      <c r="R63" s="510"/>
      <c r="S63" s="510"/>
      <c r="T63" s="510"/>
      <c r="U63" s="510"/>
      <c r="V63" s="510"/>
      <c r="W63" s="510"/>
      <c r="X63" s="510"/>
    </row>
    <row r="64" spans="1:24">
      <c r="A64" s="488"/>
      <c r="L64" s="488"/>
      <c r="M64" s="510"/>
      <c r="N64" s="510"/>
      <c r="O64" s="510"/>
      <c r="P64" s="510"/>
      <c r="Q64" s="510"/>
      <c r="R64" s="510"/>
      <c r="S64" s="510"/>
      <c r="T64" s="510"/>
      <c r="U64" s="510"/>
      <c r="V64" s="510"/>
      <c r="W64" s="510"/>
      <c r="X64" s="510"/>
    </row>
    <row r="65" spans="1:24">
      <c r="A65" s="488"/>
      <c r="B65" s="490" t="s">
        <v>719</v>
      </c>
      <c r="L65" s="488"/>
      <c r="M65" s="510"/>
      <c r="N65" s="510"/>
      <c r="O65" s="510"/>
      <c r="P65" s="510"/>
      <c r="Q65" s="510"/>
      <c r="R65" s="510"/>
      <c r="S65" s="510"/>
      <c r="T65" s="510"/>
      <c r="U65" s="510"/>
      <c r="V65" s="510"/>
      <c r="W65" s="510"/>
      <c r="X65" s="510"/>
    </row>
    <row r="66" spans="1:24">
      <c r="A66" s="488"/>
      <c r="B66" s="490" t="s">
        <v>720</v>
      </c>
      <c r="L66" s="488"/>
      <c r="M66" s="510"/>
      <c r="N66" s="510"/>
      <c r="O66" s="510"/>
      <c r="P66" s="510"/>
      <c r="Q66" s="510"/>
      <c r="R66" s="510"/>
      <c r="S66" s="510"/>
      <c r="T66" s="510"/>
      <c r="U66" s="510"/>
      <c r="V66" s="510"/>
      <c r="W66" s="510"/>
      <c r="X66" s="510"/>
    </row>
    <row r="67" spans="1:24">
      <c r="A67" s="488"/>
      <c r="L67" s="488"/>
      <c r="M67" s="510"/>
      <c r="N67" s="510"/>
      <c r="O67" s="510"/>
      <c r="P67" s="510"/>
      <c r="Q67" s="510"/>
      <c r="R67" s="510"/>
      <c r="S67" s="510"/>
      <c r="T67" s="510"/>
      <c r="U67" s="510"/>
      <c r="V67" s="510"/>
      <c r="W67" s="510"/>
      <c r="X67" s="510"/>
    </row>
    <row r="68" spans="1:24">
      <c r="A68" s="488"/>
      <c r="B68" s="490" t="s">
        <v>721</v>
      </c>
      <c r="L68" s="488"/>
      <c r="M68" s="511"/>
      <c r="N68" s="512"/>
      <c r="O68" s="512"/>
      <c r="P68" s="512"/>
      <c r="Q68" s="512"/>
      <c r="R68" s="512"/>
      <c r="S68" s="512"/>
      <c r="T68" s="512"/>
      <c r="U68" s="512"/>
      <c r="V68" s="512"/>
      <c r="W68" s="512"/>
      <c r="X68" s="510"/>
    </row>
    <row r="69" spans="1:24">
      <c r="A69" s="488"/>
      <c r="B69" s="490" t="s">
        <v>836</v>
      </c>
      <c r="L69" s="488"/>
      <c r="M69" s="510"/>
      <c r="N69" s="510"/>
      <c r="O69" s="510"/>
      <c r="P69" s="510"/>
      <c r="Q69" s="510"/>
      <c r="R69" s="510"/>
      <c r="S69" s="510"/>
      <c r="T69" s="510"/>
      <c r="U69" s="510"/>
      <c r="V69" s="510"/>
      <c r="W69" s="510"/>
      <c r="X69" s="510"/>
    </row>
    <row r="70" spans="1:24">
      <c r="A70" s="488"/>
      <c r="B70" s="490" t="s">
        <v>837</v>
      </c>
      <c r="L70" s="488"/>
      <c r="M70" s="510"/>
      <c r="N70" s="510"/>
      <c r="O70" s="510"/>
      <c r="P70" s="510"/>
      <c r="Q70" s="510"/>
      <c r="R70" s="510"/>
      <c r="S70" s="510"/>
      <c r="T70" s="510"/>
      <c r="U70" s="510"/>
      <c r="V70" s="510"/>
      <c r="W70" s="510"/>
      <c r="X70" s="510"/>
    </row>
    <row r="71" spans="1:24" ht="15" thickBot="1">
      <c r="A71" s="488"/>
      <c r="B71" s="498"/>
      <c r="C71" s="498"/>
      <c r="D71" s="498"/>
      <c r="E71" s="498"/>
      <c r="F71" s="498"/>
      <c r="G71" s="498"/>
      <c r="H71" s="498"/>
      <c r="I71" s="498"/>
      <c r="J71" s="498"/>
      <c r="K71" s="498"/>
      <c r="L71" s="488"/>
    </row>
    <row r="72" spans="1:24">
      <c r="A72" s="488"/>
      <c r="B72" s="494" t="s">
        <v>695</v>
      </c>
      <c r="C72" s="495"/>
      <c r="D72" s="495"/>
      <c r="E72" s="495"/>
      <c r="F72" s="495"/>
      <c r="G72" s="495"/>
      <c r="H72" s="495"/>
      <c r="I72" s="495"/>
      <c r="J72" s="495"/>
      <c r="K72" s="496"/>
      <c r="L72" s="513"/>
    </row>
    <row r="73" spans="1:24">
      <c r="A73" s="488"/>
      <c r="B73" s="506"/>
      <c r="C73" s="498" t="s">
        <v>701</v>
      </c>
      <c r="D73" s="498"/>
      <c r="E73" s="498"/>
      <c r="F73" s="498"/>
      <c r="G73" s="498"/>
      <c r="H73" s="498"/>
      <c r="I73" s="498"/>
      <c r="J73" s="498"/>
      <c r="K73" s="500"/>
      <c r="L73" s="513"/>
    </row>
    <row r="74" spans="1:24">
      <c r="A74" s="488"/>
      <c r="B74" s="506" t="s">
        <v>722</v>
      </c>
      <c r="C74" s="973">
        <v>312000000</v>
      </c>
      <c r="D74" s="973"/>
      <c r="E74" s="628" t="s">
        <v>700</v>
      </c>
      <c r="F74" s="628">
        <v>1000</v>
      </c>
      <c r="G74" s="628" t="s">
        <v>699</v>
      </c>
      <c r="H74" s="629">
        <f>C74/F74</f>
        <v>312000</v>
      </c>
      <c r="I74" s="498" t="s">
        <v>723</v>
      </c>
      <c r="J74" s="498"/>
      <c r="K74" s="500"/>
      <c r="L74" s="513"/>
    </row>
    <row r="75" spans="1:24">
      <c r="A75" s="488"/>
      <c r="B75" s="506"/>
      <c r="C75" s="498"/>
      <c r="D75" s="498"/>
      <c r="E75" s="628"/>
      <c r="F75" s="498"/>
      <c r="G75" s="498"/>
      <c r="H75" s="498"/>
      <c r="I75" s="498"/>
      <c r="J75" s="498"/>
      <c r="K75" s="500"/>
      <c r="L75" s="513"/>
    </row>
    <row r="76" spans="1:24">
      <c r="A76" s="488"/>
      <c r="B76" s="506"/>
      <c r="C76" s="498" t="s">
        <v>724</v>
      </c>
      <c r="D76" s="498"/>
      <c r="E76" s="628"/>
      <c r="F76" s="498" t="s">
        <v>723</v>
      </c>
      <c r="G76" s="498"/>
      <c r="H76" s="498"/>
      <c r="I76" s="498"/>
      <c r="J76" s="498"/>
      <c r="K76" s="500"/>
      <c r="L76" s="513"/>
    </row>
    <row r="77" spans="1:24">
      <c r="A77" s="488"/>
      <c r="B77" s="506" t="s">
        <v>727</v>
      </c>
      <c r="C77" s="973">
        <v>50000</v>
      </c>
      <c r="D77" s="973"/>
      <c r="E77" s="628" t="s">
        <v>700</v>
      </c>
      <c r="F77" s="629">
        <f>H74</f>
        <v>312000</v>
      </c>
      <c r="G77" s="628" t="s">
        <v>699</v>
      </c>
      <c r="H77" s="508">
        <f>C77/F77</f>
        <v>0.16025641025641027</v>
      </c>
      <c r="I77" s="498" t="s">
        <v>725</v>
      </c>
      <c r="J77" s="498"/>
      <c r="K77" s="500"/>
      <c r="L77" s="513"/>
    </row>
    <row r="78" spans="1:24">
      <c r="A78" s="488"/>
      <c r="B78" s="506"/>
      <c r="C78" s="498"/>
      <c r="D78" s="498"/>
      <c r="E78" s="628"/>
      <c r="F78" s="498"/>
      <c r="G78" s="498"/>
      <c r="H78" s="498"/>
      <c r="I78" s="498"/>
      <c r="J78" s="498"/>
      <c r="K78" s="500"/>
      <c r="L78" s="513"/>
    </row>
    <row r="79" spans="1:24">
      <c r="A79" s="488"/>
      <c r="B79" s="514"/>
      <c r="C79" s="515" t="s">
        <v>726</v>
      </c>
      <c r="D79" s="515"/>
      <c r="E79" s="630"/>
      <c r="F79" s="515"/>
      <c r="G79" s="515"/>
      <c r="H79" s="515"/>
      <c r="I79" s="515"/>
      <c r="J79" s="515"/>
      <c r="K79" s="516"/>
      <c r="L79" s="513"/>
    </row>
    <row r="80" spans="1:24">
      <c r="A80" s="488"/>
      <c r="B80" s="506" t="s">
        <v>838</v>
      </c>
      <c r="C80" s="973">
        <v>100000</v>
      </c>
      <c r="D80" s="973"/>
      <c r="E80" s="628" t="s">
        <v>94</v>
      </c>
      <c r="F80" s="628">
        <v>0.115</v>
      </c>
      <c r="G80" s="628" t="s">
        <v>699</v>
      </c>
      <c r="H80" s="629">
        <f>C80*F80</f>
        <v>11500</v>
      </c>
      <c r="I80" s="498" t="s">
        <v>728</v>
      </c>
      <c r="J80" s="498"/>
      <c r="K80" s="500"/>
      <c r="L80" s="513"/>
    </row>
    <row r="81" spans="1:12">
      <c r="A81" s="488"/>
      <c r="B81" s="506"/>
      <c r="C81" s="498"/>
      <c r="D81" s="498"/>
      <c r="E81" s="628"/>
      <c r="F81" s="498"/>
      <c r="G81" s="498"/>
      <c r="H81" s="498"/>
      <c r="I81" s="498"/>
      <c r="J81" s="498"/>
      <c r="K81" s="500"/>
      <c r="L81" s="513"/>
    </row>
    <row r="82" spans="1:12">
      <c r="A82" s="488"/>
      <c r="B82" s="514"/>
      <c r="C82" s="515" t="s">
        <v>729</v>
      </c>
      <c r="D82" s="515"/>
      <c r="E82" s="630"/>
      <c r="F82" s="515" t="s">
        <v>725</v>
      </c>
      <c r="G82" s="515"/>
      <c r="H82" s="515"/>
      <c r="I82" s="515"/>
      <c r="J82" s="515" t="s">
        <v>730</v>
      </c>
      <c r="K82" s="516"/>
      <c r="L82" s="513"/>
    </row>
    <row r="83" spans="1:12">
      <c r="A83" s="488"/>
      <c r="B83" s="506" t="s">
        <v>839</v>
      </c>
      <c r="C83" s="980">
        <f>H80</f>
        <v>11500</v>
      </c>
      <c r="D83" s="980"/>
      <c r="E83" s="628" t="s">
        <v>94</v>
      </c>
      <c r="F83" s="508">
        <f>H77</f>
        <v>0.16025641025641027</v>
      </c>
      <c r="G83" s="628" t="s">
        <v>700</v>
      </c>
      <c r="H83" s="628">
        <v>1000</v>
      </c>
      <c r="I83" s="628" t="s">
        <v>699</v>
      </c>
      <c r="J83" s="517">
        <f>C83*F83/H83</f>
        <v>1.8429487179487181</v>
      </c>
      <c r="K83" s="500"/>
      <c r="L83" s="513"/>
    </row>
    <row r="84" spans="1:12" ht="15" thickBot="1">
      <c r="A84" s="488"/>
      <c r="B84" s="501"/>
      <c r="C84" s="518"/>
      <c r="D84" s="518"/>
      <c r="E84" s="519"/>
      <c r="F84" s="520"/>
      <c r="G84" s="519"/>
      <c r="H84" s="519"/>
      <c r="I84" s="519"/>
      <c r="J84" s="521"/>
      <c r="K84" s="503"/>
      <c r="L84" s="513"/>
    </row>
    <row r="85" spans="1:12" ht="40.5" customHeight="1">
      <c r="A85" s="488"/>
      <c r="B85" s="981" t="s">
        <v>691</v>
      </c>
      <c r="C85" s="981"/>
      <c r="D85" s="981"/>
      <c r="E85" s="981"/>
      <c r="F85" s="981"/>
      <c r="G85" s="981"/>
      <c r="H85" s="981"/>
      <c r="I85" s="981"/>
      <c r="J85" s="981"/>
      <c r="K85" s="981"/>
      <c r="L85" s="488"/>
    </row>
    <row r="86" spans="1:12">
      <c r="A86" s="488"/>
      <c r="B86" s="970" t="s">
        <v>731</v>
      </c>
      <c r="C86" s="970"/>
      <c r="D86" s="970"/>
      <c r="E86" s="970"/>
      <c r="F86" s="970"/>
      <c r="G86" s="970"/>
      <c r="H86" s="970"/>
      <c r="I86" s="970"/>
      <c r="J86" s="970"/>
      <c r="K86" s="970"/>
      <c r="L86" s="488"/>
    </row>
    <row r="87" spans="1:12">
      <c r="A87" s="488"/>
      <c r="B87" s="522"/>
      <c r="C87" s="522"/>
      <c r="D87" s="522"/>
      <c r="E87" s="522"/>
      <c r="F87" s="522"/>
      <c r="G87" s="522"/>
      <c r="H87" s="522"/>
      <c r="I87" s="522"/>
      <c r="J87" s="522"/>
      <c r="K87" s="522"/>
      <c r="L87" s="488"/>
    </row>
    <row r="88" spans="1:12">
      <c r="A88" s="488"/>
      <c r="B88" s="970" t="s">
        <v>732</v>
      </c>
      <c r="C88" s="970"/>
      <c r="D88" s="970"/>
      <c r="E88" s="970"/>
      <c r="F88" s="970"/>
      <c r="G88" s="970"/>
      <c r="H88" s="970"/>
      <c r="I88" s="970"/>
      <c r="J88" s="970"/>
      <c r="K88" s="970"/>
      <c r="L88" s="488"/>
    </row>
    <row r="89" spans="1:12">
      <c r="A89" s="488"/>
      <c r="B89" s="622"/>
      <c r="C89" s="622"/>
      <c r="D89" s="622"/>
      <c r="E89" s="622"/>
      <c r="F89" s="622"/>
      <c r="G89" s="622"/>
      <c r="H89" s="622"/>
      <c r="I89" s="622"/>
      <c r="J89" s="622"/>
      <c r="K89" s="622"/>
      <c r="L89" s="488"/>
    </row>
    <row r="90" spans="1:12" ht="45" customHeight="1">
      <c r="A90" s="488"/>
      <c r="B90" s="971" t="s">
        <v>733</v>
      </c>
      <c r="C90" s="971"/>
      <c r="D90" s="971"/>
      <c r="E90" s="971"/>
      <c r="F90" s="971"/>
      <c r="G90" s="971"/>
      <c r="H90" s="971"/>
      <c r="I90" s="971"/>
      <c r="J90" s="971"/>
      <c r="K90" s="971"/>
      <c r="L90" s="488"/>
    </row>
    <row r="91" spans="1:12" ht="15" customHeight="1" thickBot="1">
      <c r="A91" s="488"/>
      <c r="L91" s="488"/>
    </row>
    <row r="92" spans="1:12" ht="15" customHeight="1">
      <c r="A92" s="488"/>
      <c r="B92" s="523" t="s">
        <v>695</v>
      </c>
      <c r="C92" s="524"/>
      <c r="D92" s="524"/>
      <c r="E92" s="524"/>
      <c r="F92" s="524"/>
      <c r="G92" s="524"/>
      <c r="H92" s="524"/>
      <c r="I92" s="524"/>
      <c r="J92" s="524"/>
      <c r="K92" s="525"/>
      <c r="L92" s="488"/>
    </row>
    <row r="93" spans="1:12" ht="15" customHeight="1">
      <c r="A93" s="488"/>
      <c r="B93" s="526"/>
      <c r="C93" s="626" t="s">
        <v>701</v>
      </c>
      <c r="D93" s="626"/>
      <c r="E93" s="626"/>
      <c r="F93" s="626"/>
      <c r="G93" s="626"/>
      <c r="H93" s="626"/>
      <c r="I93" s="626"/>
      <c r="J93" s="626"/>
      <c r="K93" s="527"/>
      <c r="L93" s="488"/>
    </row>
    <row r="94" spans="1:12" ht="15" customHeight="1">
      <c r="A94" s="488"/>
      <c r="B94" s="526" t="s">
        <v>722</v>
      </c>
      <c r="C94" s="973">
        <v>312000000</v>
      </c>
      <c r="D94" s="973"/>
      <c r="E94" s="628" t="s">
        <v>700</v>
      </c>
      <c r="F94" s="628">
        <v>1000</v>
      </c>
      <c r="G94" s="628" t="s">
        <v>699</v>
      </c>
      <c r="H94" s="629">
        <f>C94/F94</f>
        <v>312000</v>
      </c>
      <c r="I94" s="626" t="s">
        <v>723</v>
      </c>
      <c r="J94" s="626"/>
      <c r="K94" s="527"/>
      <c r="L94" s="488"/>
    </row>
    <row r="95" spans="1:12" ht="15" customHeight="1">
      <c r="A95" s="488"/>
      <c r="B95" s="526"/>
      <c r="C95" s="626"/>
      <c r="D95" s="626"/>
      <c r="E95" s="628"/>
      <c r="F95" s="626"/>
      <c r="G95" s="626"/>
      <c r="H95" s="626"/>
      <c r="I95" s="626"/>
      <c r="J95" s="626"/>
      <c r="K95" s="527"/>
      <c r="L95" s="488"/>
    </row>
    <row r="96" spans="1:12" ht="15" customHeight="1">
      <c r="A96" s="488"/>
      <c r="B96" s="526"/>
      <c r="C96" s="626" t="s">
        <v>724</v>
      </c>
      <c r="D96" s="626"/>
      <c r="E96" s="628"/>
      <c r="F96" s="626" t="s">
        <v>723</v>
      </c>
      <c r="G96" s="626"/>
      <c r="H96" s="626"/>
      <c r="I96" s="626"/>
      <c r="J96" s="626"/>
      <c r="K96" s="527"/>
      <c r="L96" s="488"/>
    </row>
    <row r="97" spans="1:12" ht="15" customHeight="1">
      <c r="A97" s="488"/>
      <c r="B97" s="526" t="s">
        <v>727</v>
      </c>
      <c r="C97" s="973">
        <v>50000</v>
      </c>
      <c r="D97" s="973"/>
      <c r="E97" s="628" t="s">
        <v>700</v>
      </c>
      <c r="F97" s="629">
        <f>H94</f>
        <v>312000</v>
      </c>
      <c r="G97" s="628" t="s">
        <v>699</v>
      </c>
      <c r="H97" s="508">
        <f>C97/F97</f>
        <v>0.16025641025641027</v>
      </c>
      <c r="I97" s="626" t="s">
        <v>725</v>
      </c>
      <c r="J97" s="626"/>
      <c r="K97" s="527"/>
      <c r="L97" s="488"/>
    </row>
    <row r="98" spans="1:12" ht="15" customHeight="1">
      <c r="A98" s="488"/>
      <c r="B98" s="526"/>
      <c r="C98" s="626"/>
      <c r="D98" s="626"/>
      <c r="E98" s="628"/>
      <c r="F98" s="626"/>
      <c r="G98" s="626"/>
      <c r="H98" s="626"/>
      <c r="I98" s="626"/>
      <c r="J98" s="626"/>
      <c r="K98" s="527"/>
      <c r="L98" s="488"/>
    </row>
    <row r="99" spans="1:12" ht="15" customHeight="1">
      <c r="A99" s="488"/>
      <c r="B99" s="528"/>
      <c r="C99" s="529" t="s">
        <v>734</v>
      </c>
      <c r="D99" s="529"/>
      <c r="E99" s="630"/>
      <c r="F99" s="529"/>
      <c r="G99" s="529"/>
      <c r="H99" s="529"/>
      <c r="I99" s="529"/>
      <c r="J99" s="529"/>
      <c r="K99" s="530"/>
      <c r="L99" s="488"/>
    </row>
    <row r="100" spans="1:12" ht="15" customHeight="1">
      <c r="A100" s="488"/>
      <c r="B100" s="526" t="s">
        <v>838</v>
      </c>
      <c r="C100" s="973">
        <v>2500000</v>
      </c>
      <c r="D100" s="973"/>
      <c r="E100" s="628" t="s">
        <v>94</v>
      </c>
      <c r="F100" s="531">
        <v>0.3</v>
      </c>
      <c r="G100" s="628" t="s">
        <v>699</v>
      </c>
      <c r="H100" s="629">
        <f>C100*F100</f>
        <v>750000</v>
      </c>
      <c r="I100" s="626" t="s">
        <v>728</v>
      </c>
      <c r="J100" s="626"/>
      <c r="K100" s="527"/>
      <c r="L100" s="488"/>
    </row>
    <row r="101" spans="1:12" ht="15" customHeight="1">
      <c r="A101" s="488"/>
      <c r="B101" s="526"/>
      <c r="C101" s="626"/>
      <c r="D101" s="626"/>
      <c r="E101" s="628"/>
      <c r="F101" s="626"/>
      <c r="G101" s="626"/>
      <c r="H101" s="626"/>
      <c r="I101" s="626"/>
      <c r="J101" s="626"/>
      <c r="K101" s="527"/>
      <c r="L101" s="488"/>
    </row>
    <row r="102" spans="1:12" ht="15" customHeight="1">
      <c r="A102" s="488"/>
      <c r="B102" s="528"/>
      <c r="C102" s="529" t="s">
        <v>729</v>
      </c>
      <c r="D102" s="529"/>
      <c r="E102" s="630"/>
      <c r="F102" s="529" t="s">
        <v>725</v>
      </c>
      <c r="G102" s="529"/>
      <c r="H102" s="529"/>
      <c r="I102" s="529"/>
      <c r="J102" s="529" t="s">
        <v>730</v>
      </c>
      <c r="K102" s="530"/>
      <c r="L102" s="488"/>
    </row>
    <row r="103" spans="1:12" ht="15" customHeight="1">
      <c r="A103" s="488"/>
      <c r="B103" s="526" t="s">
        <v>839</v>
      </c>
      <c r="C103" s="980">
        <f>H100</f>
        <v>750000</v>
      </c>
      <c r="D103" s="980"/>
      <c r="E103" s="628" t="s">
        <v>94</v>
      </c>
      <c r="F103" s="508">
        <f>H97</f>
        <v>0.16025641025641027</v>
      </c>
      <c r="G103" s="628" t="s">
        <v>700</v>
      </c>
      <c r="H103" s="628">
        <v>1000</v>
      </c>
      <c r="I103" s="628" t="s">
        <v>699</v>
      </c>
      <c r="J103" s="517">
        <f>C103*F103/H103</f>
        <v>120.19230769230771</v>
      </c>
      <c r="K103" s="527"/>
      <c r="L103" s="488"/>
    </row>
    <row r="104" spans="1:12" ht="15" customHeight="1" thickBot="1">
      <c r="A104" s="488"/>
      <c r="B104" s="532"/>
      <c r="C104" s="518"/>
      <c r="D104" s="518"/>
      <c r="E104" s="519"/>
      <c r="F104" s="520"/>
      <c r="G104" s="519"/>
      <c r="H104" s="519"/>
      <c r="I104" s="519"/>
      <c r="J104" s="521"/>
      <c r="K104" s="627"/>
      <c r="L104" s="488"/>
    </row>
    <row r="105" spans="1:12" ht="40.5" customHeight="1">
      <c r="A105" s="488"/>
      <c r="B105" s="981" t="s">
        <v>691</v>
      </c>
      <c r="C105" s="982"/>
      <c r="D105" s="982"/>
      <c r="E105" s="982"/>
      <c r="F105" s="982"/>
      <c r="G105" s="982"/>
      <c r="H105" s="982"/>
      <c r="I105" s="982"/>
      <c r="J105" s="982"/>
      <c r="K105" s="982"/>
      <c r="L105" s="488"/>
    </row>
    <row r="106" spans="1:12" ht="15" customHeight="1">
      <c r="A106" s="488"/>
      <c r="B106" s="983" t="s">
        <v>735</v>
      </c>
      <c r="C106" s="984"/>
      <c r="D106" s="984"/>
      <c r="E106" s="984"/>
      <c r="F106" s="984"/>
      <c r="G106" s="984"/>
      <c r="H106" s="984"/>
      <c r="I106" s="984"/>
      <c r="J106" s="984"/>
      <c r="K106" s="984"/>
      <c r="L106" s="488"/>
    </row>
    <row r="107" spans="1:12" ht="15" customHeight="1">
      <c r="A107" s="488"/>
      <c r="B107" s="626"/>
      <c r="C107" s="533"/>
      <c r="D107" s="533"/>
      <c r="E107" s="628"/>
      <c r="F107" s="508"/>
      <c r="G107" s="628"/>
      <c r="H107" s="628"/>
      <c r="I107" s="628"/>
      <c r="J107" s="517"/>
      <c r="K107" s="626"/>
      <c r="L107" s="488"/>
    </row>
    <row r="108" spans="1:12" ht="15" customHeight="1">
      <c r="A108" s="488"/>
      <c r="B108" s="983" t="s">
        <v>736</v>
      </c>
      <c r="C108" s="985"/>
      <c r="D108" s="985"/>
      <c r="E108" s="985"/>
      <c r="F108" s="985"/>
      <c r="G108" s="985"/>
      <c r="H108" s="985"/>
      <c r="I108" s="985"/>
      <c r="J108" s="985"/>
      <c r="K108" s="985"/>
      <c r="L108" s="488"/>
    </row>
    <row r="109" spans="1:12" ht="15" customHeight="1">
      <c r="A109" s="488"/>
      <c r="B109" s="626"/>
      <c r="C109" s="533"/>
      <c r="D109" s="533"/>
      <c r="E109" s="628"/>
      <c r="F109" s="508"/>
      <c r="G109" s="628"/>
      <c r="H109" s="628"/>
      <c r="I109" s="628"/>
      <c r="J109" s="517"/>
      <c r="K109" s="626"/>
      <c r="L109" s="488"/>
    </row>
    <row r="110" spans="1:12" ht="59.25" customHeight="1">
      <c r="A110" s="488"/>
      <c r="B110" s="986" t="s">
        <v>737</v>
      </c>
      <c r="C110" s="987"/>
      <c r="D110" s="987"/>
      <c r="E110" s="987"/>
      <c r="F110" s="987"/>
      <c r="G110" s="987"/>
      <c r="H110" s="987"/>
      <c r="I110" s="987"/>
      <c r="J110" s="987"/>
      <c r="K110" s="987"/>
      <c r="L110" s="488"/>
    </row>
    <row r="111" spans="1:12" ht="15" thickBot="1">
      <c r="A111" s="488"/>
      <c r="B111" s="623"/>
      <c r="C111" s="623"/>
      <c r="D111" s="623"/>
      <c r="E111" s="623"/>
      <c r="F111" s="623"/>
      <c r="G111" s="623"/>
      <c r="H111" s="623"/>
      <c r="I111" s="623"/>
      <c r="J111" s="623"/>
      <c r="K111" s="623"/>
      <c r="L111" s="534"/>
    </row>
    <row r="112" spans="1:12">
      <c r="A112" s="488"/>
      <c r="B112" s="494" t="s">
        <v>695</v>
      </c>
      <c r="C112" s="495"/>
      <c r="D112" s="495"/>
      <c r="E112" s="495"/>
      <c r="F112" s="495"/>
      <c r="G112" s="495"/>
      <c r="H112" s="495"/>
      <c r="I112" s="495"/>
      <c r="J112" s="495"/>
      <c r="K112" s="496"/>
      <c r="L112" s="488"/>
    </row>
    <row r="113" spans="1:12">
      <c r="A113" s="488"/>
      <c r="B113" s="506"/>
      <c r="C113" s="498" t="s">
        <v>701</v>
      </c>
      <c r="D113" s="498"/>
      <c r="E113" s="498"/>
      <c r="F113" s="498"/>
      <c r="G113" s="498"/>
      <c r="H113" s="498"/>
      <c r="I113" s="498"/>
      <c r="J113" s="498"/>
      <c r="K113" s="500"/>
      <c r="L113" s="488"/>
    </row>
    <row r="114" spans="1:12">
      <c r="A114" s="488"/>
      <c r="B114" s="506" t="s">
        <v>722</v>
      </c>
      <c r="C114" s="973">
        <v>312000000</v>
      </c>
      <c r="D114" s="973"/>
      <c r="E114" s="628" t="s">
        <v>700</v>
      </c>
      <c r="F114" s="628">
        <v>1000</v>
      </c>
      <c r="G114" s="628" t="s">
        <v>699</v>
      </c>
      <c r="H114" s="629">
        <f>C114/F114</f>
        <v>312000</v>
      </c>
      <c r="I114" s="498" t="s">
        <v>723</v>
      </c>
      <c r="J114" s="498"/>
      <c r="K114" s="500"/>
      <c r="L114" s="488"/>
    </row>
    <row r="115" spans="1:12">
      <c r="A115" s="488"/>
      <c r="B115" s="506"/>
      <c r="C115" s="498"/>
      <c r="D115" s="498"/>
      <c r="E115" s="628"/>
      <c r="F115" s="498"/>
      <c r="G115" s="498"/>
      <c r="H115" s="498"/>
      <c r="I115" s="498"/>
      <c r="J115" s="498"/>
      <c r="K115" s="500"/>
      <c r="L115" s="488"/>
    </row>
    <row r="116" spans="1:12">
      <c r="A116" s="488"/>
      <c r="B116" s="506"/>
      <c r="C116" s="498" t="s">
        <v>724</v>
      </c>
      <c r="D116" s="498"/>
      <c r="E116" s="628"/>
      <c r="F116" s="498" t="s">
        <v>723</v>
      </c>
      <c r="G116" s="498"/>
      <c r="H116" s="498"/>
      <c r="I116" s="498"/>
      <c r="J116" s="498"/>
      <c r="K116" s="500"/>
      <c r="L116" s="488"/>
    </row>
    <row r="117" spans="1:12">
      <c r="A117" s="488"/>
      <c r="B117" s="506" t="s">
        <v>727</v>
      </c>
      <c r="C117" s="973">
        <v>50000</v>
      </c>
      <c r="D117" s="973"/>
      <c r="E117" s="628" t="s">
        <v>700</v>
      </c>
      <c r="F117" s="629">
        <f>H114</f>
        <v>312000</v>
      </c>
      <c r="G117" s="628" t="s">
        <v>699</v>
      </c>
      <c r="H117" s="508">
        <f>C117/F117</f>
        <v>0.16025641025641027</v>
      </c>
      <c r="I117" s="498" t="s">
        <v>725</v>
      </c>
      <c r="J117" s="498"/>
      <c r="K117" s="500"/>
      <c r="L117" s="488"/>
    </row>
    <row r="118" spans="1:12">
      <c r="A118" s="488"/>
      <c r="B118" s="506"/>
      <c r="C118" s="498"/>
      <c r="D118" s="498"/>
      <c r="E118" s="628"/>
      <c r="F118" s="498"/>
      <c r="G118" s="498"/>
      <c r="H118" s="498"/>
      <c r="I118" s="498"/>
      <c r="J118" s="498"/>
      <c r="K118" s="500"/>
      <c r="L118" s="488"/>
    </row>
    <row r="119" spans="1:12">
      <c r="A119" s="488"/>
      <c r="B119" s="514"/>
      <c r="C119" s="515" t="s">
        <v>734</v>
      </c>
      <c r="D119" s="515"/>
      <c r="E119" s="630"/>
      <c r="F119" s="515"/>
      <c r="G119" s="515"/>
      <c r="H119" s="515"/>
      <c r="I119" s="515"/>
      <c r="J119" s="515"/>
      <c r="K119" s="516"/>
      <c r="L119" s="488"/>
    </row>
    <row r="120" spans="1:12">
      <c r="A120" s="488"/>
      <c r="B120" s="506" t="s">
        <v>838</v>
      </c>
      <c r="C120" s="973">
        <v>2500000</v>
      </c>
      <c r="D120" s="973"/>
      <c r="E120" s="628" t="s">
        <v>94</v>
      </c>
      <c r="F120" s="531">
        <v>0.25</v>
      </c>
      <c r="G120" s="628" t="s">
        <v>699</v>
      </c>
      <c r="H120" s="629">
        <f>C120*F120</f>
        <v>625000</v>
      </c>
      <c r="I120" s="498" t="s">
        <v>728</v>
      </c>
      <c r="J120" s="498"/>
      <c r="K120" s="500"/>
      <c r="L120" s="488"/>
    </row>
    <row r="121" spans="1:12">
      <c r="A121" s="488"/>
      <c r="B121" s="506"/>
      <c r="C121" s="498"/>
      <c r="D121" s="498"/>
      <c r="E121" s="628"/>
      <c r="F121" s="498"/>
      <c r="G121" s="498"/>
      <c r="H121" s="498"/>
      <c r="I121" s="498"/>
      <c r="J121" s="498"/>
      <c r="K121" s="500"/>
      <c r="L121" s="488"/>
    </row>
    <row r="122" spans="1:12">
      <c r="A122" s="488"/>
      <c r="B122" s="514"/>
      <c r="C122" s="515" t="s">
        <v>729</v>
      </c>
      <c r="D122" s="515"/>
      <c r="E122" s="630"/>
      <c r="F122" s="515" t="s">
        <v>725</v>
      </c>
      <c r="G122" s="515"/>
      <c r="H122" s="515"/>
      <c r="I122" s="515"/>
      <c r="J122" s="515" t="s">
        <v>730</v>
      </c>
      <c r="K122" s="516"/>
      <c r="L122" s="488"/>
    </row>
    <row r="123" spans="1:12">
      <c r="A123" s="488"/>
      <c r="B123" s="506" t="s">
        <v>839</v>
      </c>
      <c r="C123" s="980">
        <f>H120</f>
        <v>625000</v>
      </c>
      <c r="D123" s="980"/>
      <c r="E123" s="628" t="s">
        <v>94</v>
      </c>
      <c r="F123" s="508">
        <f>H117</f>
        <v>0.16025641025641027</v>
      </c>
      <c r="G123" s="628" t="s">
        <v>700</v>
      </c>
      <c r="H123" s="628">
        <v>1000</v>
      </c>
      <c r="I123" s="628" t="s">
        <v>699</v>
      </c>
      <c r="J123" s="517">
        <f>C123*F123/H123</f>
        <v>100.16025641025642</v>
      </c>
      <c r="K123" s="500"/>
      <c r="L123" s="488"/>
    </row>
    <row r="124" spans="1:12" ht="15" thickBot="1">
      <c r="A124" s="488"/>
      <c r="B124" s="501"/>
      <c r="C124" s="518"/>
      <c r="D124" s="518"/>
      <c r="E124" s="519"/>
      <c r="F124" s="520"/>
      <c r="G124" s="519"/>
      <c r="H124" s="519"/>
      <c r="I124" s="519"/>
      <c r="J124" s="521"/>
      <c r="K124" s="503"/>
      <c r="L124" s="488"/>
    </row>
    <row r="125" spans="1:12" ht="40.5" customHeight="1">
      <c r="A125" s="488"/>
      <c r="B125" s="981" t="s">
        <v>691</v>
      </c>
      <c r="C125" s="981"/>
      <c r="D125" s="981"/>
      <c r="E125" s="981"/>
      <c r="F125" s="981"/>
      <c r="G125" s="981"/>
      <c r="H125" s="981"/>
      <c r="I125" s="981"/>
      <c r="J125" s="981"/>
      <c r="K125" s="981"/>
      <c r="L125" s="534"/>
    </row>
    <row r="126" spans="1:12">
      <c r="A126" s="488"/>
      <c r="B126" s="970" t="s">
        <v>738</v>
      </c>
      <c r="C126" s="970"/>
      <c r="D126" s="970"/>
      <c r="E126" s="970"/>
      <c r="F126" s="970"/>
      <c r="G126" s="970"/>
      <c r="H126" s="970"/>
      <c r="I126" s="970"/>
      <c r="J126" s="970"/>
      <c r="K126" s="970"/>
      <c r="L126" s="534"/>
    </row>
    <row r="127" spans="1:12">
      <c r="A127" s="488"/>
      <c r="B127" s="623"/>
      <c r="C127" s="623"/>
      <c r="D127" s="623"/>
      <c r="E127" s="623"/>
      <c r="F127" s="623"/>
      <c r="G127" s="623"/>
      <c r="H127" s="623"/>
      <c r="I127" s="623"/>
      <c r="J127" s="623"/>
      <c r="K127" s="623"/>
      <c r="L127" s="534"/>
    </row>
    <row r="128" spans="1:12">
      <c r="A128" s="488"/>
      <c r="B128" s="970" t="s">
        <v>739</v>
      </c>
      <c r="C128" s="970"/>
      <c r="D128" s="970"/>
      <c r="E128" s="970"/>
      <c r="F128" s="970"/>
      <c r="G128" s="970"/>
      <c r="H128" s="970"/>
      <c r="I128" s="970"/>
      <c r="J128" s="970"/>
      <c r="K128" s="970"/>
      <c r="L128" s="534"/>
    </row>
    <row r="129" spans="1:12">
      <c r="A129" s="488"/>
      <c r="B129" s="622"/>
      <c r="C129" s="622"/>
      <c r="D129" s="622"/>
      <c r="E129" s="622"/>
      <c r="F129" s="622"/>
      <c r="G129" s="622"/>
      <c r="H129" s="622"/>
      <c r="I129" s="622"/>
      <c r="J129" s="622"/>
      <c r="K129" s="622"/>
      <c r="L129" s="534"/>
    </row>
    <row r="130" spans="1:12" ht="74.25" customHeight="1">
      <c r="A130" s="488"/>
      <c r="B130" s="971" t="s">
        <v>840</v>
      </c>
      <c r="C130" s="971"/>
      <c r="D130" s="971"/>
      <c r="E130" s="971"/>
      <c r="F130" s="971"/>
      <c r="G130" s="971"/>
      <c r="H130" s="971"/>
      <c r="I130" s="971"/>
      <c r="J130" s="971"/>
      <c r="K130" s="971"/>
      <c r="L130" s="534"/>
    </row>
    <row r="131" spans="1:12" ht="15" thickBot="1">
      <c r="A131" s="488"/>
      <c r="L131" s="488"/>
    </row>
    <row r="132" spans="1:12">
      <c r="A132" s="488"/>
      <c r="B132" s="494" t="s">
        <v>695</v>
      </c>
      <c r="C132" s="495"/>
      <c r="D132" s="495"/>
      <c r="E132" s="495"/>
      <c r="F132" s="495"/>
      <c r="G132" s="495"/>
      <c r="H132" s="495"/>
      <c r="I132" s="495"/>
      <c r="J132" s="495"/>
      <c r="K132" s="496"/>
      <c r="L132" s="488"/>
    </row>
    <row r="133" spans="1:12">
      <c r="A133" s="488"/>
      <c r="B133" s="506"/>
      <c r="C133" s="972" t="s">
        <v>740</v>
      </c>
      <c r="D133" s="972"/>
      <c r="E133" s="498"/>
      <c r="F133" s="628" t="s">
        <v>741</v>
      </c>
      <c r="G133" s="498"/>
      <c r="H133" s="972" t="s">
        <v>728</v>
      </c>
      <c r="I133" s="972"/>
      <c r="J133" s="498"/>
      <c r="K133" s="500"/>
      <c r="L133" s="488"/>
    </row>
    <row r="134" spans="1:12">
      <c r="A134" s="488"/>
      <c r="B134" s="506" t="s">
        <v>722</v>
      </c>
      <c r="C134" s="973">
        <v>100000</v>
      </c>
      <c r="D134" s="973"/>
      <c r="E134" s="628" t="s">
        <v>94</v>
      </c>
      <c r="F134" s="628">
        <v>0.115</v>
      </c>
      <c r="G134" s="628" t="s">
        <v>699</v>
      </c>
      <c r="H134" s="974">
        <f>C134*F134</f>
        <v>11500</v>
      </c>
      <c r="I134" s="974"/>
      <c r="J134" s="498"/>
      <c r="K134" s="500"/>
      <c r="L134" s="488"/>
    </row>
    <row r="135" spans="1:12">
      <c r="A135" s="488"/>
      <c r="B135" s="506"/>
      <c r="C135" s="498"/>
      <c r="D135" s="498"/>
      <c r="E135" s="498"/>
      <c r="F135" s="498"/>
      <c r="G135" s="498"/>
      <c r="H135" s="498"/>
      <c r="I135" s="498"/>
      <c r="J135" s="498"/>
      <c r="K135" s="500"/>
      <c r="L135" s="488"/>
    </row>
    <row r="136" spans="1:12">
      <c r="A136" s="488"/>
      <c r="B136" s="514"/>
      <c r="C136" s="975" t="s">
        <v>728</v>
      </c>
      <c r="D136" s="975"/>
      <c r="E136" s="515"/>
      <c r="F136" s="630" t="s">
        <v>742</v>
      </c>
      <c r="G136" s="630"/>
      <c r="H136" s="515"/>
      <c r="I136" s="515"/>
      <c r="J136" s="515" t="s">
        <v>743</v>
      </c>
      <c r="K136" s="516"/>
      <c r="L136" s="488"/>
    </row>
    <row r="137" spans="1:12">
      <c r="A137" s="488"/>
      <c r="B137" s="506" t="s">
        <v>727</v>
      </c>
      <c r="C137" s="974">
        <f>H134</f>
        <v>11500</v>
      </c>
      <c r="D137" s="974"/>
      <c r="E137" s="628" t="s">
        <v>94</v>
      </c>
      <c r="F137" s="535">
        <v>52.869</v>
      </c>
      <c r="G137" s="628" t="s">
        <v>700</v>
      </c>
      <c r="H137" s="628">
        <v>1000</v>
      </c>
      <c r="I137" s="628" t="s">
        <v>699</v>
      </c>
      <c r="J137" s="536">
        <f>C137*F137/H137</f>
        <v>607.99350000000004</v>
      </c>
      <c r="K137" s="500"/>
      <c r="L137" s="488"/>
    </row>
    <row r="138" spans="1:12" ht="15" thickBot="1">
      <c r="A138" s="488"/>
      <c r="B138" s="501"/>
      <c r="C138" s="632"/>
      <c r="D138" s="632"/>
      <c r="E138" s="519"/>
      <c r="F138" s="633"/>
      <c r="G138" s="519"/>
      <c r="H138" s="519"/>
      <c r="I138" s="519"/>
      <c r="J138" s="634"/>
      <c r="K138" s="503"/>
      <c r="L138" s="488"/>
    </row>
    <row r="139" spans="1:12" ht="40.5" customHeight="1">
      <c r="A139" s="488"/>
      <c r="B139" s="635" t="s">
        <v>691</v>
      </c>
      <c r="C139" s="636"/>
      <c r="D139" s="636"/>
      <c r="E139" s="637"/>
      <c r="F139" s="638"/>
      <c r="G139" s="637"/>
      <c r="H139" s="637"/>
      <c r="I139" s="637"/>
      <c r="J139" s="639"/>
      <c r="K139" s="640"/>
      <c r="L139" s="488"/>
    </row>
    <row r="140" spans="1:12">
      <c r="A140" s="488"/>
      <c r="B140" s="641" t="s">
        <v>841</v>
      </c>
      <c r="C140" s="642"/>
      <c r="D140" s="642"/>
      <c r="E140" s="643"/>
      <c r="F140" s="644"/>
      <c r="G140" s="643"/>
      <c r="H140" s="643"/>
      <c r="I140" s="643"/>
      <c r="J140" s="645"/>
      <c r="K140" s="646"/>
      <c r="L140" s="488"/>
    </row>
    <row r="141" spans="1:12">
      <c r="A141" s="488"/>
      <c r="B141" s="506"/>
      <c r="C141" s="629"/>
      <c r="D141" s="629"/>
      <c r="E141" s="628"/>
      <c r="F141" s="647"/>
      <c r="G141" s="628"/>
      <c r="H141" s="628"/>
      <c r="I141" s="628"/>
      <c r="J141" s="536"/>
      <c r="K141" s="500"/>
      <c r="L141" s="488"/>
    </row>
    <row r="142" spans="1:12">
      <c r="A142" s="488"/>
      <c r="B142" s="641" t="s">
        <v>842</v>
      </c>
      <c r="C142" s="642"/>
      <c r="D142" s="642"/>
      <c r="E142" s="643"/>
      <c r="F142" s="644"/>
      <c r="G142" s="643"/>
      <c r="H142" s="643"/>
      <c r="I142" s="643"/>
      <c r="J142" s="645"/>
      <c r="K142" s="646"/>
      <c r="L142" s="488"/>
    </row>
    <row r="143" spans="1:12">
      <c r="A143" s="488"/>
      <c r="B143" s="506"/>
      <c r="C143" s="629"/>
      <c r="D143" s="629"/>
      <c r="E143" s="628"/>
      <c r="F143" s="647"/>
      <c r="G143" s="628"/>
      <c r="H143" s="628"/>
      <c r="I143" s="628"/>
      <c r="J143" s="536"/>
      <c r="K143" s="500"/>
      <c r="L143" s="488"/>
    </row>
    <row r="144" spans="1:12" ht="76.5" customHeight="1">
      <c r="A144" s="488"/>
      <c r="B144" s="976" t="s">
        <v>843</v>
      </c>
      <c r="C144" s="977"/>
      <c r="D144" s="977"/>
      <c r="E144" s="977"/>
      <c r="F144" s="977"/>
      <c r="G144" s="977"/>
      <c r="H144" s="977"/>
      <c r="I144" s="977"/>
      <c r="J144" s="977"/>
      <c r="K144" s="978"/>
      <c r="L144" s="488"/>
    </row>
    <row r="145" spans="1:12" ht="15" thickBot="1">
      <c r="A145" s="488"/>
      <c r="B145" s="506"/>
      <c r="C145" s="629"/>
      <c r="D145" s="629"/>
      <c r="E145" s="628"/>
      <c r="F145" s="647"/>
      <c r="G145" s="628"/>
      <c r="H145" s="628"/>
      <c r="I145" s="628"/>
      <c r="J145" s="536"/>
      <c r="K145" s="500"/>
      <c r="L145" s="488"/>
    </row>
    <row r="146" spans="1:12">
      <c r="A146" s="488"/>
      <c r="B146" s="494" t="s">
        <v>695</v>
      </c>
      <c r="C146" s="648"/>
      <c r="D146" s="648"/>
      <c r="E146" s="649"/>
      <c r="F146" s="650"/>
      <c r="G146" s="649"/>
      <c r="H146" s="649"/>
      <c r="I146" s="649"/>
      <c r="J146" s="651"/>
      <c r="K146" s="496"/>
      <c r="L146" s="488"/>
    </row>
    <row r="147" spans="1:12">
      <c r="A147" s="488"/>
      <c r="B147" s="506"/>
      <c r="C147" s="974" t="s">
        <v>844</v>
      </c>
      <c r="D147" s="974"/>
      <c r="E147" s="628"/>
      <c r="F147" s="647" t="s">
        <v>845</v>
      </c>
      <c r="G147" s="628"/>
      <c r="H147" s="628"/>
      <c r="I147" s="628"/>
      <c r="J147" s="968" t="s">
        <v>846</v>
      </c>
      <c r="K147" s="979"/>
      <c r="L147" s="488"/>
    </row>
    <row r="148" spans="1:12">
      <c r="A148" s="488"/>
      <c r="B148" s="506"/>
      <c r="C148" s="967">
        <v>52.869</v>
      </c>
      <c r="D148" s="967"/>
      <c r="E148" s="628" t="s">
        <v>94</v>
      </c>
      <c r="F148" s="625">
        <v>312000000</v>
      </c>
      <c r="G148" s="652" t="s">
        <v>700</v>
      </c>
      <c r="H148" s="628">
        <v>1000</v>
      </c>
      <c r="I148" s="628" t="s">
        <v>699</v>
      </c>
      <c r="J148" s="968">
        <f>C148*(F148/1000)</f>
        <v>16495128</v>
      </c>
      <c r="K148" s="969"/>
      <c r="L148" s="488"/>
    </row>
    <row r="149" spans="1:12" ht="15" thickBot="1">
      <c r="A149" s="488"/>
      <c r="B149" s="501"/>
      <c r="C149" s="632"/>
      <c r="D149" s="632"/>
      <c r="E149" s="519"/>
      <c r="F149" s="633"/>
      <c r="G149" s="519"/>
      <c r="H149" s="519"/>
      <c r="I149" s="519"/>
      <c r="J149" s="634"/>
      <c r="K149" s="503"/>
      <c r="L149" s="488"/>
    </row>
    <row r="150" spans="1:12" ht="15" thickBot="1">
      <c r="A150" s="488"/>
      <c r="B150" s="501"/>
      <c r="C150" s="502"/>
      <c r="D150" s="502"/>
      <c r="E150" s="502"/>
      <c r="F150" s="502"/>
      <c r="G150" s="502"/>
      <c r="H150" s="502"/>
      <c r="I150" s="502"/>
      <c r="J150" s="502"/>
      <c r="K150" s="503"/>
      <c r="L150" s="488"/>
    </row>
    <row r="151" spans="1:12">
      <c r="A151" s="488"/>
      <c r="B151" s="488"/>
      <c r="C151" s="488"/>
      <c r="D151" s="488"/>
      <c r="E151" s="488"/>
      <c r="F151" s="488"/>
      <c r="G151" s="488"/>
      <c r="H151" s="488"/>
      <c r="I151" s="488"/>
      <c r="J151" s="488"/>
      <c r="K151" s="488"/>
      <c r="L151" s="488"/>
    </row>
    <row r="152" spans="1:12">
      <c r="A152" s="488"/>
      <c r="B152" s="488"/>
      <c r="C152" s="488"/>
      <c r="D152" s="488"/>
      <c r="E152" s="488"/>
      <c r="F152" s="488"/>
      <c r="G152" s="488"/>
      <c r="H152" s="488"/>
      <c r="I152" s="488"/>
      <c r="J152" s="488"/>
      <c r="K152" s="488"/>
      <c r="L152" s="488"/>
    </row>
    <row r="153" spans="1:12">
      <c r="A153" s="488"/>
      <c r="B153" s="488"/>
      <c r="C153" s="488"/>
      <c r="D153" s="488"/>
      <c r="E153" s="488"/>
      <c r="F153" s="488"/>
      <c r="G153" s="488"/>
      <c r="H153" s="488"/>
      <c r="I153" s="488"/>
      <c r="J153" s="488"/>
      <c r="K153" s="488"/>
      <c r="L153" s="488"/>
    </row>
    <row r="154" spans="1:12">
      <c r="A154" s="537"/>
      <c r="B154" s="537"/>
      <c r="C154" s="537"/>
      <c r="D154" s="537"/>
      <c r="E154" s="537"/>
      <c r="F154" s="537"/>
      <c r="G154" s="537"/>
      <c r="H154" s="537"/>
      <c r="I154" s="537"/>
      <c r="J154" s="537"/>
      <c r="K154" s="537"/>
      <c r="L154" s="537"/>
    </row>
    <row r="155" spans="1:12">
      <c r="A155" s="537"/>
      <c r="B155" s="537"/>
      <c r="C155" s="537"/>
      <c r="D155" s="537"/>
      <c r="E155" s="537"/>
      <c r="F155" s="537"/>
      <c r="G155" s="537"/>
      <c r="H155" s="537"/>
      <c r="I155" s="537"/>
      <c r="J155" s="537"/>
      <c r="K155" s="537"/>
      <c r="L155" s="537"/>
    </row>
    <row r="156" spans="1:12">
      <c r="A156" s="537"/>
      <c r="B156" s="537"/>
      <c r="C156" s="537"/>
      <c r="D156" s="537"/>
      <c r="E156" s="537"/>
      <c r="F156" s="537"/>
      <c r="G156" s="537"/>
      <c r="H156" s="537"/>
      <c r="I156" s="537"/>
      <c r="J156" s="537"/>
      <c r="K156" s="537"/>
      <c r="L156" s="537"/>
    </row>
    <row r="157" spans="1:12">
      <c r="A157" s="537"/>
      <c r="B157" s="537"/>
      <c r="C157" s="537"/>
      <c r="D157" s="537"/>
      <c r="E157" s="537"/>
      <c r="F157" s="537"/>
      <c r="G157" s="537"/>
      <c r="H157" s="537"/>
      <c r="I157" s="537"/>
      <c r="J157" s="537"/>
      <c r="K157" s="537"/>
      <c r="L157" s="537"/>
    </row>
    <row r="158" spans="1:12">
      <c r="A158" s="537"/>
      <c r="B158" s="537"/>
      <c r="C158" s="537"/>
      <c r="D158" s="537"/>
      <c r="E158" s="537"/>
      <c r="F158" s="537"/>
      <c r="G158" s="537"/>
      <c r="H158" s="537"/>
      <c r="I158" s="537"/>
      <c r="J158" s="537"/>
      <c r="K158" s="537"/>
      <c r="L158" s="537"/>
    </row>
    <row r="159" spans="1:12">
      <c r="A159" s="537"/>
      <c r="B159" s="537"/>
      <c r="C159" s="537"/>
      <c r="D159" s="537"/>
      <c r="E159" s="537"/>
      <c r="F159" s="537"/>
      <c r="G159" s="537"/>
      <c r="H159" s="537"/>
      <c r="I159" s="537"/>
      <c r="J159" s="537"/>
      <c r="K159" s="537"/>
      <c r="L159" s="537"/>
    </row>
    <row r="160" spans="1:12">
      <c r="A160" s="537"/>
      <c r="B160" s="537"/>
      <c r="C160" s="537"/>
      <c r="D160" s="537"/>
      <c r="E160" s="537"/>
      <c r="F160" s="537"/>
      <c r="G160" s="537"/>
      <c r="H160" s="537"/>
      <c r="I160" s="537"/>
      <c r="J160" s="537"/>
      <c r="K160" s="537"/>
      <c r="L160" s="537"/>
    </row>
    <row r="161" spans="1:12">
      <c r="A161" s="537"/>
      <c r="B161" s="537"/>
      <c r="C161" s="537"/>
      <c r="D161" s="537"/>
      <c r="E161" s="537"/>
      <c r="F161" s="537"/>
      <c r="G161" s="537"/>
      <c r="H161" s="537"/>
      <c r="I161" s="537"/>
      <c r="J161" s="537"/>
      <c r="K161" s="537"/>
      <c r="L161" s="537"/>
    </row>
    <row r="162" spans="1:12">
      <c r="A162" s="537"/>
      <c r="B162" s="537"/>
      <c r="C162" s="537"/>
      <c r="D162" s="537"/>
      <c r="E162" s="537"/>
      <c r="F162" s="537"/>
      <c r="G162" s="537"/>
      <c r="H162" s="537"/>
      <c r="I162" s="537"/>
      <c r="J162" s="537"/>
      <c r="K162" s="537"/>
      <c r="L162" s="537"/>
    </row>
    <row r="163" spans="1:12">
      <c r="A163" s="537"/>
      <c r="B163" s="537"/>
      <c r="C163" s="537"/>
      <c r="D163" s="537"/>
      <c r="E163" s="537"/>
      <c r="F163" s="537"/>
      <c r="G163" s="537"/>
      <c r="H163" s="537"/>
      <c r="I163" s="537"/>
      <c r="J163" s="537"/>
      <c r="K163" s="537"/>
      <c r="L163" s="537"/>
    </row>
    <row r="164" spans="1:12">
      <c r="A164" s="537"/>
      <c r="B164" s="537"/>
      <c r="C164" s="537"/>
      <c r="D164" s="537"/>
      <c r="E164" s="537"/>
      <c r="F164" s="537"/>
      <c r="G164" s="537"/>
      <c r="H164" s="537"/>
      <c r="I164" s="537"/>
      <c r="J164" s="537"/>
      <c r="K164" s="537"/>
      <c r="L164" s="537"/>
    </row>
    <row r="165" spans="1:12">
      <c r="A165" s="537"/>
      <c r="B165" s="537"/>
      <c r="C165" s="537"/>
      <c r="D165" s="537"/>
      <c r="E165" s="537"/>
      <c r="F165" s="537"/>
      <c r="G165" s="537"/>
      <c r="H165" s="537"/>
      <c r="I165" s="537"/>
      <c r="J165" s="537"/>
      <c r="K165" s="537"/>
      <c r="L165" s="537"/>
    </row>
    <row r="166" spans="1:12">
      <c r="A166" s="537"/>
      <c r="B166" s="537"/>
      <c r="C166" s="537"/>
      <c r="D166" s="537"/>
      <c r="E166" s="537"/>
      <c r="F166" s="537"/>
      <c r="G166" s="537"/>
      <c r="H166" s="537"/>
      <c r="I166" s="537"/>
      <c r="J166" s="537"/>
      <c r="K166" s="537"/>
      <c r="L166" s="537"/>
    </row>
    <row r="167" spans="1:12">
      <c r="A167" s="537"/>
      <c r="B167" s="537"/>
      <c r="C167" s="537"/>
      <c r="D167" s="537"/>
      <c r="E167" s="537"/>
      <c r="F167" s="537"/>
      <c r="G167" s="537"/>
      <c r="H167" s="537"/>
      <c r="I167" s="537"/>
      <c r="J167" s="537"/>
      <c r="K167" s="537"/>
      <c r="L167" s="537"/>
    </row>
    <row r="168" spans="1:12">
      <c r="A168" s="537"/>
      <c r="B168" s="537"/>
      <c r="C168" s="537"/>
      <c r="D168" s="537"/>
      <c r="E168" s="537"/>
      <c r="F168" s="537"/>
      <c r="G168" s="537"/>
      <c r="H168" s="537"/>
      <c r="I168" s="537"/>
      <c r="J168" s="537"/>
      <c r="K168" s="537"/>
      <c r="L168" s="537"/>
    </row>
    <row r="169" spans="1:12">
      <c r="A169" s="537"/>
      <c r="B169" s="537"/>
      <c r="C169" s="537"/>
      <c r="D169" s="537"/>
      <c r="E169" s="537"/>
      <c r="F169" s="537"/>
      <c r="G169" s="537"/>
      <c r="H169" s="537"/>
      <c r="I169" s="537"/>
      <c r="J169" s="537"/>
      <c r="K169" s="537"/>
      <c r="L169" s="537"/>
    </row>
    <row r="170" spans="1:12">
      <c r="A170" s="537"/>
      <c r="B170" s="537"/>
      <c r="C170" s="537"/>
      <c r="D170" s="537"/>
      <c r="E170" s="537"/>
      <c r="F170" s="537"/>
      <c r="G170" s="537"/>
      <c r="H170" s="537"/>
      <c r="I170" s="537"/>
      <c r="J170" s="537"/>
      <c r="K170" s="537"/>
      <c r="L170" s="537"/>
    </row>
    <row r="171" spans="1:12">
      <c r="A171" s="537"/>
      <c r="B171" s="537"/>
      <c r="C171" s="537"/>
      <c r="D171" s="537"/>
      <c r="E171" s="537"/>
      <c r="F171" s="537"/>
      <c r="G171" s="537"/>
      <c r="H171" s="537"/>
      <c r="I171" s="537"/>
      <c r="J171" s="537"/>
      <c r="K171" s="537"/>
      <c r="L171" s="537"/>
    </row>
    <row r="172" spans="1:12">
      <c r="A172" s="537"/>
      <c r="B172" s="537"/>
      <c r="C172" s="537"/>
      <c r="D172" s="537"/>
      <c r="E172" s="537"/>
      <c r="F172" s="537"/>
      <c r="G172" s="537"/>
      <c r="H172" s="537"/>
      <c r="I172" s="537"/>
      <c r="J172" s="537"/>
      <c r="K172" s="537"/>
      <c r="L172" s="537"/>
    </row>
    <row r="173" spans="1:12">
      <c r="A173" s="537"/>
      <c r="B173" s="537"/>
      <c r="C173" s="537"/>
      <c r="D173" s="537"/>
      <c r="E173" s="537"/>
      <c r="F173" s="537"/>
      <c r="G173" s="537"/>
      <c r="H173" s="537"/>
      <c r="I173" s="537"/>
      <c r="J173" s="537"/>
      <c r="K173" s="537"/>
      <c r="L173" s="537"/>
    </row>
    <row r="174" spans="1:12">
      <c r="A174" s="537"/>
      <c r="B174" s="537"/>
      <c r="C174" s="537"/>
      <c r="D174" s="537"/>
      <c r="E174" s="537"/>
      <c r="F174" s="537"/>
      <c r="G174" s="537"/>
      <c r="H174" s="537"/>
      <c r="I174" s="537"/>
      <c r="J174" s="537"/>
      <c r="K174" s="537"/>
      <c r="L174" s="537"/>
    </row>
    <row r="175" spans="1:12">
      <c r="A175" s="537"/>
      <c r="B175" s="537"/>
      <c r="C175" s="537"/>
      <c r="D175" s="537"/>
      <c r="E175" s="537"/>
      <c r="F175" s="537"/>
      <c r="G175" s="537"/>
      <c r="H175" s="537"/>
      <c r="I175" s="537"/>
      <c r="J175" s="537"/>
      <c r="K175" s="537"/>
      <c r="L175" s="537"/>
    </row>
    <row r="176" spans="1:12">
      <c r="A176" s="537"/>
      <c r="B176" s="537"/>
      <c r="C176" s="537"/>
      <c r="D176" s="537"/>
      <c r="E176" s="537"/>
      <c r="F176" s="537"/>
      <c r="G176" s="537"/>
      <c r="H176" s="537"/>
      <c r="I176" s="537"/>
      <c r="J176" s="537"/>
      <c r="K176" s="537"/>
      <c r="L176" s="537"/>
    </row>
    <row r="177" spans="1:12">
      <c r="A177" s="537"/>
      <c r="B177" s="537"/>
      <c r="C177" s="537"/>
      <c r="D177" s="537"/>
      <c r="E177" s="537"/>
      <c r="F177" s="537"/>
      <c r="G177" s="537"/>
      <c r="H177" s="537"/>
      <c r="I177" s="537"/>
      <c r="J177" s="537"/>
      <c r="K177" s="537"/>
      <c r="L177" s="537"/>
    </row>
    <row r="178" spans="1:12">
      <c r="A178" s="537"/>
      <c r="B178" s="537"/>
      <c r="C178" s="537"/>
      <c r="D178" s="537"/>
      <c r="E178" s="537"/>
      <c r="F178" s="537"/>
      <c r="G178" s="537"/>
      <c r="H178" s="537"/>
      <c r="I178" s="537"/>
      <c r="J178" s="537"/>
      <c r="K178" s="537"/>
      <c r="L178" s="537"/>
    </row>
    <row r="179" spans="1:12">
      <c r="A179" s="537"/>
      <c r="B179" s="537"/>
      <c r="C179" s="537"/>
      <c r="D179" s="537"/>
      <c r="E179" s="537"/>
      <c r="F179" s="537"/>
      <c r="G179" s="537"/>
      <c r="H179" s="537"/>
      <c r="I179" s="537"/>
      <c r="J179" s="537"/>
      <c r="K179" s="537"/>
      <c r="L179" s="537"/>
    </row>
    <row r="180" spans="1:12">
      <c r="A180" s="537"/>
      <c r="B180" s="537"/>
      <c r="C180" s="537"/>
      <c r="D180" s="537"/>
      <c r="E180" s="537"/>
      <c r="F180" s="537"/>
      <c r="G180" s="537"/>
      <c r="H180" s="537"/>
      <c r="I180" s="537"/>
      <c r="J180" s="537"/>
      <c r="K180" s="537"/>
      <c r="L180" s="537"/>
    </row>
    <row r="181" spans="1:12">
      <c r="A181" s="537"/>
      <c r="B181" s="537"/>
      <c r="C181" s="537"/>
      <c r="D181" s="537"/>
      <c r="E181" s="537"/>
      <c r="F181" s="537"/>
      <c r="G181" s="537"/>
      <c r="H181" s="537"/>
      <c r="I181" s="537"/>
      <c r="J181" s="537"/>
      <c r="K181" s="537"/>
      <c r="L181" s="537"/>
    </row>
    <row r="182" spans="1:12">
      <c r="A182" s="537"/>
      <c r="B182" s="537"/>
      <c r="C182" s="537"/>
      <c r="D182" s="537"/>
      <c r="E182" s="537"/>
      <c r="F182" s="537"/>
      <c r="G182" s="537"/>
      <c r="H182" s="537"/>
      <c r="I182" s="537"/>
      <c r="J182" s="537"/>
      <c r="K182" s="537"/>
      <c r="L182" s="537"/>
    </row>
    <row r="183" spans="1:12">
      <c r="A183" s="537"/>
      <c r="B183" s="537"/>
      <c r="C183" s="537"/>
      <c r="D183" s="537"/>
      <c r="E183" s="537"/>
      <c r="F183" s="537"/>
      <c r="G183" s="537"/>
      <c r="H183" s="537"/>
      <c r="I183" s="537"/>
      <c r="J183" s="537"/>
      <c r="K183" s="537"/>
      <c r="L183" s="537"/>
    </row>
    <row r="184" spans="1:12">
      <c r="A184" s="537"/>
      <c r="B184" s="537"/>
      <c r="C184" s="537"/>
      <c r="D184" s="537"/>
      <c r="E184" s="537"/>
      <c r="F184" s="537"/>
      <c r="G184" s="537"/>
      <c r="H184" s="537"/>
      <c r="I184" s="537"/>
      <c r="J184" s="537"/>
      <c r="K184" s="537"/>
      <c r="L184" s="537"/>
    </row>
    <row r="185" spans="1:12">
      <c r="A185" s="537"/>
      <c r="B185" s="537"/>
      <c r="C185" s="537"/>
      <c r="D185" s="537"/>
      <c r="E185" s="537"/>
      <c r="F185" s="537"/>
      <c r="G185" s="537"/>
      <c r="H185" s="537"/>
      <c r="I185" s="537"/>
      <c r="J185" s="537"/>
      <c r="K185" s="537"/>
      <c r="L185" s="537"/>
    </row>
    <row r="186" spans="1:12">
      <c r="A186" s="537"/>
      <c r="B186" s="537"/>
      <c r="C186" s="537"/>
      <c r="D186" s="537"/>
      <c r="E186" s="537"/>
      <c r="F186" s="537"/>
      <c r="G186" s="537"/>
      <c r="H186" s="537"/>
      <c r="I186" s="537"/>
      <c r="J186" s="537"/>
      <c r="K186" s="537"/>
      <c r="L186" s="537"/>
    </row>
    <row r="187" spans="1:12">
      <c r="A187" s="537"/>
      <c r="B187" s="537"/>
      <c r="C187" s="537"/>
      <c r="D187" s="537"/>
      <c r="E187" s="537"/>
      <c r="F187" s="537"/>
      <c r="G187" s="537"/>
      <c r="H187" s="537"/>
      <c r="I187" s="537"/>
      <c r="J187" s="537"/>
      <c r="K187" s="537"/>
      <c r="L187" s="537"/>
    </row>
    <row r="188" spans="1:12">
      <c r="A188" s="537"/>
      <c r="B188" s="537"/>
      <c r="C188" s="537"/>
      <c r="D188" s="537"/>
      <c r="E188" s="537"/>
      <c r="F188" s="537"/>
      <c r="G188" s="537"/>
      <c r="H188" s="537"/>
      <c r="I188" s="537"/>
      <c r="J188" s="537"/>
      <c r="K188" s="537"/>
      <c r="L188" s="537"/>
    </row>
    <row r="189" spans="1:12">
      <c r="A189" s="537"/>
      <c r="B189" s="537"/>
      <c r="C189" s="537"/>
      <c r="D189" s="537"/>
      <c r="E189" s="537"/>
      <c r="F189" s="537"/>
      <c r="G189" s="537"/>
      <c r="H189" s="537"/>
      <c r="I189" s="537"/>
      <c r="J189" s="537"/>
      <c r="K189" s="537"/>
      <c r="L189" s="537"/>
    </row>
    <row r="190" spans="1:12">
      <c r="A190" s="537"/>
      <c r="B190" s="537"/>
      <c r="C190" s="537"/>
      <c r="D190" s="537"/>
      <c r="E190" s="537"/>
      <c r="F190" s="537"/>
      <c r="G190" s="537"/>
      <c r="H190" s="537"/>
      <c r="I190" s="537"/>
      <c r="J190" s="537"/>
      <c r="K190" s="537"/>
      <c r="L190" s="537"/>
    </row>
    <row r="191" spans="1:12">
      <c r="A191" s="537"/>
      <c r="B191" s="537"/>
      <c r="C191" s="537"/>
      <c r="D191" s="537"/>
      <c r="E191" s="537"/>
      <c r="F191" s="537"/>
      <c r="G191" s="537"/>
      <c r="H191" s="537"/>
      <c r="I191" s="537"/>
      <c r="J191" s="537"/>
      <c r="K191" s="537"/>
      <c r="L191" s="537"/>
    </row>
    <row r="192" spans="1:12">
      <c r="A192" s="537"/>
      <c r="B192" s="537"/>
      <c r="C192" s="537"/>
      <c r="D192" s="537"/>
      <c r="E192" s="537"/>
      <c r="F192" s="537"/>
      <c r="G192" s="537"/>
      <c r="H192" s="537"/>
      <c r="I192" s="537"/>
      <c r="J192" s="537"/>
      <c r="K192" s="537"/>
      <c r="L192" s="537"/>
    </row>
    <row r="193" spans="1:12">
      <c r="A193" s="537"/>
      <c r="B193" s="537"/>
      <c r="C193" s="537"/>
      <c r="D193" s="537"/>
      <c r="E193" s="537"/>
      <c r="F193" s="537"/>
      <c r="G193" s="537"/>
      <c r="H193" s="537"/>
      <c r="I193" s="537"/>
      <c r="J193" s="537"/>
      <c r="K193" s="537"/>
      <c r="L193" s="537"/>
    </row>
    <row r="194" spans="1:12">
      <c r="A194" s="537"/>
      <c r="B194" s="537"/>
      <c r="C194" s="537"/>
      <c r="D194" s="537"/>
      <c r="E194" s="537"/>
      <c r="F194" s="537"/>
      <c r="G194" s="537"/>
      <c r="H194" s="537"/>
      <c r="I194" s="537"/>
      <c r="J194" s="537"/>
      <c r="K194" s="537"/>
      <c r="L194" s="537"/>
    </row>
    <row r="195" spans="1:12">
      <c r="A195" s="537"/>
      <c r="B195" s="537"/>
      <c r="C195" s="537"/>
      <c r="D195" s="537"/>
      <c r="E195" s="537"/>
      <c r="F195" s="537"/>
      <c r="G195" s="537"/>
      <c r="H195" s="537"/>
      <c r="I195" s="537"/>
      <c r="J195" s="537"/>
      <c r="K195" s="537"/>
      <c r="L195" s="537"/>
    </row>
    <row r="196" spans="1:12">
      <c r="A196" s="537"/>
      <c r="B196" s="537"/>
      <c r="C196" s="537"/>
      <c r="D196" s="537"/>
      <c r="E196" s="537"/>
      <c r="F196" s="537"/>
      <c r="G196" s="537"/>
      <c r="H196" s="537"/>
      <c r="I196" s="537"/>
      <c r="J196" s="537"/>
      <c r="K196" s="537"/>
      <c r="L196" s="537"/>
    </row>
    <row r="197" spans="1:12">
      <c r="A197" s="537"/>
      <c r="B197" s="537"/>
      <c r="C197" s="537"/>
      <c r="D197" s="537"/>
      <c r="E197" s="537"/>
      <c r="F197" s="537"/>
      <c r="G197" s="537"/>
      <c r="H197" s="537"/>
      <c r="I197" s="537"/>
      <c r="J197" s="537"/>
      <c r="K197" s="537"/>
      <c r="L197" s="537"/>
    </row>
    <row r="198" spans="1:12">
      <c r="A198" s="537"/>
      <c r="B198" s="537"/>
      <c r="C198" s="537"/>
      <c r="D198" s="537"/>
      <c r="E198" s="537"/>
      <c r="F198" s="537"/>
      <c r="G198" s="537"/>
      <c r="H198" s="537"/>
      <c r="I198" s="537"/>
      <c r="J198" s="537"/>
      <c r="K198" s="537"/>
      <c r="L198" s="537"/>
    </row>
    <row r="199" spans="1:12">
      <c r="A199" s="537"/>
      <c r="B199" s="537"/>
      <c r="C199" s="537"/>
      <c r="D199" s="537"/>
      <c r="E199" s="537"/>
      <c r="F199" s="537"/>
      <c r="G199" s="537"/>
      <c r="H199" s="537"/>
      <c r="I199" s="537"/>
      <c r="J199" s="537"/>
      <c r="K199" s="537"/>
      <c r="L199" s="537"/>
    </row>
    <row r="200" spans="1:12">
      <c r="A200" s="537"/>
      <c r="B200" s="537"/>
      <c r="C200" s="537"/>
      <c r="D200" s="537"/>
      <c r="E200" s="537"/>
      <c r="F200" s="537"/>
      <c r="G200" s="537"/>
      <c r="H200" s="537"/>
      <c r="I200" s="537"/>
      <c r="J200" s="537"/>
      <c r="K200" s="537"/>
      <c r="L200" s="537"/>
    </row>
    <row r="201" spans="1:12">
      <c r="A201" s="537"/>
      <c r="B201" s="537"/>
      <c r="C201" s="537"/>
      <c r="D201" s="537"/>
      <c r="E201" s="537"/>
      <c r="F201" s="537"/>
      <c r="G201" s="537"/>
      <c r="H201" s="537"/>
      <c r="I201" s="537"/>
      <c r="J201" s="537"/>
      <c r="K201" s="537"/>
      <c r="L201" s="537"/>
    </row>
    <row r="202" spans="1:12">
      <c r="A202" s="537"/>
      <c r="B202" s="537"/>
      <c r="C202" s="537"/>
      <c r="D202" s="537"/>
      <c r="E202" s="537"/>
      <c r="F202" s="537"/>
      <c r="G202" s="537"/>
      <c r="H202" s="537"/>
      <c r="I202" s="537"/>
      <c r="J202" s="537"/>
      <c r="K202" s="537"/>
      <c r="L202" s="537"/>
    </row>
    <row r="203" spans="1:12">
      <c r="A203" s="537"/>
      <c r="B203" s="537"/>
      <c r="C203" s="537"/>
      <c r="D203" s="537"/>
      <c r="E203" s="537"/>
      <c r="F203" s="537"/>
      <c r="G203" s="537"/>
      <c r="H203" s="537"/>
      <c r="I203" s="537"/>
      <c r="J203" s="537"/>
      <c r="K203" s="537"/>
      <c r="L203" s="537"/>
    </row>
    <row r="204" spans="1:12">
      <c r="A204" s="537"/>
      <c r="B204" s="537"/>
      <c r="C204" s="537"/>
      <c r="D204" s="537"/>
      <c r="E204" s="537"/>
      <c r="F204" s="537"/>
      <c r="G204" s="537"/>
      <c r="H204" s="537"/>
      <c r="I204" s="537"/>
      <c r="J204" s="537"/>
      <c r="K204" s="537"/>
      <c r="L204" s="537"/>
    </row>
    <row r="205" spans="1:12">
      <c r="A205" s="537"/>
      <c r="B205" s="537"/>
      <c r="C205" s="537"/>
      <c r="D205" s="537"/>
      <c r="E205" s="537"/>
      <c r="F205" s="537"/>
      <c r="G205" s="537"/>
      <c r="H205" s="537"/>
      <c r="I205" s="537"/>
      <c r="J205" s="537"/>
      <c r="K205" s="537"/>
      <c r="L205" s="537"/>
    </row>
    <row r="206" spans="1:12">
      <c r="A206" s="537"/>
      <c r="B206" s="537"/>
      <c r="C206" s="537"/>
      <c r="D206" s="537"/>
      <c r="E206" s="537"/>
      <c r="F206" s="537"/>
      <c r="G206" s="537"/>
      <c r="H206" s="537"/>
      <c r="I206" s="537"/>
      <c r="J206" s="537"/>
      <c r="K206" s="537"/>
      <c r="L206" s="537"/>
    </row>
    <row r="207" spans="1:12">
      <c r="A207" s="537"/>
      <c r="B207" s="537"/>
      <c r="C207" s="537"/>
      <c r="D207" s="537"/>
      <c r="E207" s="537"/>
      <c r="F207" s="537"/>
      <c r="G207" s="537"/>
      <c r="H207" s="537"/>
      <c r="I207" s="537"/>
      <c r="J207" s="537"/>
      <c r="K207" s="537"/>
      <c r="L207" s="537"/>
    </row>
    <row r="208" spans="1:12">
      <c r="A208" s="537"/>
      <c r="B208" s="537"/>
      <c r="C208" s="537"/>
      <c r="D208" s="537"/>
      <c r="E208" s="537"/>
      <c r="F208" s="537"/>
      <c r="G208" s="537"/>
      <c r="H208" s="537"/>
      <c r="I208" s="537"/>
      <c r="J208" s="537"/>
      <c r="K208" s="537"/>
      <c r="L208" s="537"/>
    </row>
    <row r="209" spans="1:12">
      <c r="A209" s="537"/>
      <c r="B209" s="537"/>
      <c r="C209" s="537"/>
      <c r="D209" s="537"/>
      <c r="E209" s="537"/>
      <c r="F209" s="537"/>
      <c r="G209" s="537"/>
      <c r="H209" s="537"/>
      <c r="I209" s="537"/>
      <c r="J209" s="537"/>
      <c r="K209" s="537"/>
      <c r="L209" s="537"/>
    </row>
    <row r="210" spans="1:12">
      <c r="A210" s="537"/>
      <c r="B210" s="537"/>
      <c r="C210" s="537"/>
      <c r="D210" s="537"/>
      <c r="E210" s="537"/>
      <c r="F210" s="537"/>
      <c r="G210" s="537"/>
      <c r="H210" s="537"/>
      <c r="I210" s="537"/>
      <c r="J210" s="537"/>
      <c r="K210" s="537"/>
      <c r="L210" s="537"/>
    </row>
    <row r="211" spans="1:12">
      <c r="A211" s="537"/>
      <c r="B211" s="537"/>
      <c r="C211" s="537"/>
      <c r="D211" s="537"/>
      <c r="E211" s="537"/>
      <c r="F211" s="537"/>
      <c r="G211" s="537"/>
      <c r="H211" s="537"/>
      <c r="I211" s="537"/>
      <c r="J211" s="537"/>
      <c r="K211" s="537"/>
      <c r="L211" s="537"/>
    </row>
    <row r="212" spans="1:12">
      <c r="A212" s="537"/>
      <c r="B212" s="537"/>
      <c r="C212" s="537"/>
      <c r="D212" s="537"/>
      <c r="E212" s="537"/>
      <c r="F212" s="537"/>
      <c r="G212" s="537"/>
      <c r="H212" s="537"/>
      <c r="I212" s="537"/>
      <c r="J212" s="537"/>
      <c r="K212" s="537"/>
      <c r="L212" s="537"/>
    </row>
    <row r="213" spans="1:12">
      <c r="A213" s="537"/>
      <c r="B213" s="537"/>
      <c r="C213" s="537"/>
      <c r="D213" s="537"/>
      <c r="E213" s="537"/>
      <c r="F213" s="537"/>
      <c r="G213" s="537"/>
      <c r="H213" s="537"/>
      <c r="I213" s="537"/>
      <c r="J213" s="537"/>
      <c r="K213" s="537"/>
      <c r="L213" s="537"/>
    </row>
    <row r="214" spans="1:12">
      <c r="A214" s="537"/>
      <c r="B214" s="537"/>
      <c r="C214" s="537"/>
      <c r="D214" s="537"/>
      <c r="E214" s="537"/>
      <c r="F214" s="537"/>
      <c r="G214" s="537"/>
      <c r="H214" s="537"/>
      <c r="I214" s="537"/>
      <c r="J214" s="537"/>
      <c r="K214" s="537"/>
      <c r="L214" s="537"/>
    </row>
    <row r="215" spans="1:12">
      <c r="A215" s="537"/>
      <c r="B215" s="537"/>
      <c r="C215" s="537"/>
      <c r="D215" s="537"/>
      <c r="E215" s="537"/>
      <c r="F215" s="537"/>
      <c r="G215" s="537"/>
      <c r="H215" s="537"/>
      <c r="I215" s="537"/>
      <c r="J215" s="537"/>
      <c r="K215" s="537"/>
      <c r="L215" s="537"/>
    </row>
    <row r="216" spans="1:12">
      <c r="A216" s="537"/>
      <c r="B216" s="537"/>
      <c r="C216" s="537"/>
      <c r="D216" s="537"/>
      <c r="E216" s="537"/>
      <c r="F216" s="537"/>
      <c r="G216" s="537"/>
      <c r="H216" s="537"/>
      <c r="I216" s="537"/>
      <c r="J216" s="537"/>
      <c r="K216" s="537"/>
      <c r="L216" s="537"/>
    </row>
    <row r="217" spans="1:12">
      <c r="A217" s="537"/>
      <c r="B217" s="537"/>
      <c r="C217" s="537"/>
      <c r="D217" s="537"/>
      <c r="E217" s="537"/>
      <c r="F217" s="537"/>
      <c r="G217" s="537"/>
      <c r="H217" s="537"/>
      <c r="I217" s="537"/>
      <c r="J217" s="537"/>
      <c r="K217" s="537"/>
      <c r="L217" s="537"/>
    </row>
    <row r="218" spans="1:12">
      <c r="A218" s="537"/>
      <c r="B218" s="537"/>
      <c r="C218" s="537"/>
      <c r="D218" s="537"/>
      <c r="E218" s="537"/>
      <c r="F218" s="537"/>
      <c r="G218" s="537"/>
      <c r="H218" s="537"/>
      <c r="I218" s="537"/>
      <c r="J218" s="537"/>
      <c r="K218" s="537"/>
      <c r="L218" s="537"/>
    </row>
    <row r="219" spans="1:12">
      <c r="A219" s="537"/>
      <c r="B219" s="537"/>
      <c r="C219" s="537"/>
      <c r="D219" s="537"/>
      <c r="E219" s="537"/>
      <c r="F219" s="537"/>
      <c r="G219" s="537"/>
      <c r="H219" s="537"/>
      <c r="I219" s="537"/>
      <c r="J219" s="537"/>
      <c r="K219" s="537"/>
      <c r="L219" s="537"/>
    </row>
    <row r="220" spans="1:12">
      <c r="A220" s="537"/>
      <c r="B220" s="537"/>
      <c r="C220" s="537"/>
      <c r="D220" s="537"/>
      <c r="E220" s="537"/>
      <c r="F220" s="537"/>
      <c r="G220" s="537"/>
      <c r="H220" s="537"/>
      <c r="I220" s="537"/>
      <c r="J220" s="537"/>
      <c r="K220" s="537"/>
      <c r="L220" s="537"/>
    </row>
    <row r="221" spans="1:12">
      <c r="A221" s="537"/>
      <c r="B221" s="537"/>
      <c r="C221" s="537"/>
      <c r="D221" s="537"/>
      <c r="E221" s="537"/>
      <c r="F221" s="537"/>
      <c r="G221" s="537"/>
      <c r="H221" s="537"/>
      <c r="I221" s="537"/>
      <c r="J221" s="537"/>
      <c r="K221" s="537"/>
      <c r="L221" s="537"/>
    </row>
    <row r="222" spans="1:12">
      <c r="A222" s="537"/>
      <c r="B222" s="537"/>
      <c r="C222" s="537"/>
      <c r="D222" s="537"/>
      <c r="E222" s="537"/>
      <c r="F222" s="537"/>
      <c r="G222" s="537"/>
      <c r="H222" s="537"/>
      <c r="I222" s="537"/>
      <c r="J222" s="537"/>
      <c r="K222" s="537"/>
      <c r="L222" s="537"/>
    </row>
    <row r="223" spans="1:12">
      <c r="A223" s="537"/>
      <c r="B223" s="537"/>
      <c r="C223" s="537"/>
      <c r="D223" s="537"/>
      <c r="E223" s="537"/>
      <c r="F223" s="537"/>
      <c r="G223" s="537"/>
      <c r="H223" s="537"/>
      <c r="I223" s="537"/>
      <c r="J223" s="537"/>
      <c r="K223" s="537"/>
      <c r="L223" s="537"/>
    </row>
    <row r="224" spans="1:12">
      <c r="A224" s="537"/>
      <c r="B224" s="537"/>
      <c r="C224" s="537"/>
      <c r="D224" s="537"/>
      <c r="E224" s="537"/>
      <c r="F224" s="537"/>
      <c r="G224" s="537"/>
      <c r="H224" s="537"/>
      <c r="I224" s="537"/>
      <c r="J224" s="537"/>
      <c r="K224" s="537"/>
      <c r="L224" s="537"/>
    </row>
    <row r="225" spans="1:12">
      <c r="A225" s="537"/>
      <c r="B225" s="537"/>
      <c r="C225" s="537"/>
      <c r="D225" s="537"/>
      <c r="E225" s="537"/>
      <c r="F225" s="537"/>
      <c r="G225" s="537"/>
      <c r="H225" s="537"/>
      <c r="I225" s="537"/>
      <c r="J225" s="537"/>
      <c r="K225" s="537"/>
      <c r="L225" s="537"/>
    </row>
    <row r="226" spans="1:12">
      <c r="A226" s="537"/>
      <c r="B226" s="537"/>
      <c r="C226" s="537"/>
      <c r="D226" s="537"/>
      <c r="E226" s="537"/>
      <c r="F226" s="537"/>
      <c r="G226" s="537"/>
      <c r="H226" s="537"/>
      <c r="I226" s="537"/>
      <c r="J226" s="537"/>
      <c r="K226" s="537"/>
      <c r="L226" s="537"/>
    </row>
    <row r="227" spans="1:12">
      <c r="A227" s="537"/>
      <c r="B227" s="537"/>
      <c r="C227" s="537"/>
      <c r="D227" s="537"/>
      <c r="E227" s="537"/>
      <c r="F227" s="537"/>
      <c r="G227" s="537"/>
      <c r="H227" s="537"/>
      <c r="I227" s="537"/>
      <c r="J227" s="537"/>
      <c r="K227" s="537"/>
      <c r="L227" s="537"/>
    </row>
    <row r="228" spans="1:12">
      <c r="A228" s="537"/>
      <c r="B228" s="537"/>
      <c r="C228" s="537"/>
      <c r="D228" s="537"/>
      <c r="E228" s="537"/>
      <c r="F228" s="537"/>
      <c r="G228" s="537"/>
      <c r="H228" s="537"/>
      <c r="I228" s="537"/>
      <c r="J228" s="537"/>
      <c r="K228" s="537"/>
      <c r="L228" s="537"/>
    </row>
    <row r="229" spans="1:12">
      <c r="A229" s="537"/>
      <c r="B229" s="537"/>
      <c r="C229" s="537"/>
      <c r="D229" s="537"/>
      <c r="E229" s="537"/>
      <c r="F229" s="537"/>
      <c r="G229" s="537"/>
      <c r="H229" s="537"/>
      <c r="I229" s="537"/>
      <c r="J229" s="537"/>
      <c r="K229" s="537"/>
      <c r="L229" s="537"/>
    </row>
    <row r="230" spans="1:12">
      <c r="A230" s="537"/>
      <c r="B230" s="537"/>
      <c r="C230" s="537"/>
      <c r="D230" s="537"/>
      <c r="E230" s="537"/>
      <c r="F230" s="537"/>
      <c r="G230" s="537"/>
      <c r="H230" s="537"/>
      <c r="I230" s="537"/>
      <c r="J230" s="537"/>
      <c r="K230" s="537"/>
      <c r="L230" s="537"/>
    </row>
    <row r="231" spans="1:12">
      <c r="A231" s="537"/>
      <c r="B231" s="537"/>
      <c r="C231" s="537"/>
      <c r="D231" s="537"/>
      <c r="E231" s="537"/>
      <c r="F231" s="537"/>
      <c r="G231" s="537"/>
      <c r="H231" s="537"/>
      <c r="I231" s="537"/>
      <c r="J231" s="537"/>
      <c r="K231" s="537"/>
      <c r="L231" s="537"/>
    </row>
    <row r="232" spans="1:12">
      <c r="A232" s="537"/>
      <c r="B232" s="537"/>
      <c r="C232" s="537"/>
      <c r="D232" s="537"/>
      <c r="E232" s="537"/>
      <c r="F232" s="537"/>
      <c r="G232" s="537"/>
      <c r="H232" s="537"/>
      <c r="I232" s="537"/>
      <c r="J232" s="537"/>
      <c r="K232" s="537"/>
      <c r="L232" s="537"/>
    </row>
    <row r="233" spans="1:12">
      <c r="A233" s="537"/>
      <c r="B233" s="537"/>
      <c r="C233" s="537"/>
      <c r="D233" s="537"/>
      <c r="E233" s="537"/>
      <c r="F233" s="537"/>
      <c r="G233" s="537"/>
      <c r="H233" s="537"/>
      <c r="I233" s="537"/>
      <c r="J233" s="537"/>
      <c r="K233" s="537"/>
      <c r="L233" s="537"/>
    </row>
    <row r="234" spans="1:12">
      <c r="A234" s="537"/>
      <c r="B234" s="537"/>
      <c r="C234" s="537"/>
      <c r="D234" s="537"/>
      <c r="E234" s="537"/>
      <c r="F234" s="537"/>
      <c r="G234" s="537"/>
      <c r="H234" s="537"/>
      <c r="I234" s="537"/>
      <c r="J234" s="537"/>
      <c r="K234" s="537"/>
      <c r="L234" s="537"/>
    </row>
    <row r="235" spans="1:12">
      <c r="A235" s="537"/>
      <c r="B235" s="537"/>
      <c r="C235" s="537"/>
      <c r="D235" s="537"/>
      <c r="E235" s="537"/>
      <c r="F235" s="537"/>
      <c r="G235" s="537"/>
      <c r="H235" s="537"/>
      <c r="I235" s="537"/>
      <c r="J235" s="537"/>
      <c r="K235" s="537"/>
      <c r="L235" s="537"/>
    </row>
    <row r="236" spans="1:12">
      <c r="A236" s="537"/>
      <c r="B236" s="537"/>
      <c r="C236" s="537"/>
      <c r="D236" s="537"/>
      <c r="E236" s="537"/>
      <c r="F236" s="537"/>
      <c r="G236" s="537"/>
      <c r="H236" s="537"/>
      <c r="I236" s="537"/>
      <c r="J236" s="537"/>
      <c r="K236" s="537"/>
      <c r="L236" s="537"/>
    </row>
    <row r="237" spans="1:12">
      <c r="A237" s="537"/>
      <c r="B237" s="537"/>
      <c r="C237" s="537"/>
      <c r="D237" s="537"/>
      <c r="E237" s="537"/>
      <c r="F237" s="537"/>
      <c r="G237" s="537"/>
      <c r="H237" s="537"/>
      <c r="I237" s="537"/>
      <c r="J237" s="537"/>
      <c r="K237" s="537"/>
      <c r="L237" s="537"/>
    </row>
    <row r="238" spans="1:12">
      <c r="A238" s="537"/>
      <c r="B238" s="537"/>
      <c r="C238" s="537"/>
      <c r="D238" s="537"/>
      <c r="E238" s="537"/>
      <c r="F238" s="537"/>
      <c r="G238" s="537"/>
      <c r="H238" s="537"/>
      <c r="I238" s="537"/>
      <c r="J238" s="537"/>
      <c r="K238" s="537"/>
      <c r="L238" s="537"/>
    </row>
    <row r="239" spans="1:12">
      <c r="A239" s="537"/>
      <c r="B239" s="537"/>
      <c r="C239" s="537"/>
      <c r="D239" s="537"/>
      <c r="E239" s="537"/>
      <c r="F239" s="537"/>
      <c r="G239" s="537"/>
      <c r="H239" s="537"/>
      <c r="I239" s="537"/>
      <c r="J239" s="537"/>
      <c r="K239" s="537"/>
      <c r="L239" s="537"/>
    </row>
    <row r="240" spans="1:12">
      <c r="A240" s="537"/>
      <c r="B240" s="537"/>
      <c r="C240" s="537"/>
      <c r="D240" s="537"/>
      <c r="E240" s="537"/>
      <c r="F240" s="537"/>
      <c r="G240" s="537"/>
      <c r="H240" s="537"/>
      <c r="I240" s="537"/>
      <c r="J240" s="537"/>
      <c r="K240" s="537"/>
      <c r="L240" s="537"/>
    </row>
    <row r="241" spans="1:12">
      <c r="A241" s="537"/>
      <c r="B241" s="537"/>
      <c r="C241" s="537"/>
      <c r="D241" s="537"/>
      <c r="E241" s="537"/>
      <c r="F241" s="537"/>
      <c r="G241" s="537"/>
      <c r="H241" s="537"/>
      <c r="I241" s="537"/>
      <c r="J241" s="537"/>
      <c r="K241" s="537"/>
      <c r="L241" s="537"/>
    </row>
    <row r="242" spans="1:12">
      <c r="A242" s="537"/>
      <c r="B242" s="537"/>
      <c r="C242" s="537"/>
      <c r="D242" s="537"/>
      <c r="E242" s="537"/>
      <c r="F242" s="537"/>
      <c r="G242" s="537"/>
      <c r="H242" s="537"/>
      <c r="I242" s="537"/>
      <c r="J242" s="537"/>
      <c r="K242" s="537"/>
      <c r="L242" s="537"/>
    </row>
    <row r="243" spans="1:12">
      <c r="A243" s="537"/>
      <c r="B243" s="537"/>
      <c r="C243" s="537"/>
      <c r="D243" s="537"/>
      <c r="E243" s="537"/>
      <c r="F243" s="537"/>
      <c r="G243" s="537"/>
      <c r="H243" s="537"/>
      <c r="I243" s="537"/>
      <c r="J243" s="537"/>
      <c r="K243" s="537"/>
      <c r="L243" s="537"/>
    </row>
    <row r="244" spans="1:12">
      <c r="A244" s="537"/>
      <c r="B244" s="537"/>
      <c r="C244" s="537"/>
      <c r="D244" s="537"/>
      <c r="E244" s="537"/>
      <c r="F244" s="537"/>
      <c r="G244" s="537"/>
      <c r="H244" s="537"/>
      <c r="I244" s="537"/>
      <c r="J244" s="537"/>
      <c r="K244" s="537"/>
      <c r="L244" s="537"/>
    </row>
    <row r="245" spans="1:12">
      <c r="A245" s="537"/>
      <c r="B245" s="537"/>
      <c r="C245" s="537"/>
      <c r="D245" s="537"/>
      <c r="E245" s="537"/>
      <c r="F245" s="537"/>
      <c r="G245" s="537"/>
      <c r="H245" s="537"/>
      <c r="I245" s="537"/>
      <c r="J245" s="537"/>
      <c r="K245" s="537"/>
      <c r="L245" s="537"/>
    </row>
    <row r="246" spans="1:12">
      <c r="A246" s="537"/>
      <c r="B246" s="537"/>
      <c r="C246" s="537"/>
      <c r="D246" s="537"/>
      <c r="E246" s="537"/>
      <c r="F246" s="537"/>
      <c r="G246" s="537"/>
      <c r="H246" s="537"/>
      <c r="I246" s="537"/>
      <c r="J246" s="537"/>
      <c r="K246" s="537"/>
      <c r="L246" s="537"/>
    </row>
    <row r="247" spans="1:12">
      <c r="A247" s="537"/>
      <c r="B247" s="537"/>
      <c r="C247" s="537"/>
      <c r="D247" s="537"/>
      <c r="E247" s="537"/>
      <c r="F247" s="537"/>
      <c r="G247" s="537"/>
      <c r="H247" s="537"/>
      <c r="I247" s="537"/>
      <c r="J247" s="537"/>
      <c r="K247" s="537"/>
      <c r="L247" s="537"/>
    </row>
    <row r="248" spans="1:12">
      <c r="A248" s="537"/>
      <c r="B248" s="537"/>
      <c r="C248" s="537"/>
      <c r="D248" s="537"/>
      <c r="E248" s="537"/>
      <c r="F248" s="537"/>
      <c r="G248" s="537"/>
      <c r="H248" s="537"/>
      <c r="I248" s="537"/>
      <c r="J248" s="537"/>
      <c r="K248" s="537"/>
      <c r="L248" s="537"/>
    </row>
    <row r="249" spans="1:12">
      <c r="A249" s="537"/>
      <c r="B249" s="537"/>
      <c r="C249" s="537"/>
      <c r="D249" s="537"/>
      <c r="E249" s="537"/>
      <c r="F249" s="537"/>
      <c r="G249" s="537"/>
      <c r="H249" s="537"/>
      <c r="I249" s="537"/>
      <c r="J249" s="537"/>
      <c r="K249" s="537"/>
      <c r="L249" s="537"/>
    </row>
    <row r="250" spans="1:12">
      <c r="A250" s="537"/>
      <c r="B250" s="537"/>
      <c r="C250" s="537"/>
      <c r="D250" s="537"/>
      <c r="E250" s="537"/>
      <c r="F250" s="537"/>
      <c r="G250" s="537"/>
      <c r="H250" s="537"/>
      <c r="I250" s="537"/>
      <c r="J250" s="537"/>
      <c r="K250" s="537"/>
      <c r="L250" s="537"/>
    </row>
    <row r="251" spans="1:12">
      <c r="A251" s="537"/>
      <c r="B251" s="537"/>
      <c r="C251" s="537"/>
      <c r="D251" s="537"/>
      <c r="E251" s="537"/>
      <c r="F251" s="537"/>
      <c r="G251" s="537"/>
      <c r="H251" s="537"/>
      <c r="I251" s="537"/>
      <c r="J251" s="537"/>
      <c r="K251" s="537"/>
      <c r="L251" s="537"/>
    </row>
    <row r="252" spans="1:12">
      <c r="A252" s="537"/>
      <c r="B252" s="537"/>
      <c r="C252" s="537"/>
      <c r="D252" s="537"/>
      <c r="E252" s="537"/>
      <c r="F252" s="537"/>
      <c r="G252" s="537"/>
      <c r="H252" s="537"/>
      <c r="I252" s="537"/>
      <c r="J252" s="537"/>
      <c r="K252" s="537"/>
      <c r="L252" s="537"/>
    </row>
    <row r="253" spans="1:12">
      <c r="A253" s="537"/>
      <c r="B253" s="537"/>
      <c r="C253" s="537"/>
      <c r="D253" s="537"/>
      <c r="E253" s="537"/>
      <c r="F253" s="537"/>
      <c r="G253" s="537"/>
      <c r="H253" s="537"/>
      <c r="I253" s="537"/>
      <c r="J253" s="537"/>
      <c r="K253" s="537"/>
      <c r="L253" s="537"/>
    </row>
    <row r="254" spans="1:12">
      <c r="A254" s="537"/>
      <c r="B254" s="537"/>
      <c r="C254" s="537"/>
      <c r="D254" s="537"/>
      <c r="E254" s="537"/>
      <c r="F254" s="537"/>
      <c r="G254" s="537"/>
      <c r="H254" s="537"/>
      <c r="I254" s="537"/>
      <c r="J254" s="537"/>
      <c r="K254" s="537"/>
      <c r="L254" s="537"/>
    </row>
    <row r="255" spans="1:12">
      <c r="A255" s="537"/>
      <c r="B255" s="537"/>
      <c r="C255" s="537"/>
      <c r="D255" s="537"/>
      <c r="E255" s="537"/>
      <c r="F255" s="537"/>
      <c r="G255" s="537"/>
      <c r="H255" s="537"/>
      <c r="I255" s="537"/>
      <c r="J255" s="537"/>
      <c r="K255" s="537"/>
      <c r="L255" s="537"/>
    </row>
    <row r="256" spans="1:12">
      <c r="A256" s="537"/>
      <c r="B256" s="537"/>
      <c r="C256" s="537"/>
      <c r="D256" s="537"/>
      <c r="E256" s="537"/>
      <c r="F256" s="537"/>
      <c r="G256" s="537"/>
      <c r="H256" s="537"/>
      <c r="I256" s="537"/>
      <c r="J256" s="537"/>
      <c r="K256" s="537"/>
      <c r="L256" s="537"/>
    </row>
    <row r="257" spans="1:12">
      <c r="A257" s="537"/>
      <c r="B257" s="537"/>
      <c r="C257" s="537"/>
      <c r="D257" s="537"/>
      <c r="E257" s="537"/>
      <c r="F257" s="537"/>
      <c r="G257" s="537"/>
      <c r="H257" s="537"/>
      <c r="I257" s="537"/>
      <c r="J257" s="537"/>
      <c r="K257" s="537"/>
      <c r="L257" s="537"/>
    </row>
    <row r="258" spans="1:12">
      <c r="A258" s="537"/>
      <c r="B258" s="537"/>
      <c r="C258" s="537"/>
      <c r="D258" s="537"/>
      <c r="E258" s="537"/>
      <c r="F258" s="537"/>
      <c r="G258" s="537"/>
      <c r="H258" s="537"/>
      <c r="I258" s="537"/>
      <c r="J258" s="537"/>
      <c r="K258" s="537"/>
      <c r="L258" s="537"/>
    </row>
    <row r="259" spans="1:12">
      <c r="A259" s="537"/>
      <c r="B259" s="537"/>
      <c r="C259" s="537"/>
      <c r="D259" s="537"/>
      <c r="E259" s="537"/>
      <c r="F259" s="537"/>
      <c r="G259" s="537"/>
      <c r="H259" s="537"/>
      <c r="I259" s="537"/>
      <c r="J259" s="537"/>
      <c r="K259" s="537"/>
      <c r="L259" s="537"/>
    </row>
    <row r="260" spans="1:12">
      <c r="A260" s="537"/>
      <c r="B260" s="537"/>
      <c r="C260" s="537"/>
      <c r="D260" s="537"/>
      <c r="E260" s="537"/>
      <c r="F260" s="537"/>
      <c r="G260" s="537"/>
      <c r="H260" s="537"/>
      <c r="I260" s="537"/>
      <c r="J260" s="537"/>
      <c r="K260" s="537"/>
      <c r="L260" s="537"/>
    </row>
    <row r="261" spans="1:12">
      <c r="A261" s="537"/>
      <c r="B261" s="537"/>
      <c r="C261" s="537"/>
      <c r="D261" s="537"/>
      <c r="E261" s="537"/>
      <c r="F261" s="537"/>
      <c r="G261" s="537"/>
      <c r="H261" s="537"/>
      <c r="I261" s="537"/>
      <c r="J261" s="537"/>
      <c r="K261" s="537"/>
      <c r="L261" s="537"/>
    </row>
    <row r="262" spans="1:12">
      <c r="A262" s="537"/>
      <c r="B262" s="537"/>
      <c r="C262" s="537"/>
      <c r="D262" s="537"/>
      <c r="E262" s="537"/>
      <c r="F262" s="537"/>
      <c r="G262" s="537"/>
      <c r="H262" s="537"/>
      <c r="I262" s="537"/>
      <c r="J262" s="537"/>
      <c r="K262" s="537"/>
      <c r="L262" s="537"/>
    </row>
    <row r="263" spans="1:12">
      <c r="A263" s="537"/>
      <c r="B263" s="537"/>
      <c r="C263" s="537"/>
      <c r="D263" s="537"/>
      <c r="E263" s="537"/>
      <c r="F263" s="537"/>
      <c r="G263" s="537"/>
      <c r="H263" s="537"/>
      <c r="I263" s="537"/>
      <c r="J263" s="537"/>
      <c r="K263" s="537"/>
      <c r="L263" s="537"/>
    </row>
    <row r="264" spans="1:12">
      <c r="A264" s="537"/>
      <c r="B264" s="537"/>
      <c r="C264" s="537"/>
      <c r="D264" s="537"/>
      <c r="E264" s="537"/>
      <c r="F264" s="537"/>
      <c r="G264" s="537"/>
      <c r="H264" s="537"/>
      <c r="I264" s="537"/>
      <c r="J264" s="537"/>
      <c r="K264" s="537"/>
      <c r="L264" s="537"/>
    </row>
    <row r="265" spans="1:12">
      <c r="A265" s="537"/>
      <c r="B265" s="537"/>
      <c r="C265" s="537"/>
      <c r="D265" s="537"/>
      <c r="E265" s="537"/>
      <c r="F265" s="537"/>
      <c r="G265" s="537"/>
      <c r="H265" s="537"/>
      <c r="I265" s="537"/>
      <c r="J265" s="537"/>
      <c r="K265" s="537"/>
      <c r="L265" s="537"/>
    </row>
    <row r="266" spans="1:12">
      <c r="A266" s="537"/>
      <c r="B266" s="537"/>
      <c r="C266" s="537"/>
      <c r="D266" s="537"/>
      <c r="E266" s="537"/>
      <c r="F266" s="537"/>
      <c r="G266" s="537"/>
      <c r="H266" s="537"/>
      <c r="I266" s="537"/>
      <c r="J266" s="537"/>
      <c r="K266" s="537"/>
      <c r="L266" s="537"/>
    </row>
    <row r="267" spans="1:12">
      <c r="A267" s="537"/>
      <c r="B267" s="537"/>
      <c r="C267" s="537"/>
      <c r="D267" s="537"/>
      <c r="E267" s="537"/>
      <c r="F267" s="537"/>
      <c r="G267" s="537"/>
      <c r="H267" s="537"/>
      <c r="I267" s="537"/>
      <c r="J267" s="537"/>
      <c r="K267" s="537"/>
      <c r="L267" s="537"/>
    </row>
    <row r="268" spans="1:12">
      <c r="A268" s="537"/>
      <c r="B268" s="537"/>
      <c r="C268" s="537"/>
      <c r="D268" s="537"/>
      <c r="E268" s="537"/>
      <c r="F268" s="537"/>
      <c r="G268" s="537"/>
      <c r="H268" s="537"/>
      <c r="I268" s="537"/>
      <c r="J268" s="537"/>
      <c r="K268" s="537"/>
      <c r="L268" s="537"/>
    </row>
    <row r="269" spans="1:12">
      <c r="A269" s="537"/>
      <c r="B269" s="537"/>
      <c r="C269" s="537"/>
      <c r="D269" s="537"/>
      <c r="E269" s="537"/>
      <c r="F269" s="537"/>
      <c r="G269" s="537"/>
      <c r="H269" s="537"/>
      <c r="I269" s="537"/>
      <c r="J269" s="537"/>
      <c r="K269" s="537"/>
      <c r="L269" s="537"/>
    </row>
    <row r="270" spans="1:12">
      <c r="A270" s="537"/>
      <c r="B270" s="537"/>
      <c r="C270" s="537"/>
      <c r="D270" s="537"/>
      <c r="E270" s="537"/>
      <c r="F270" s="537"/>
      <c r="G270" s="537"/>
      <c r="H270" s="537"/>
      <c r="I270" s="537"/>
      <c r="J270" s="537"/>
      <c r="K270" s="537"/>
      <c r="L270" s="537"/>
    </row>
    <row r="271" spans="1:12">
      <c r="A271" s="537"/>
      <c r="B271" s="537"/>
      <c r="C271" s="537"/>
      <c r="D271" s="537"/>
      <c r="E271" s="537"/>
      <c r="F271" s="537"/>
      <c r="G271" s="537"/>
      <c r="H271" s="537"/>
      <c r="I271" s="537"/>
      <c r="J271" s="537"/>
      <c r="K271" s="537"/>
      <c r="L271" s="537"/>
    </row>
    <row r="272" spans="1:12">
      <c r="A272" s="537"/>
      <c r="B272" s="537"/>
      <c r="C272" s="537"/>
      <c r="D272" s="537"/>
      <c r="E272" s="537"/>
      <c r="F272" s="537"/>
      <c r="G272" s="537"/>
      <c r="H272" s="537"/>
      <c r="I272" s="537"/>
      <c r="J272" s="537"/>
      <c r="K272" s="537"/>
      <c r="L272" s="537"/>
    </row>
    <row r="273" spans="1:12">
      <c r="A273" s="537"/>
      <c r="B273" s="537"/>
      <c r="C273" s="537"/>
      <c r="D273" s="537"/>
      <c r="E273" s="537"/>
      <c r="F273" s="537"/>
      <c r="G273" s="537"/>
      <c r="H273" s="537"/>
      <c r="I273" s="537"/>
      <c r="J273" s="537"/>
      <c r="K273" s="537"/>
      <c r="L273" s="537"/>
    </row>
    <row r="274" spans="1:12">
      <c r="A274" s="537"/>
      <c r="B274" s="537"/>
      <c r="C274" s="537"/>
      <c r="D274" s="537"/>
      <c r="E274" s="537"/>
      <c r="F274" s="537"/>
      <c r="G274" s="537"/>
      <c r="H274" s="537"/>
      <c r="I274" s="537"/>
      <c r="J274" s="537"/>
      <c r="K274" s="537"/>
      <c r="L274" s="537"/>
    </row>
    <row r="275" spans="1:12">
      <c r="A275" s="537"/>
      <c r="B275" s="537"/>
      <c r="C275" s="537"/>
      <c r="D275" s="537"/>
      <c r="E275" s="537"/>
      <c r="F275" s="537"/>
      <c r="G275" s="537"/>
      <c r="H275" s="537"/>
      <c r="I275" s="537"/>
      <c r="J275" s="537"/>
      <c r="K275" s="537"/>
      <c r="L275" s="537"/>
    </row>
    <row r="276" spans="1:12">
      <c r="A276" s="537"/>
      <c r="B276" s="537"/>
      <c r="C276" s="537"/>
      <c r="D276" s="537"/>
      <c r="E276" s="537"/>
      <c r="F276" s="537"/>
      <c r="G276" s="537"/>
      <c r="H276" s="537"/>
      <c r="I276" s="537"/>
      <c r="J276" s="537"/>
      <c r="K276" s="537"/>
      <c r="L276" s="537"/>
    </row>
    <row r="277" spans="1:12">
      <c r="A277" s="537"/>
      <c r="B277" s="537"/>
      <c r="C277" s="537"/>
      <c r="D277" s="537"/>
      <c r="E277" s="537"/>
      <c r="F277" s="537"/>
      <c r="G277" s="537"/>
      <c r="H277" s="537"/>
      <c r="I277" s="537"/>
      <c r="J277" s="537"/>
      <c r="K277" s="537"/>
      <c r="L277" s="537"/>
    </row>
    <row r="278" spans="1:12">
      <c r="A278" s="537"/>
      <c r="B278" s="537"/>
      <c r="C278" s="537"/>
      <c r="D278" s="537"/>
      <c r="E278" s="537"/>
      <c r="F278" s="537"/>
      <c r="G278" s="537"/>
      <c r="H278" s="537"/>
      <c r="I278" s="537"/>
      <c r="J278" s="537"/>
      <c r="K278" s="537"/>
      <c r="L278" s="537"/>
    </row>
    <row r="279" spans="1:12">
      <c r="A279" s="537"/>
      <c r="B279" s="537"/>
      <c r="C279" s="537"/>
      <c r="D279" s="537"/>
      <c r="E279" s="537"/>
      <c r="F279" s="537"/>
      <c r="G279" s="537"/>
      <c r="H279" s="537"/>
      <c r="I279" s="537"/>
      <c r="J279" s="537"/>
      <c r="K279" s="537"/>
      <c r="L279" s="537"/>
    </row>
    <row r="280" spans="1:12">
      <c r="A280" s="537"/>
      <c r="B280" s="537"/>
      <c r="C280" s="537"/>
      <c r="D280" s="537"/>
      <c r="E280" s="537"/>
      <c r="F280" s="537"/>
      <c r="G280" s="537"/>
      <c r="H280" s="537"/>
      <c r="I280" s="537"/>
      <c r="J280" s="537"/>
      <c r="K280" s="537"/>
      <c r="L280" s="537"/>
    </row>
    <row r="281" spans="1:12">
      <c r="A281" s="537"/>
      <c r="B281" s="537"/>
      <c r="C281" s="537"/>
      <c r="D281" s="537"/>
      <c r="E281" s="537"/>
      <c r="F281" s="537"/>
      <c r="G281" s="537"/>
      <c r="H281" s="537"/>
      <c r="I281" s="537"/>
      <c r="J281" s="537"/>
      <c r="K281" s="537"/>
      <c r="L281" s="537"/>
    </row>
    <row r="282" spans="1:12">
      <c r="A282" s="537"/>
      <c r="B282" s="537"/>
      <c r="C282" s="537"/>
      <c r="D282" s="537"/>
      <c r="E282" s="537"/>
      <c r="F282" s="537"/>
      <c r="G282" s="537"/>
      <c r="H282" s="537"/>
      <c r="I282" s="537"/>
      <c r="J282" s="537"/>
      <c r="K282" s="537"/>
      <c r="L282" s="537"/>
    </row>
    <row r="283" spans="1:12">
      <c r="A283" s="537"/>
      <c r="B283" s="537"/>
      <c r="C283" s="537"/>
      <c r="D283" s="537"/>
      <c r="E283" s="537"/>
      <c r="F283" s="537"/>
      <c r="G283" s="537"/>
      <c r="H283" s="537"/>
      <c r="I283" s="537"/>
      <c r="J283" s="537"/>
      <c r="K283" s="537"/>
      <c r="L283" s="537"/>
    </row>
    <row r="284" spans="1:12">
      <c r="A284" s="537"/>
      <c r="B284" s="537"/>
      <c r="C284" s="537"/>
      <c r="D284" s="537"/>
      <c r="E284" s="537"/>
      <c r="F284" s="537"/>
      <c r="G284" s="537"/>
      <c r="H284" s="537"/>
      <c r="I284" s="537"/>
      <c r="J284" s="537"/>
      <c r="K284" s="537"/>
      <c r="L284" s="537"/>
    </row>
    <row r="285" spans="1:12">
      <c r="A285" s="537"/>
      <c r="B285" s="537"/>
      <c r="C285" s="537"/>
      <c r="D285" s="537"/>
      <c r="E285" s="537"/>
      <c r="F285" s="537"/>
      <c r="G285" s="537"/>
      <c r="H285" s="537"/>
      <c r="I285" s="537"/>
      <c r="J285" s="537"/>
      <c r="K285" s="537"/>
      <c r="L285" s="537"/>
    </row>
    <row r="286" spans="1:12">
      <c r="A286" s="537"/>
      <c r="B286" s="537"/>
      <c r="C286" s="537"/>
      <c r="D286" s="537"/>
      <c r="E286" s="537"/>
      <c r="F286" s="537"/>
      <c r="G286" s="537"/>
      <c r="H286" s="537"/>
      <c r="I286" s="537"/>
      <c r="J286" s="537"/>
      <c r="K286" s="537"/>
      <c r="L286" s="537"/>
    </row>
    <row r="287" spans="1:12">
      <c r="A287" s="537"/>
      <c r="B287" s="537"/>
      <c r="C287" s="537"/>
      <c r="D287" s="537"/>
      <c r="E287" s="537"/>
      <c r="F287" s="537"/>
      <c r="G287" s="537"/>
      <c r="H287" s="537"/>
      <c r="I287" s="537"/>
      <c r="J287" s="537"/>
      <c r="K287" s="537"/>
      <c r="L287" s="537"/>
    </row>
    <row r="288" spans="1:12">
      <c r="A288" s="537"/>
      <c r="B288" s="537"/>
      <c r="C288" s="537"/>
      <c r="D288" s="537"/>
      <c r="E288" s="537"/>
      <c r="F288" s="537"/>
      <c r="G288" s="537"/>
      <c r="H288" s="537"/>
      <c r="I288" s="537"/>
      <c r="J288" s="537"/>
      <c r="K288" s="537"/>
      <c r="L288" s="537"/>
    </row>
    <row r="289" spans="1:12">
      <c r="A289" s="537"/>
      <c r="B289" s="537"/>
      <c r="C289" s="537"/>
      <c r="D289" s="537"/>
      <c r="E289" s="537"/>
      <c r="F289" s="537"/>
      <c r="G289" s="537"/>
      <c r="H289" s="537"/>
      <c r="I289" s="537"/>
      <c r="J289" s="537"/>
      <c r="K289" s="537"/>
      <c r="L289" s="537"/>
    </row>
    <row r="290" spans="1:12">
      <c r="A290" s="537"/>
      <c r="B290" s="537"/>
      <c r="C290" s="537"/>
      <c r="D290" s="537"/>
      <c r="E290" s="537"/>
      <c r="F290" s="537"/>
      <c r="G290" s="537"/>
      <c r="H290" s="537"/>
      <c r="I290" s="537"/>
      <c r="J290" s="537"/>
      <c r="K290" s="537"/>
      <c r="L290" s="537"/>
    </row>
    <row r="291" spans="1:12">
      <c r="A291" s="537"/>
      <c r="B291" s="537"/>
      <c r="C291" s="537"/>
      <c r="D291" s="537"/>
      <c r="E291" s="537"/>
      <c r="F291" s="537"/>
      <c r="G291" s="537"/>
      <c r="H291" s="537"/>
      <c r="I291" s="537"/>
      <c r="J291" s="537"/>
      <c r="K291" s="537"/>
      <c r="L291" s="537"/>
    </row>
    <row r="292" spans="1:12">
      <c r="A292" s="537"/>
      <c r="B292" s="537"/>
      <c r="C292" s="537"/>
      <c r="D292" s="537"/>
      <c r="E292" s="537"/>
      <c r="F292" s="537"/>
      <c r="G292" s="537"/>
      <c r="H292" s="537"/>
      <c r="I292" s="537"/>
      <c r="J292" s="537"/>
      <c r="K292" s="537"/>
      <c r="L292" s="537"/>
    </row>
    <row r="293" spans="1:12">
      <c r="A293" s="537"/>
      <c r="B293" s="537"/>
      <c r="C293" s="537"/>
      <c r="D293" s="537"/>
      <c r="E293" s="537"/>
      <c r="F293" s="537"/>
      <c r="G293" s="537"/>
      <c r="H293" s="537"/>
      <c r="I293" s="537"/>
      <c r="J293" s="537"/>
      <c r="K293" s="537"/>
      <c r="L293" s="537"/>
    </row>
    <row r="294" spans="1:12">
      <c r="A294" s="537"/>
      <c r="B294" s="537"/>
      <c r="C294" s="537"/>
      <c r="D294" s="537"/>
      <c r="E294" s="537"/>
      <c r="F294" s="537"/>
      <c r="G294" s="537"/>
      <c r="H294" s="537"/>
      <c r="I294" s="537"/>
      <c r="J294" s="537"/>
      <c r="K294" s="537"/>
      <c r="L294" s="537"/>
    </row>
    <row r="295" spans="1:12">
      <c r="A295" s="537"/>
      <c r="B295" s="537"/>
      <c r="C295" s="537"/>
      <c r="D295" s="537"/>
      <c r="E295" s="537"/>
      <c r="F295" s="537"/>
      <c r="G295" s="537"/>
      <c r="H295" s="537"/>
      <c r="I295" s="537"/>
      <c r="J295" s="537"/>
      <c r="K295" s="537"/>
      <c r="L295" s="537"/>
    </row>
    <row r="296" spans="1:12">
      <c r="A296" s="537"/>
      <c r="B296" s="537"/>
      <c r="C296" s="537"/>
      <c r="D296" s="537"/>
      <c r="E296" s="537"/>
      <c r="F296" s="537"/>
      <c r="G296" s="537"/>
      <c r="H296" s="537"/>
      <c r="I296" s="537"/>
      <c r="J296" s="537"/>
      <c r="K296" s="537"/>
      <c r="L296" s="537"/>
    </row>
    <row r="297" spans="1:12">
      <c r="A297" s="537"/>
      <c r="B297" s="537"/>
      <c r="C297" s="537"/>
      <c r="D297" s="537"/>
      <c r="E297" s="537"/>
      <c r="F297" s="537"/>
      <c r="G297" s="537"/>
      <c r="H297" s="537"/>
      <c r="I297" s="537"/>
      <c r="J297" s="537"/>
      <c r="K297" s="537"/>
      <c r="L297" s="537"/>
    </row>
    <row r="298" spans="1:12">
      <c r="A298" s="537"/>
      <c r="B298" s="537"/>
      <c r="C298" s="537"/>
      <c r="D298" s="537"/>
      <c r="E298" s="537"/>
      <c r="F298" s="537"/>
      <c r="G298" s="537"/>
      <c r="H298" s="537"/>
      <c r="I298" s="537"/>
      <c r="J298" s="537"/>
      <c r="K298" s="537"/>
      <c r="L298" s="537"/>
    </row>
    <row r="299" spans="1:12">
      <c r="A299" s="537"/>
      <c r="B299" s="537"/>
      <c r="C299" s="537"/>
      <c r="D299" s="537"/>
      <c r="E299" s="537"/>
      <c r="F299" s="537"/>
      <c r="G299" s="537"/>
      <c r="H299" s="537"/>
      <c r="I299" s="537"/>
      <c r="J299" s="537"/>
      <c r="K299" s="537"/>
      <c r="L299" s="537"/>
    </row>
    <row r="300" spans="1:12">
      <c r="A300" s="537"/>
      <c r="B300" s="537"/>
      <c r="C300" s="537"/>
      <c r="D300" s="537"/>
      <c r="E300" s="537"/>
      <c r="F300" s="537"/>
      <c r="G300" s="537"/>
      <c r="H300" s="537"/>
      <c r="I300" s="537"/>
      <c r="J300" s="537"/>
      <c r="K300" s="537"/>
      <c r="L300" s="537"/>
    </row>
    <row r="301" spans="1:12">
      <c r="A301" s="537"/>
      <c r="B301" s="537"/>
      <c r="C301" s="537"/>
      <c r="D301" s="537"/>
      <c r="E301" s="537"/>
      <c r="F301" s="537"/>
      <c r="G301" s="537"/>
      <c r="H301" s="537"/>
      <c r="I301" s="537"/>
      <c r="J301" s="537"/>
      <c r="K301" s="537"/>
      <c r="L301" s="537"/>
    </row>
    <row r="302" spans="1:12">
      <c r="A302" s="537"/>
      <c r="B302" s="537"/>
      <c r="C302" s="537"/>
      <c r="D302" s="537"/>
      <c r="E302" s="537"/>
      <c r="F302" s="537"/>
      <c r="G302" s="537"/>
      <c r="H302" s="537"/>
      <c r="I302" s="537"/>
      <c r="J302" s="537"/>
      <c r="K302" s="537"/>
      <c r="L302" s="537"/>
    </row>
    <row r="303" spans="1:12">
      <c r="A303" s="537"/>
      <c r="B303" s="537"/>
      <c r="C303" s="537"/>
      <c r="D303" s="537"/>
      <c r="E303" s="537"/>
      <c r="F303" s="537"/>
      <c r="G303" s="537"/>
      <c r="H303" s="537"/>
      <c r="I303" s="537"/>
      <c r="J303" s="537"/>
      <c r="K303" s="537"/>
      <c r="L303" s="537"/>
    </row>
    <row r="304" spans="1:12">
      <c r="A304" s="537"/>
      <c r="B304" s="537"/>
      <c r="C304" s="537"/>
      <c r="D304" s="537"/>
      <c r="E304" s="537"/>
      <c r="F304" s="537"/>
      <c r="G304" s="537"/>
      <c r="H304" s="537"/>
      <c r="I304" s="537"/>
      <c r="J304" s="537"/>
      <c r="K304" s="537"/>
      <c r="L304" s="537"/>
    </row>
    <row r="305" spans="1:12">
      <c r="A305" s="537"/>
      <c r="B305" s="537"/>
      <c r="C305" s="537"/>
      <c r="D305" s="537"/>
      <c r="E305" s="537"/>
      <c r="F305" s="537"/>
      <c r="G305" s="537"/>
      <c r="H305" s="537"/>
      <c r="I305" s="537"/>
      <c r="J305" s="537"/>
      <c r="K305" s="537"/>
      <c r="L305" s="537"/>
    </row>
    <row r="306" spans="1:12">
      <c r="A306" s="537"/>
      <c r="B306" s="537"/>
      <c r="C306" s="537"/>
      <c r="D306" s="537"/>
      <c r="E306" s="537"/>
      <c r="F306" s="537"/>
      <c r="G306" s="537"/>
      <c r="H306" s="537"/>
      <c r="I306" s="537"/>
      <c r="J306" s="537"/>
      <c r="K306" s="537"/>
      <c r="L306" s="537"/>
    </row>
    <row r="307" spans="1:12">
      <c r="A307" s="537"/>
      <c r="B307" s="537"/>
      <c r="C307" s="537"/>
      <c r="D307" s="537"/>
      <c r="E307" s="537"/>
      <c r="F307" s="537"/>
      <c r="G307" s="537"/>
      <c r="H307" s="537"/>
      <c r="I307" s="537"/>
      <c r="J307" s="537"/>
      <c r="K307" s="537"/>
      <c r="L307" s="537"/>
    </row>
    <row r="308" spans="1:12">
      <c r="A308" s="537"/>
      <c r="B308" s="537"/>
      <c r="C308" s="537"/>
      <c r="D308" s="537"/>
      <c r="E308" s="537"/>
      <c r="F308" s="537"/>
      <c r="G308" s="537"/>
      <c r="H308" s="537"/>
      <c r="I308" s="537"/>
      <c r="J308" s="537"/>
      <c r="K308" s="537"/>
      <c r="L308" s="537"/>
    </row>
    <row r="309" spans="1:12">
      <c r="A309" s="537"/>
      <c r="B309" s="537"/>
      <c r="C309" s="537"/>
      <c r="D309" s="537"/>
      <c r="E309" s="537"/>
      <c r="F309" s="537"/>
      <c r="G309" s="537"/>
      <c r="H309" s="537"/>
      <c r="I309" s="537"/>
      <c r="J309" s="537"/>
      <c r="K309" s="537"/>
      <c r="L309" s="537"/>
    </row>
    <row r="310" spans="1:12">
      <c r="A310" s="537"/>
      <c r="B310" s="537"/>
      <c r="C310" s="537"/>
      <c r="D310" s="537"/>
      <c r="E310" s="537"/>
      <c r="F310" s="537"/>
      <c r="G310" s="537"/>
      <c r="H310" s="537"/>
      <c r="I310" s="537"/>
      <c r="J310" s="537"/>
      <c r="K310" s="537"/>
      <c r="L310" s="537"/>
    </row>
    <row r="311" spans="1:12">
      <c r="A311" s="537"/>
      <c r="B311" s="537"/>
      <c r="C311" s="537"/>
      <c r="D311" s="537"/>
      <c r="E311" s="537"/>
      <c r="F311" s="537"/>
      <c r="G311" s="537"/>
      <c r="H311" s="537"/>
      <c r="I311" s="537"/>
      <c r="J311" s="537"/>
      <c r="K311" s="537"/>
      <c r="L311" s="537"/>
    </row>
    <row r="312" spans="1:12">
      <c r="A312" s="537"/>
      <c r="B312" s="537"/>
      <c r="C312" s="537"/>
      <c r="D312" s="537"/>
      <c r="E312" s="537"/>
      <c r="F312" s="537"/>
      <c r="G312" s="537"/>
      <c r="H312" s="537"/>
      <c r="I312" s="537"/>
      <c r="J312" s="537"/>
      <c r="K312" s="537"/>
      <c r="L312" s="537"/>
    </row>
    <row r="313" spans="1:12">
      <c r="A313" s="537"/>
      <c r="B313" s="537"/>
      <c r="C313" s="537"/>
      <c r="D313" s="537"/>
      <c r="E313" s="537"/>
      <c r="F313" s="537"/>
      <c r="G313" s="537"/>
      <c r="H313" s="537"/>
      <c r="I313" s="537"/>
      <c r="J313" s="537"/>
      <c r="K313" s="537"/>
      <c r="L313" s="537"/>
    </row>
    <row r="314" spans="1:12">
      <c r="A314" s="537"/>
      <c r="B314" s="537"/>
      <c r="C314" s="537"/>
      <c r="D314" s="537"/>
      <c r="E314" s="537"/>
      <c r="F314" s="537"/>
      <c r="G314" s="537"/>
      <c r="H314" s="537"/>
      <c r="I314" s="537"/>
      <c r="J314" s="537"/>
      <c r="K314" s="537"/>
      <c r="L314" s="537"/>
    </row>
    <row r="315" spans="1:12">
      <c r="A315" s="537"/>
      <c r="B315" s="537"/>
      <c r="C315" s="537"/>
      <c r="D315" s="537"/>
      <c r="E315" s="537"/>
      <c r="F315" s="537"/>
      <c r="G315" s="537"/>
      <c r="H315" s="537"/>
      <c r="I315" s="537"/>
      <c r="J315" s="537"/>
      <c r="K315" s="537"/>
      <c r="L315" s="537"/>
    </row>
    <row r="316" spans="1:12">
      <c r="A316" s="537"/>
      <c r="B316" s="537"/>
      <c r="C316" s="537"/>
      <c r="D316" s="537"/>
      <c r="E316" s="537"/>
      <c r="F316" s="537"/>
      <c r="G316" s="537"/>
      <c r="H316" s="537"/>
      <c r="I316" s="537"/>
      <c r="J316" s="537"/>
      <c r="K316" s="537"/>
      <c r="L316" s="537"/>
    </row>
    <row r="317" spans="1:12">
      <c r="A317" s="537"/>
      <c r="B317" s="537"/>
      <c r="C317" s="537"/>
      <c r="D317" s="537"/>
      <c r="E317" s="537"/>
      <c r="F317" s="537"/>
      <c r="G317" s="537"/>
      <c r="H317" s="537"/>
      <c r="I317" s="537"/>
      <c r="J317" s="537"/>
      <c r="K317" s="537"/>
      <c r="L317" s="537"/>
    </row>
    <row r="318" spans="1:12">
      <c r="A318" s="537"/>
      <c r="B318" s="537"/>
      <c r="C318" s="537"/>
      <c r="D318" s="537"/>
      <c r="E318" s="537"/>
      <c r="F318" s="537"/>
      <c r="G318" s="537"/>
      <c r="H318" s="537"/>
      <c r="I318" s="537"/>
      <c r="J318" s="537"/>
      <c r="K318" s="537"/>
      <c r="L318" s="537"/>
    </row>
    <row r="319" spans="1:12">
      <c r="A319" s="537"/>
      <c r="B319" s="537"/>
      <c r="C319" s="537"/>
      <c r="D319" s="537"/>
      <c r="E319" s="537"/>
      <c r="F319" s="537"/>
      <c r="G319" s="537"/>
      <c r="H319" s="537"/>
      <c r="I319" s="537"/>
      <c r="J319" s="537"/>
      <c r="K319" s="537"/>
      <c r="L319" s="537"/>
    </row>
    <row r="320" spans="1:12">
      <c r="A320" s="537"/>
      <c r="B320" s="537"/>
      <c r="C320" s="537"/>
      <c r="D320" s="537"/>
      <c r="E320" s="537"/>
      <c r="F320" s="537"/>
      <c r="G320" s="537"/>
      <c r="H320" s="537"/>
      <c r="I320" s="537"/>
      <c r="J320" s="537"/>
      <c r="K320" s="537"/>
      <c r="L320" s="537"/>
    </row>
    <row r="321" spans="1:12">
      <c r="A321" s="537"/>
      <c r="B321" s="537"/>
      <c r="C321" s="537"/>
      <c r="D321" s="537"/>
      <c r="E321" s="537"/>
      <c r="F321" s="537"/>
      <c r="G321" s="537"/>
      <c r="H321" s="537"/>
      <c r="I321" s="537"/>
      <c r="J321" s="537"/>
      <c r="K321" s="537"/>
      <c r="L321" s="537"/>
    </row>
    <row r="322" spans="1:12">
      <c r="A322" s="537"/>
      <c r="B322" s="537"/>
      <c r="C322" s="537"/>
      <c r="D322" s="537"/>
      <c r="E322" s="537"/>
      <c r="F322" s="537"/>
      <c r="G322" s="537"/>
      <c r="H322" s="537"/>
      <c r="I322" s="537"/>
      <c r="J322" s="537"/>
      <c r="K322" s="537"/>
      <c r="L322" s="537"/>
    </row>
    <row r="323" spans="1:12">
      <c r="A323" s="537"/>
      <c r="B323" s="537"/>
      <c r="C323" s="537"/>
      <c r="D323" s="537"/>
      <c r="E323" s="537"/>
      <c r="F323" s="537"/>
      <c r="G323" s="537"/>
      <c r="H323" s="537"/>
      <c r="I323" s="537"/>
      <c r="J323" s="537"/>
      <c r="K323" s="537"/>
      <c r="L323" s="537"/>
    </row>
    <row r="324" spans="1:12">
      <c r="A324" s="537"/>
      <c r="B324" s="537"/>
      <c r="C324" s="537"/>
      <c r="D324" s="537"/>
      <c r="E324" s="537"/>
      <c r="F324" s="537"/>
      <c r="G324" s="537"/>
      <c r="H324" s="537"/>
      <c r="I324" s="537"/>
      <c r="J324" s="537"/>
      <c r="K324" s="537"/>
      <c r="L324" s="537"/>
    </row>
    <row r="325" spans="1:12">
      <c r="A325" s="537"/>
      <c r="B325" s="537"/>
      <c r="C325" s="537"/>
      <c r="D325" s="537"/>
      <c r="E325" s="537"/>
      <c r="F325" s="537"/>
      <c r="G325" s="537"/>
      <c r="H325" s="537"/>
      <c r="I325" s="537"/>
      <c r="J325" s="537"/>
      <c r="K325" s="537"/>
      <c r="L325" s="537"/>
    </row>
    <row r="326" spans="1:12">
      <c r="A326" s="537"/>
      <c r="B326" s="537"/>
      <c r="C326" s="537"/>
      <c r="D326" s="537"/>
      <c r="E326" s="537"/>
      <c r="F326" s="537"/>
      <c r="G326" s="537"/>
      <c r="H326" s="537"/>
      <c r="I326" s="537"/>
      <c r="J326" s="537"/>
      <c r="K326" s="537"/>
      <c r="L326" s="537"/>
    </row>
    <row r="327" spans="1:12">
      <c r="A327" s="537"/>
      <c r="B327" s="537"/>
      <c r="C327" s="537"/>
      <c r="D327" s="537"/>
      <c r="E327" s="537"/>
      <c r="F327" s="537"/>
      <c r="G327" s="537"/>
      <c r="H327" s="537"/>
      <c r="I327" s="537"/>
      <c r="J327" s="537"/>
      <c r="K327" s="537"/>
      <c r="L327" s="537"/>
    </row>
    <row r="328" spans="1:12">
      <c r="A328" s="537"/>
      <c r="B328" s="537"/>
      <c r="C328" s="537"/>
      <c r="D328" s="537"/>
      <c r="E328" s="537"/>
      <c r="F328" s="537"/>
      <c r="G328" s="537"/>
      <c r="H328" s="537"/>
      <c r="I328" s="537"/>
      <c r="J328" s="537"/>
      <c r="K328" s="537"/>
      <c r="L328" s="537"/>
    </row>
    <row r="329" spans="1:12">
      <c r="A329" s="537"/>
      <c r="B329" s="537"/>
      <c r="C329" s="537"/>
      <c r="D329" s="537"/>
      <c r="E329" s="537"/>
      <c r="F329" s="537"/>
      <c r="G329" s="537"/>
      <c r="H329" s="537"/>
      <c r="I329" s="537"/>
      <c r="J329" s="537"/>
      <c r="K329" s="537"/>
      <c r="L329" s="537"/>
    </row>
    <row r="330" spans="1:12">
      <c r="A330" s="537"/>
      <c r="B330" s="537"/>
      <c r="C330" s="537"/>
      <c r="D330" s="537"/>
      <c r="E330" s="537"/>
      <c r="F330" s="537"/>
      <c r="G330" s="537"/>
      <c r="H330" s="537"/>
      <c r="I330" s="537"/>
      <c r="J330" s="537"/>
      <c r="K330" s="537"/>
      <c r="L330" s="537"/>
    </row>
    <row r="331" spans="1:12">
      <c r="A331" s="537"/>
      <c r="B331" s="537"/>
      <c r="C331" s="537"/>
      <c r="D331" s="537"/>
      <c r="E331" s="537"/>
      <c r="F331" s="537"/>
      <c r="G331" s="537"/>
      <c r="H331" s="537"/>
      <c r="I331" s="537"/>
      <c r="J331" s="537"/>
      <c r="K331" s="537"/>
      <c r="L331" s="537"/>
    </row>
    <row r="332" spans="1:12">
      <c r="A332" s="537"/>
      <c r="B332" s="537"/>
      <c r="C332" s="537"/>
      <c r="D332" s="537"/>
      <c r="E332" s="537"/>
      <c r="F332" s="537"/>
      <c r="G332" s="537"/>
      <c r="H332" s="537"/>
      <c r="I332" s="537"/>
      <c r="J332" s="537"/>
      <c r="K332" s="537"/>
      <c r="L332" s="537"/>
    </row>
    <row r="333" spans="1:12">
      <c r="A333" s="537"/>
      <c r="B333" s="537"/>
      <c r="C333" s="537"/>
      <c r="D333" s="537"/>
      <c r="E333" s="537"/>
      <c r="F333" s="537"/>
      <c r="G333" s="537"/>
      <c r="H333" s="537"/>
      <c r="I333" s="537"/>
      <c r="J333" s="537"/>
      <c r="K333" s="537"/>
      <c r="L333" s="537"/>
    </row>
    <row r="334" spans="1:12">
      <c r="A334" s="537"/>
      <c r="B334" s="537"/>
      <c r="C334" s="537"/>
      <c r="D334" s="537"/>
      <c r="E334" s="537"/>
      <c r="F334" s="537"/>
      <c r="G334" s="537"/>
      <c r="H334" s="537"/>
      <c r="I334" s="537"/>
      <c r="J334" s="537"/>
      <c r="K334" s="537"/>
      <c r="L334" s="537"/>
    </row>
    <row r="335" spans="1:12">
      <c r="A335" s="537"/>
      <c r="B335" s="537"/>
      <c r="C335" s="537"/>
      <c r="D335" s="537"/>
      <c r="E335" s="537"/>
      <c r="F335" s="537"/>
      <c r="G335" s="537"/>
      <c r="H335" s="537"/>
      <c r="I335" s="537"/>
      <c r="J335" s="537"/>
      <c r="K335" s="537"/>
      <c r="L335" s="537"/>
    </row>
    <row r="336" spans="1:12">
      <c r="A336" s="537"/>
      <c r="B336" s="537"/>
      <c r="C336" s="537"/>
      <c r="D336" s="537"/>
      <c r="E336" s="537"/>
      <c r="F336" s="537"/>
      <c r="G336" s="537"/>
      <c r="H336" s="537"/>
      <c r="I336" s="537"/>
      <c r="J336" s="537"/>
      <c r="K336" s="537"/>
      <c r="L336" s="537"/>
    </row>
    <row r="337" spans="1:12">
      <c r="A337" s="537"/>
      <c r="B337" s="537"/>
      <c r="C337" s="537"/>
      <c r="D337" s="537"/>
      <c r="E337" s="537"/>
      <c r="F337" s="537"/>
      <c r="G337" s="537"/>
      <c r="H337" s="537"/>
      <c r="I337" s="537"/>
      <c r="J337" s="537"/>
      <c r="K337" s="537"/>
      <c r="L337" s="537"/>
    </row>
    <row r="338" spans="1:12">
      <c r="A338" s="537"/>
      <c r="B338" s="537"/>
      <c r="C338" s="537"/>
      <c r="D338" s="537"/>
      <c r="E338" s="537"/>
      <c r="F338" s="537"/>
      <c r="G338" s="537"/>
      <c r="H338" s="537"/>
      <c r="I338" s="537"/>
      <c r="J338" s="537"/>
      <c r="K338" s="537"/>
      <c r="L338" s="537"/>
    </row>
    <row r="339" spans="1:12">
      <c r="A339" s="537"/>
      <c r="B339" s="537"/>
      <c r="C339" s="537"/>
      <c r="D339" s="537"/>
      <c r="E339" s="537"/>
      <c r="F339" s="537"/>
      <c r="G339" s="537"/>
      <c r="H339" s="537"/>
      <c r="I339" s="537"/>
      <c r="J339" s="537"/>
      <c r="K339" s="537"/>
      <c r="L339" s="537"/>
    </row>
    <row r="340" spans="1:12">
      <c r="A340" s="537"/>
      <c r="B340" s="537"/>
      <c r="C340" s="537"/>
      <c r="D340" s="537"/>
      <c r="E340" s="537"/>
      <c r="F340" s="537"/>
      <c r="G340" s="537"/>
      <c r="H340" s="537"/>
      <c r="I340" s="537"/>
      <c r="J340" s="537"/>
      <c r="K340" s="537"/>
      <c r="L340" s="537"/>
    </row>
    <row r="341" spans="1:12">
      <c r="A341" s="537"/>
      <c r="B341" s="537"/>
      <c r="C341" s="537"/>
      <c r="D341" s="537"/>
      <c r="E341" s="537"/>
      <c r="F341" s="537"/>
      <c r="G341" s="537"/>
      <c r="H341" s="537"/>
      <c r="I341" s="537"/>
      <c r="J341" s="537"/>
      <c r="K341" s="537"/>
      <c r="L341" s="537"/>
    </row>
    <row r="342" spans="1:12">
      <c r="A342" s="537"/>
      <c r="B342" s="537"/>
      <c r="C342" s="537"/>
      <c r="D342" s="537"/>
      <c r="E342" s="537"/>
      <c r="F342" s="537"/>
      <c r="G342" s="537"/>
      <c r="H342" s="537"/>
      <c r="I342" s="537"/>
      <c r="J342" s="537"/>
      <c r="K342" s="537"/>
      <c r="L342" s="537"/>
    </row>
    <row r="343" spans="1:12">
      <c r="A343" s="537"/>
      <c r="B343" s="537"/>
      <c r="C343" s="537"/>
      <c r="D343" s="537"/>
      <c r="E343" s="537"/>
      <c r="F343" s="537"/>
      <c r="G343" s="537"/>
      <c r="H343" s="537"/>
      <c r="I343" s="537"/>
      <c r="J343" s="537"/>
      <c r="K343" s="537"/>
      <c r="L343" s="537"/>
    </row>
    <row r="344" spans="1:12">
      <c r="A344" s="537"/>
      <c r="B344" s="537"/>
      <c r="C344" s="537"/>
      <c r="D344" s="537"/>
      <c r="E344" s="537"/>
      <c r="F344" s="537"/>
      <c r="G344" s="537"/>
      <c r="H344" s="537"/>
      <c r="I344" s="537"/>
      <c r="J344" s="537"/>
      <c r="K344" s="537"/>
      <c r="L344" s="537"/>
    </row>
    <row r="345" spans="1:12">
      <c r="A345" s="537"/>
      <c r="B345" s="537"/>
      <c r="C345" s="537"/>
      <c r="D345" s="537"/>
      <c r="E345" s="537"/>
      <c r="F345" s="537"/>
      <c r="G345" s="537"/>
      <c r="H345" s="537"/>
      <c r="I345" s="537"/>
      <c r="J345" s="537"/>
      <c r="K345" s="537"/>
      <c r="L345" s="537"/>
    </row>
    <row r="346" spans="1:12">
      <c r="A346" s="537"/>
      <c r="B346" s="537"/>
      <c r="C346" s="537"/>
      <c r="D346" s="537"/>
      <c r="E346" s="537"/>
      <c r="F346" s="537"/>
      <c r="G346" s="537"/>
      <c r="H346" s="537"/>
      <c r="I346" s="537"/>
      <c r="J346" s="537"/>
      <c r="K346" s="537"/>
      <c r="L346" s="537"/>
    </row>
    <row r="347" spans="1:12">
      <c r="A347" s="537"/>
      <c r="B347" s="537"/>
      <c r="C347" s="537"/>
      <c r="D347" s="537"/>
      <c r="E347" s="537"/>
      <c r="F347" s="537"/>
      <c r="G347" s="537"/>
      <c r="H347" s="537"/>
      <c r="I347" s="537"/>
      <c r="J347" s="537"/>
      <c r="K347" s="537"/>
      <c r="L347" s="537"/>
    </row>
    <row r="348" spans="1:12">
      <c r="A348" s="537"/>
      <c r="B348" s="537"/>
      <c r="C348" s="537"/>
      <c r="D348" s="537"/>
      <c r="E348" s="537"/>
      <c r="F348" s="537"/>
      <c r="G348" s="537"/>
      <c r="H348" s="537"/>
      <c r="I348" s="537"/>
      <c r="J348" s="537"/>
      <c r="K348" s="537"/>
      <c r="L348" s="537"/>
    </row>
    <row r="349" spans="1:12">
      <c r="A349" s="537"/>
      <c r="B349" s="537"/>
      <c r="C349" s="537"/>
      <c r="D349" s="537"/>
      <c r="E349" s="537"/>
      <c r="F349" s="537"/>
      <c r="G349" s="537"/>
      <c r="H349" s="537"/>
      <c r="I349" s="537"/>
      <c r="J349" s="537"/>
      <c r="K349" s="537"/>
      <c r="L349" s="537"/>
    </row>
    <row r="350" spans="1:12">
      <c r="A350" s="537"/>
      <c r="B350" s="537"/>
      <c r="C350" s="537"/>
      <c r="D350" s="537"/>
      <c r="E350" s="537"/>
      <c r="F350" s="537"/>
      <c r="G350" s="537"/>
      <c r="H350" s="537"/>
      <c r="I350" s="537"/>
      <c r="J350" s="537"/>
      <c r="K350" s="537"/>
      <c r="L350" s="537"/>
    </row>
    <row r="351" spans="1:12">
      <c r="A351" s="537"/>
      <c r="B351" s="537"/>
      <c r="C351" s="537"/>
      <c r="D351" s="537"/>
      <c r="E351" s="537"/>
      <c r="F351" s="537"/>
      <c r="G351" s="537"/>
      <c r="H351" s="537"/>
      <c r="I351" s="537"/>
      <c r="J351" s="537"/>
      <c r="K351" s="537"/>
      <c r="L351" s="537"/>
    </row>
    <row r="352" spans="1:12">
      <c r="A352" s="537"/>
      <c r="B352" s="537"/>
      <c r="C352" s="537"/>
      <c r="D352" s="537"/>
      <c r="E352" s="537"/>
      <c r="F352" s="537"/>
      <c r="G352" s="537"/>
      <c r="H352" s="537"/>
      <c r="I352" s="537"/>
      <c r="J352" s="537"/>
      <c r="K352" s="537"/>
      <c r="L352" s="537"/>
    </row>
    <row r="353" spans="1:12">
      <c r="A353" s="537"/>
      <c r="B353" s="537"/>
      <c r="C353" s="537"/>
      <c r="D353" s="537"/>
      <c r="E353" s="537"/>
      <c r="F353" s="537"/>
      <c r="G353" s="537"/>
      <c r="H353" s="537"/>
      <c r="I353" s="537"/>
      <c r="J353" s="537"/>
      <c r="K353" s="537"/>
      <c r="L353" s="537"/>
    </row>
    <row r="354" spans="1:12">
      <c r="A354" s="537"/>
      <c r="B354" s="537"/>
      <c r="C354" s="537"/>
      <c r="D354" s="537"/>
      <c r="E354" s="537"/>
      <c r="F354" s="537"/>
      <c r="G354" s="537"/>
      <c r="H354" s="537"/>
      <c r="I354" s="537"/>
      <c r="J354" s="537"/>
      <c r="K354" s="537"/>
      <c r="L354" s="537"/>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dimension ref="A1:A40"/>
  <sheetViews>
    <sheetView workbookViewId="0">
      <selection activeCell="A12" sqref="A12"/>
    </sheetView>
  </sheetViews>
  <sheetFormatPr defaultColWidth="8.88671875" defaultRowHeight="15.75"/>
  <cols>
    <col min="1" max="1" width="71.21875" style="1" customWidth="1"/>
    <col min="2" max="16384" width="8.88671875" style="1"/>
  </cols>
  <sheetData>
    <row r="1" spans="1:1" ht="16.5">
      <c r="A1" s="538" t="s">
        <v>744</v>
      </c>
    </row>
    <row r="3" spans="1:1" ht="31.5">
      <c r="A3" s="2" t="s">
        <v>745</v>
      </c>
    </row>
    <row r="4" spans="1:1">
      <c r="A4" s="539" t="s">
        <v>746</v>
      </c>
    </row>
    <row r="7" spans="1:1" ht="31.5">
      <c r="A7" s="2" t="s">
        <v>747</v>
      </c>
    </row>
    <row r="8" spans="1:1">
      <c r="A8" s="539" t="s">
        <v>748</v>
      </c>
    </row>
    <row r="11" spans="1:1">
      <c r="A11" s="1" t="s">
        <v>749</v>
      </c>
    </row>
    <row r="12" spans="1:1">
      <c r="A12" s="539" t="s">
        <v>750</v>
      </c>
    </row>
    <row r="15" spans="1:1">
      <c r="A15" s="1" t="s">
        <v>751</v>
      </c>
    </row>
    <row r="16" spans="1:1">
      <c r="A16" s="539" t="s">
        <v>752</v>
      </c>
    </row>
    <row r="19" spans="1:1">
      <c r="A19" s="1" t="s">
        <v>753</v>
      </c>
    </row>
    <row r="20" spans="1:1">
      <c r="A20" s="539" t="s">
        <v>754</v>
      </c>
    </row>
    <row r="23" spans="1:1">
      <c r="A23" s="1" t="s">
        <v>755</v>
      </c>
    </row>
    <row r="24" spans="1:1">
      <c r="A24" s="539" t="s">
        <v>756</v>
      </c>
    </row>
    <row r="27" spans="1:1">
      <c r="A27" s="1" t="s">
        <v>757</v>
      </c>
    </row>
    <row r="28" spans="1:1">
      <c r="A28" s="539" t="s">
        <v>758</v>
      </c>
    </row>
    <row r="31" spans="1:1">
      <c r="A31" s="1" t="s">
        <v>759</v>
      </c>
    </row>
    <row r="32" spans="1:1">
      <c r="A32" s="539" t="s">
        <v>760</v>
      </c>
    </row>
    <row r="35" spans="1:1">
      <c r="A35" s="1" t="s">
        <v>761</v>
      </c>
    </row>
    <row r="36" spans="1:1">
      <c r="A36" s="539" t="s">
        <v>762</v>
      </c>
    </row>
    <row r="39" spans="1:1">
      <c r="A39" s="1" t="s">
        <v>763</v>
      </c>
    </row>
    <row r="40" spans="1:1">
      <c r="A40" s="539" t="s">
        <v>764</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8.xml><?xml version="1.0" encoding="utf-8"?>
<worksheet xmlns="http://schemas.openxmlformats.org/spreadsheetml/2006/main" xmlns:r="http://schemas.openxmlformats.org/officeDocument/2006/relationships">
  <dimension ref="A1:A216"/>
  <sheetViews>
    <sheetView workbookViewId="0">
      <selection activeCell="H22" sqref="H22"/>
    </sheetView>
  </sheetViews>
  <sheetFormatPr defaultColWidth="8.88671875" defaultRowHeight="15.75"/>
  <cols>
    <col min="1" max="1" width="82.109375" style="1" customWidth="1"/>
    <col min="2" max="16384" width="8.88671875" style="1"/>
  </cols>
  <sheetData>
    <row r="1" spans="1:1">
      <c r="A1" s="480" t="s">
        <v>1038</v>
      </c>
    </row>
    <row r="2" spans="1:1">
      <c r="A2" s="62" t="s">
        <v>1039</v>
      </c>
    </row>
    <row r="4" spans="1:1">
      <c r="A4" s="480" t="s">
        <v>1035</v>
      </c>
    </row>
    <row r="5" spans="1:1">
      <c r="A5" s="62" t="s">
        <v>1036</v>
      </c>
    </row>
    <row r="7" spans="1:1">
      <c r="A7" s="480" t="s">
        <v>1032</v>
      </c>
    </row>
    <row r="8" spans="1:1">
      <c r="A8" s="777" t="s">
        <v>1034</v>
      </c>
    </row>
    <row r="10" spans="1:1">
      <c r="A10" s="480" t="s">
        <v>1032</v>
      </c>
    </row>
    <row r="11" spans="1:1">
      <c r="A11" s="777" t="s">
        <v>1033</v>
      </c>
    </row>
    <row r="13" spans="1:1">
      <c r="A13" s="480" t="s">
        <v>1029</v>
      </c>
    </row>
    <row r="14" spans="1:1">
      <c r="A14" s="1" t="s">
        <v>1030</v>
      </c>
    </row>
    <row r="16" spans="1:1">
      <c r="A16" s="480" t="s">
        <v>1027</v>
      </c>
    </row>
    <row r="17" spans="1:1">
      <c r="A17" s="62" t="s">
        <v>1028</v>
      </c>
    </row>
    <row r="19" spans="1:1">
      <c r="A19" s="480" t="s">
        <v>1025</v>
      </c>
    </row>
    <row r="20" spans="1:1">
      <c r="A20" s="796" t="s">
        <v>1026</v>
      </c>
    </row>
    <row r="22" spans="1:1">
      <c r="A22" s="480" t="s">
        <v>1022</v>
      </c>
    </row>
    <row r="23" spans="1:1">
      <c r="A23" s="1" t="s">
        <v>1023</v>
      </c>
    </row>
    <row r="25" spans="1:1">
      <c r="A25" s="480" t="s">
        <v>935</v>
      </c>
    </row>
    <row r="26" spans="1:1">
      <c r="A26" s="777" t="s">
        <v>936</v>
      </c>
    </row>
    <row r="27" spans="1:1">
      <c r="A27" s="62" t="s">
        <v>937</v>
      </c>
    </row>
    <row r="28" spans="1:1">
      <c r="A28" s="62" t="s">
        <v>938</v>
      </c>
    </row>
    <row r="29" spans="1:1">
      <c r="A29" s="62" t="s">
        <v>939</v>
      </c>
    </row>
    <row r="30" spans="1:1">
      <c r="A30" s="62" t="s">
        <v>940</v>
      </c>
    </row>
    <row r="31" spans="1:1">
      <c r="A31" s="62" t="s">
        <v>941</v>
      </c>
    </row>
    <row r="32" spans="1:1">
      <c r="A32" s="62" t="s">
        <v>942</v>
      </c>
    </row>
    <row r="33" spans="1:1">
      <c r="A33" s="62" t="s">
        <v>943</v>
      </c>
    </row>
    <row r="34" spans="1:1">
      <c r="A34" s="62" t="s">
        <v>944</v>
      </c>
    </row>
    <row r="35" spans="1:1">
      <c r="A35" s="62" t="s">
        <v>945</v>
      </c>
    </row>
    <row r="36" spans="1:1">
      <c r="A36" s="62" t="s">
        <v>946</v>
      </c>
    </row>
    <row r="37" spans="1:1">
      <c r="A37" s="62" t="s">
        <v>947</v>
      </c>
    </row>
    <row r="38" spans="1:1">
      <c r="A38" s="62" t="s">
        <v>948</v>
      </c>
    </row>
    <row r="39" spans="1:1">
      <c r="A39" s="62" t="s">
        <v>949</v>
      </c>
    </row>
    <row r="40" spans="1:1">
      <c r="A40" s="62" t="s">
        <v>950</v>
      </c>
    </row>
    <row r="41" spans="1:1">
      <c r="A41" s="62" t="s">
        <v>951</v>
      </c>
    </row>
    <row r="42" spans="1:1" ht="47.25">
      <c r="A42" s="64" t="s">
        <v>952</v>
      </c>
    </row>
    <row r="43" spans="1:1">
      <c r="A43" s="63" t="s">
        <v>953</v>
      </c>
    </row>
    <row r="44" spans="1:1" ht="31.5">
      <c r="A44" s="64" t="s">
        <v>954</v>
      </c>
    </row>
    <row r="45" spans="1:1">
      <c r="A45" s="62" t="s">
        <v>955</v>
      </c>
    </row>
    <row r="46" spans="1:1">
      <c r="A46" s="62" t="s">
        <v>956</v>
      </c>
    </row>
    <row r="47" spans="1:1">
      <c r="A47" s="62" t="s">
        <v>957</v>
      </c>
    </row>
    <row r="48" spans="1:1">
      <c r="A48" s="62" t="s">
        <v>958</v>
      </c>
    </row>
    <row r="49" spans="1:1">
      <c r="A49" s="62" t="s">
        <v>959</v>
      </c>
    </row>
    <row r="50" spans="1:1">
      <c r="A50" s="62" t="s">
        <v>960</v>
      </c>
    </row>
    <row r="51" spans="1:1">
      <c r="A51" s="62" t="s">
        <v>961</v>
      </c>
    </row>
    <row r="52" spans="1:1">
      <c r="A52" s="62" t="s">
        <v>962</v>
      </c>
    </row>
    <row r="53" spans="1:1">
      <c r="A53" s="62" t="s">
        <v>963</v>
      </c>
    </row>
    <row r="54" spans="1:1">
      <c r="A54" s="62" t="s">
        <v>964</v>
      </c>
    </row>
    <row r="55" spans="1:1">
      <c r="A55" s="62" t="s">
        <v>965</v>
      </c>
    </row>
    <row r="56" spans="1:1">
      <c r="A56" s="62" t="s">
        <v>966</v>
      </c>
    </row>
    <row r="57" spans="1:1">
      <c r="A57" s="62" t="s">
        <v>967</v>
      </c>
    </row>
    <row r="58" spans="1:1">
      <c r="A58" s="62" t="s">
        <v>968</v>
      </c>
    </row>
    <row r="59" spans="1:1">
      <c r="A59" s="62" t="s">
        <v>969</v>
      </c>
    </row>
    <row r="60" spans="1:1">
      <c r="A60" s="62" t="s">
        <v>970</v>
      </c>
    </row>
    <row r="61" spans="1:1">
      <c r="A61" s="62" t="s">
        <v>971</v>
      </c>
    </row>
    <row r="62" spans="1:1">
      <c r="A62" s="62" t="s">
        <v>972</v>
      </c>
    </row>
    <row r="63" spans="1:1">
      <c r="A63" s="62" t="s">
        <v>973</v>
      </c>
    </row>
    <row r="64" spans="1:1">
      <c r="A64" s="62" t="s">
        <v>974</v>
      </c>
    </row>
    <row r="65" spans="1:1">
      <c r="A65" s="62" t="s">
        <v>1012</v>
      </c>
    </row>
    <row r="66" spans="1:1">
      <c r="A66" s="62"/>
    </row>
    <row r="67" spans="1:1">
      <c r="A67" s="62"/>
    </row>
    <row r="68" spans="1:1">
      <c r="A68" s="611" t="s">
        <v>831</v>
      </c>
    </row>
    <row r="70" spans="1:1">
      <c r="A70" s="480" t="s">
        <v>791</v>
      </c>
    </row>
    <row r="71" spans="1:1">
      <c r="A71" s="611" t="s">
        <v>788</v>
      </c>
    </row>
    <row r="72" spans="1:1">
      <c r="A72" s="611" t="s">
        <v>789</v>
      </c>
    </row>
    <row r="73" spans="1:1" ht="31.5">
      <c r="A73" s="610" t="s">
        <v>790</v>
      </c>
    </row>
    <row r="74" spans="1:1">
      <c r="A74" s="611" t="s">
        <v>792</v>
      </c>
    </row>
    <row r="75" spans="1:1">
      <c r="A75" s="611" t="s">
        <v>793</v>
      </c>
    </row>
    <row r="76" spans="1:1">
      <c r="A76" s="611" t="s">
        <v>794</v>
      </c>
    </row>
    <row r="77" spans="1:1">
      <c r="A77" s="611" t="s">
        <v>795</v>
      </c>
    </row>
    <row r="78" spans="1:1">
      <c r="A78" s="611" t="s">
        <v>796</v>
      </c>
    </row>
    <row r="79" spans="1:1">
      <c r="A79" s="611" t="s">
        <v>797</v>
      </c>
    </row>
    <row r="80" spans="1:1">
      <c r="A80" s="611" t="s">
        <v>798</v>
      </c>
    </row>
    <row r="81" spans="1:1">
      <c r="A81" s="611" t="s">
        <v>799</v>
      </c>
    </row>
    <row r="82" spans="1:1">
      <c r="A82" s="611" t="s">
        <v>800</v>
      </c>
    </row>
    <row r="83" spans="1:1">
      <c r="A83" s="611" t="s">
        <v>801</v>
      </c>
    </row>
    <row r="84" spans="1:1">
      <c r="A84" s="611" t="s">
        <v>802</v>
      </c>
    </row>
    <row r="85" spans="1:1">
      <c r="A85" s="611" t="s">
        <v>803</v>
      </c>
    </row>
    <row r="86" spans="1:1">
      <c r="A86" s="611" t="s">
        <v>804</v>
      </c>
    </row>
    <row r="87" spans="1:1">
      <c r="A87" s="611" t="s">
        <v>805</v>
      </c>
    </row>
    <row r="88" spans="1:1">
      <c r="A88" s="611" t="s">
        <v>806</v>
      </c>
    </row>
    <row r="89" spans="1:1">
      <c r="A89" s="611" t="s">
        <v>807</v>
      </c>
    </row>
    <row r="90" spans="1:1">
      <c r="A90" s="611" t="s">
        <v>808</v>
      </c>
    </row>
    <row r="91" spans="1:1">
      <c r="A91" s="611" t="s">
        <v>809</v>
      </c>
    </row>
    <row r="92" spans="1:1">
      <c r="A92" s="611" t="s">
        <v>810</v>
      </c>
    </row>
    <row r="93" spans="1:1">
      <c r="A93" s="611" t="s">
        <v>811</v>
      </c>
    </row>
    <row r="94" spans="1:1">
      <c r="A94" s="611" t="s">
        <v>812</v>
      </c>
    </row>
    <row r="95" spans="1:1">
      <c r="A95" s="611" t="s">
        <v>813</v>
      </c>
    </row>
    <row r="96" spans="1:1">
      <c r="A96" s="611" t="s">
        <v>814</v>
      </c>
    </row>
    <row r="97" spans="1:1">
      <c r="A97" s="611" t="s">
        <v>815</v>
      </c>
    </row>
    <row r="98" spans="1:1">
      <c r="A98" s="1" t="s">
        <v>830</v>
      </c>
    </row>
    <row r="100" spans="1:1">
      <c r="A100" s="480" t="s">
        <v>685</v>
      </c>
    </row>
    <row r="101" spans="1:1">
      <c r="A101" s="62" t="s">
        <v>688</v>
      </c>
    </row>
    <row r="102" spans="1:1">
      <c r="A102" s="62" t="s">
        <v>686</v>
      </c>
    </row>
    <row r="103" spans="1:1">
      <c r="A103" s="62" t="s">
        <v>687</v>
      </c>
    </row>
    <row r="105" spans="1:1">
      <c r="A105" s="476" t="s">
        <v>677</v>
      </c>
    </row>
    <row r="106" spans="1:1">
      <c r="A106" s="62" t="s">
        <v>684</v>
      </c>
    </row>
    <row r="108" spans="1:1">
      <c r="A108" s="476" t="s">
        <v>670</v>
      </c>
    </row>
    <row r="109" spans="1:1">
      <c r="A109" s="475" t="s">
        <v>671</v>
      </c>
    </row>
    <row r="110" spans="1:1">
      <c r="A110" s="475" t="s">
        <v>672</v>
      </c>
    </row>
    <row r="111" spans="1:1">
      <c r="A111" s="475" t="s">
        <v>673</v>
      </c>
    </row>
    <row r="112" spans="1:1">
      <c r="A112" s="62" t="s">
        <v>675</v>
      </c>
    </row>
    <row r="114" spans="1:1">
      <c r="A114" s="46" t="s">
        <v>438</v>
      </c>
    </row>
    <row r="115" spans="1:1">
      <c r="A115" s="62" t="s">
        <v>439</v>
      </c>
    </row>
    <row r="116" spans="1:1">
      <c r="A116" s="62" t="s">
        <v>440</v>
      </c>
    </row>
    <row r="117" spans="1:1" ht="22.5" customHeight="1">
      <c r="A117" s="64" t="s">
        <v>441</v>
      </c>
    </row>
    <row r="118" spans="1:1">
      <c r="A118" s="62" t="s">
        <v>442</v>
      </c>
    </row>
    <row r="119" spans="1:1">
      <c r="A119" s="62" t="s">
        <v>443</v>
      </c>
    </row>
    <row r="120" spans="1:1">
      <c r="A120" s="62" t="s">
        <v>444</v>
      </c>
    </row>
    <row r="121" spans="1:1">
      <c r="A121" s="62" t="s">
        <v>445</v>
      </c>
    </row>
    <row r="122" spans="1:1">
      <c r="A122" s="457" t="s">
        <v>450</v>
      </c>
    </row>
    <row r="123" spans="1:1">
      <c r="A123" s="458" t="s">
        <v>638</v>
      </c>
    </row>
    <row r="125" spans="1:1">
      <c r="A125" s="46" t="s">
        <v>391</v>
      </c>
    </row>
    <row r="126" spans="1:1">
      <c r="A126" s="62" t="s">
        <v>392</v>
      </c>
    </row>
    <row r="127" spans="1:1">
      <c r="A127" s="62" t="s">
        <v>393</v>
      </c>
    </row>
    <row r="128" spans="1:1">
      <c r="A128" s="62" t="s">
        <v>394</v>
      </c>
    </row>
    <row r="129" spans="1:1">
      <c r="A129" s="1" t="s">
        <v>395</v>
      </c>
    </row>
    <row r="130" spans="1:1">
      <c r="A130" s="1" t="s">
        <v>396</v>
      </c>
    </row>
    <row r="131" spans="1:1">
      <c r="A131" s="1" t="s">
        <v>451</v>
      </c>
    </row>
    <row r="133" spans="1:1">
      <c r="A133" s="46" t="s">
        <v>349</v>
      </c>
    </row>
    <row r="134" spans="1:1">
      <c r="A134" s="1" t="s">
        <v>350</v>
      </c>
    </row>
    <row r="136" spans="1:1">
      <c r="A136" s="46" t="s">
        <v>347</v>
      </c>
    </row>
    <row r="137" spans="1:1">
      <c r="A137" s="1" t="s">
        <v>348</v>
      </c>
    </row>
    <row r="139" spans="1:1">
      <c r="A139" s="46" t="s">
        <v>344</v>
      </c>
    </row>
    <row r="140" spans="1:1">
      <c r="A140" s="1" t="s">
        <v>345</v>
      </c>
    </row>
    <row r="141" spans="1:1">
      <c r="A141" s="1" t="s">
        <v>346</v>
      </c>
    </row>
    <row r="143" spans="1:1">
      <c r="A143" s="46" t="s">
        <v>65</v>
      </c>
    </row>
    <row r="144" spans="1:1">
      <c r="A144" s="1" t="s">
        <v>50</v>
      </c>
    </row>
    <row r="145" spans="1:1">
      <c r="A145" s="1" t="s">
        <v>51</v>
      </c>
    </row>
    <row r="146" spans="1:1">
      <c r="A146" s="1" t="s">
        <v>52</v>
      </c>
    </row>
    <row r="147" spans="1:1">
      <c r="A147" s="1" t="s">
        <v>59</v>
      </c>
    </row>
    <row r="148" spans="1:1">
      <c r="A148" s="1" t="s">
        <v>53</v>
      </c>
    </row>
    <row r="149" spans="1:1">
      <c r="A149" s="1" t="s">
        <v>54</v>
      </c>
    </row>
    <row r="150" spans="1:1" ht="31.5">
      <c r="A150" s="2" t="s">
        <v>60</v>
      </c>
    </row>
    <row r="151" spans="1:1" ht="31.5">
      <c r="A151" s="2" t="s">
        <v>55</v>
      </c>
    </row>
    <row r="152" spans="1:1">
      <c r="A152" s="2" t="s">
        <v>56</v>
      </c>
    </row>
    <row r="153" spans="1:1">
      <c r="A153" s="2" t="s">
        <v>57</v>
      </c>
    </row>
    <row r="154" spans="1:1" ht="31.5">
      <c r="A154" s="2" t="s">
        <v>339</v>
      </c>
    </row>
    <row r="155" spans="1:1">
      <c r="A155" s="1" t="s">
        <v>340</v>
      </c>
    </row>
    <row r="156" spans="1:1" ht="31.5">
      <c r="A156" s="2" t="s">
        <v>58</v>
      </c>
    </row>
    <row r="157" spans="1:1">
      <c r="A157" s="1" t="s">
        <v>62</v>
      </c>
    </row>
    <row r="158" spans="1:1">
      <c r="A158" s="1" t="s">
        <v>63</v>
      </c>
    </row>
    <row r="159" spans="1:1">
      <c r="A159" s="1" t="s">
        <v>64</v>
      </c>
    </row>
    <row r="160" spans="1:1" ht="31.5">
      <c r="A160" s="2" t="s">
        <v>338</v>
      </c>
    </row>
    <row r="161" spans="1:1">
      <c r="A161" s="1" t="s">
        <v>337</v>
      </c>
    </row>
    <row r="162" spans="1:1" ht="31.5">
      <c r="A162" s="2" t="s">
        <v>336</v>
      </c>
    </row>
    <row r="163" spans="1:1">
      <c r="A163" s="1" t="s">
        <v>341</v>
      </c>
    </row>
    <row r="165" spans="1:1">
      <c r="A165" s="46" t="s">
        <v>68</v>
      </c>
    </row>
    <row r="166" spans="1:1">
      <c r="A166" s="1" t="s">
        <v>69</v>
      </c>
    </row>
    <row r="167" spans="1:1">
      <c r="A167" s="1" t="s">
        <v>70</v>
      </c>
    </row>
    <row r="168" spans="1:1">
      <c r="A168" s="1" t="s">
        <v>71</v>
      </c>
    </row>
    <row r="169" spans="1:1">
      <c r="A169" s="1" t="s">
        <v>61</v>
      </c>
    </row>
    <row r="172" spans="1:1">
      <c r="A172" s="46" t="s">
        <v>46</v>
      </c>
    </row>
    <row r="173" spans="1:1">
      <c r="A173" s="1" t="s">
        <v>47</v>
      </c>
    </row>
    <row r="175" spans="1:1">
      <c r="A175" s="46" t="s">
        <v>39</v>
      </c>
    </row>
    <row r="176" spans="1:1">
      <c r="A176" s="1" t="s">
        <v>40</v>
      </c>
    </row>
    <row r="177" spans="1:1">
      <c r="A177" s="1" t="s">
        <v>41</v>
      </c>
    </row>
    <row r="178" spans="1:1" ht="31.5">
      <c r="A178" s="2" t="s">
        <v>42</v>
      </c>
    </row>
    <row r="179" spans="1:1">
      <c r="A179" s="1" t="s">
        <v>43</v>
      </c>
    </row>
    <row r="180" spans="1:1">
      <c r="A180" s="1" t="s">
        <v>44</v>
      </c>
    </row>
    <row r="181" spans="1:1">
      <c r="A181" s="1" t="s">
        <v>45</v>
      </c>
    </row>
    <row r="183" spans="1:1" ht="18" customHeight="1">
      <c r="A183" s="46" t="s">
        <v>307</v>
      </c>
    </row>
    <row r="184" spans="1:1" ht="48.75" customHeight="1">
      <c r="A184" s="2" t="s">
        <v>1011</v>
      </c>
    </row>
    <row r="185" spans="1:1">
      <c r="A185" s="1" t="s">
        <v>308</v>
      </c>
    </row>
    <row r="186" spans="1:1">
      <c r="A186" s="1" t="s">
        <v>309</v>
      </c>
    </row>
    <row r="187" spans="1:1">
      <c r="A187" s="1" t="s">
        <v>342</v>
      </c>
    </row>
    <row r="188" spans="1:1">
      <c r="A188" s="1" t="s">
        <v>310</v>
      </c>
    </row>
    <row r="189" spans="1:1">
      <c r="A189" s="1" t="s">
        <v>311</v>
      </c>
    </row>
    <row r="190" spans="1:1">
      <c r="A190" s="1" t="s">
        <v>6</v>
      </c>
    </row>
    <row r="191" spans="1:1">
      <c r="A191" s="1" t="s">
        <v>312</v>
      </c>
    </row>
    <row r="192" spans="1:1">
      <c r="A192" s="1" t="s">
        <v>313</v>
      </c>
    </row>
    <row r="193" spans="1:1" ht="31.5">
      <c r="A193" s="2" t="s">
        <v>314</v>
      </c>
    </row>
    <row r="194" spans="1:1" ht="31.5">
      <c r="A194" s="2" t="s">
        <v>15</v>
      </c>
    </row>
    <row r="195" spans="1:1">
      <c r="A195" s="1" t="s">
        <v>315</v>
      </c>
    </row>
    <row r="196" spans="1:1">
      <c r="A196" s="1" t="s">
        <v>316</v>
      </c>
    </row>
    <row r="197" spans="1:1">
      <c r="A197" s="1" t="s">
        <v>343</v>
      </c>
    </row>
    <row r="198" spans="1:1">
      <c r="A198" s="1" t="s">
        <v>317</v>
      </c>
    </row>
    <row r="199" spans="1:1">
      <c r="A199" s="1" t="s">
        <v>0</v>
      </c>
    </row>
    <row r="200" spans="1:1" ht="31.5">
      <c r="A200" s="2" t="s">
        <v>1</v>
      </c>
    </row>
    <row r="201" spans="1:1">
      <c r="A201" s="1" t="s">
        <v>326</v>
      </c>
    </row>
    <row r="202" spans="1:1">
      <c r="A202" s="1" t="s">
        <v>327</v>
      </c>
    </row>
    <row r="203" spans="1:1" ht="31.5">
      <c r="A203" s="2" t="s">
        <v>328</v>
      </c>
    </row>
    <row r="204" spans="1:1">
      <c r="A204" s="1" t="s">
        <v>26</v>
      </c>
    </row>
    <row r="205" spans="1:1">
      <c r="A205" s="1" t="s">
        <v>27</v>
      </c>
    </row>
    <row r="206" spans="1:1">
      <c r="A206" s="1" t="s">
        <v>28</v>
      </c>
    </row>
    <row r="207" spans="1:1">
      <c r="A207" s="1" t="s">
        <v>29</v>
      </c>
    </row>
    <row r="208" spans="1:1">
      <c r="A208" s="1" t="s">
        <v>30</v>
      </c>
    </row>
    <row r="209" spans="1:1">
      <c r="A209" s="1" t="s">
        <v>31</v>
      </c>
    </row>
    <row r="210" spans="1:1">
      <c r="A210" s="1" t="s">
        <v>32</v>
      </c>
    </row>
    <row r="211" spans="1:1">
      <c r="A211" s="1" t="s">
        <v>33</v>
      </c>
    </row>
    <row r="212" spans="1:1">
      <c r="A212" s="1" t="s">
        <v>34</v>
      </c>
    </row>
    <row r="213" spans="1:1">
      <c r="A213" s="1" t="s">
        <v>36</v>
      </c>
    </row>
    <row r="214" spans="1:1">
      <c r="A214" s="1" t="s">
        <v>37</v>
      </c>
    </row>
    <row r="215" spans="1:1">
      <c r="A215" s="1" t="s">
        <v>38</v>
      </c>
    </row>
    <row r="216" spans="1:1">
      <c r="A216" s="1" t="s">
        <v>35</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I98"/>
  <sheetViews>
    <sheetView topLeftCell="A46" workbookViewId="0">
      <selection activeCell="L12" sqref="L12"/>
    </sheetView>
  </sheetViews>
  <sheetFormatPr defaultColWidth="8.88671875" defaultRowHeight="15.75"/>
  <cols>
    <col min="1" max="1" width="8.88671875" style="47"/>
    <col min="2" max="2" width="24.33203125" style="121" customWidth="1"/>
    <col min="3" max="3" width="10.77734375" style="121" customWidth="1"/>
    <col min="4" max="4" width="5.77734375" style="121" customWidth="1"/>
    <col min="5" max="5" width="14" style="121" customWidth="1"/>
    <col min="6" max="6" width="13.33203125" style="121" customWidth="1"/>
    <col min="7" max="7" width="12.33203125" style="121" customWidth="1"/>
    <col min="8" max="16384" width="8.88671875" style="47"/>
  </cols>
  <sheetData>
    <row r="1" spans="2:9">
      <c r="B1" s="85"/>
      <c r="C1" s="85"/>
      <c r="D1" s="122" t="s">
        <v>168</v>
      </c>
      <c r="E1" s="85"/>
      <c r="F1" s="85"/>
      <c r="G1" s="119"/>
      <c r="I1" s="62">
        <f>inputPrYr!C5</f>
        <v>2014</v>
      </c>
    </row>
    <row r="2" spans="2:9">
      <c r="B2" s="859" t="str">
        <f>CONCATENATE("To the Clerk of ",(inputPrYr!D3),", State of Kansas")</f>
        <v>To the Clerk of Brown, State of Kansas</v>
      </c>
      <c r="C2" s="846"/>
      <c r="D2" s="846"/>
      <c r="E2" s="846"/>
      <c r="F2" s="846"/>
      <c r="G2" s="846"/>
    </row>
    <row r="3" spans="2:9">
      <c r="B3" s="89" t="s">
        <v>689</v>
      </c>
      <c r="C3" s="88"/>
      <c r="D3" s="88"/>
      <c r="E3" s="88"/>
      <c r="F3" s="88"/>
      <c r="G3" s="88"/>
    </row>
    <row r="4" spans="2:9">
      <c r="B4" s="857" t="str">
        <f>(inputPrYr!D2)</f>
        <v>City of Hiawatha</v>
      </c>
      <c r="C4" s="858"/>
      <c r="D4" s="858"/>
      <c r="E4" s="858"/>
      <c r="F4" s="858"/>
      <c r="G4" s="858"/>
    </row>
    <row r="5" spans="2:9">
      <c r="B5" s="89" t="s">
        <v>80</v>
      </c>
      <c r="C5" s="88"/>
      <c r="D5" s="88"/>
      <c r="E5" s="88"/>
      <c r="F5" s="88"/>
      <c r="G5" s="88"/>
    </row>
    <row r="6" spans="2:9">
      <c r="B6" s="89" t="s">
        <v>81</v>
      </c>
      <c r="C6" s="88"/>
      <c r="D6" s="88"/>
      <c r="E6" s="88"/>
      <c r="F6" s="88"/>
      <c r="G6" s="88"/>
    </row>
    <row r="7" spans="2:9">
      <c r="B7" s="89" t="str">
        <f>CONCATENATE("maximum expenditures for the various funds for the year ",I1,"; and")</f>
        <v>maximum expenditures for the various funds for the year 2014; and</v>
      </c>
      <c r="C7" s="88"/>
      <c r="D7" s="88"/>
      <c r="E7" s="88"/>
      <c r="F7" s="88"/>
      <c r="G7" s="88"/>
    </row>
    <row r="8" spans="2:9">
      <c r="B8" s="89" t="str">
        <f>CONCATENATE("(3) the Amounts(s) of ",I1-1," Ad Valorem Tax are within statutory limitations.")</f>
        <v>(3) the Amounts(s) of 2013 Ad Valorem Tax are within statutory limitations.</v>
      </c>
      <c r="C8" s="88"/>
      <c r="D8" s="88"/>
      <c r="E8" s="88"/>
      <c r="F8" s="88"/>
      <c r="G8" s="88"/>
    </row>
    <row r="9" spans="2:9">
      <c r="B9" s="85"/>
      <c r="C9" s="85"/>
      <c r="D9" s="85"/>
      <c r="E9" s="93" t="str">
        <f>CONCATENATE("",I1," Adopted Budget")</f>
        <v>2014 Adopted Budget</v>
      </c>
      <c r="F9" s="94"/>
      <c r="G9" s="92"/>
    </row>
    <row r="10" spans="2:9" ht="21" customHeight="1">
      <c r="B10" s="85"/>
      <c r="C10" s="85"/>
      <c r="D10" s="116"/>
      <c r="E10" s="206" t="s">
        <v>82</v>
      </c>
      <c r="F10" s="96" t="str">
        <f>CONCATENATE("Amount of ",I1-1,"")</f>
        <v>Amount of 2013</v>
      </c>
      <c r="G10" s="96" t="s">
        <v>83</v>
      </c>
    </row>
    <row r="11" spans="2:9">
      <c r="B11" s="103"/>
      <c r="C11" s="85"/>
      <c r="D11" s="96" t="s">
        <v>84</v>
      </c>
      <c r="E11" s="608" t="s">
        <v>8</v>
      </c>
      <c r="F11" s="208" t="s">
        <v>277</v>
      </c>
      <c r="G11" s="207" t="s">
        <v>85</v>
      </c>
    </row>
    <row r="12" spans="2:9">
      <c r="B12" s="209" t="s">
        <v>86</v>
      </c>
      <c r="C12" s="117"/>
      <c r="D12" s="98" t="s">
        <v>87</v>
      </c>
      <c r="E12" s="609" t="s">
        <v>781</v>
      </c>
      <c r="F12" s="99" t="s">
        <v>278</v>
      </c>
      <c r="G12" s="98" t="s">
        <v>88</v>
      </c>
    </row>
    <row r="13" spans="2:9">
      <c r="B13" s="177" t="str">
        <f>CONCATENATE("Computation to Determine Limit for ",I1,"")</f>
        <v>Computation to Determine Limit for 2014</v>
      </c>
      <c r="C13" s="161"/>
      <c r="D13" s="210">
        <v>2</v>
      </c>
      <c r="E13" s="110"/>
      <c r="F13" s="110"/>
      <c r="G13" s="110"/>
    </row>
    <row r="14" spans="2:9">
      <c r="B14" s="177" t="s">
        <v>928</v>
      </c>
      <c r="C14" s="117"/>
      <c r="D14" s="98">
        <v>3</v>
      </c>
      <c r="E14" s="207"/>
      <c r="F14" s="207"/>
      <c r="G14" s="207"/>
    </row>
    <row r="15" spans="2:9">
      <c r="B15" s="177" t="s">
        <v>233</v>
      </c>
      <c r="C15" s="117"/>
      <c r="D15" s="98">
        <v>4</v>
      </c>
      <c r="E15" s="207"/>
      <c r="F15" s="207"/>
      <c r="G15" s="207"/>
    </row>
    <row r="16" spans="2:9">
      <c r="B16" s="177" t="s">
        <v>89</v>
      </c>
      <c r="C16" s="161"/>
      <c r="D16" s="210">
        <v>5</v>
      </c>
      <c r="E16" s="211"/>
      <c r="F16" s="211"/>
      <c r="G16" s="211"/>
    </row>
    <row r="17" spans="2:7">
      <c r="B17" s="177" t="s">
        <v>90</v>
      </c>
      <c r="C17" s="161"/>
      <c r="D17" s="210">
        <v>6</v>
      </c>
      <c r="E17" s="211"/>
      <c r="F17" s="211"/>
      <c r="G17" s="211"/>
    </row>
    <row r="18" spans="2:7">
      <c r="B18" s="328" t="str">
        <f>IF(inputPrYr!D19="","","Computation to Determine State Library Grant")</f>
        <v>Computation to Determine State Library Grant</v>
      </c>
      <c r="C18" s="161"/>
      <c r="D18" s="219">
        <f>IF(inputPrYr!D19="","",'Library Grant'!F40)</f>
        <v>7</v>
      </c>
      <c r="E18" s="211"/>
      <c r="F18" s="211"/>
      <c r="G18" s="211"/>
    </row>
    <row r="19" spans="2:7">
      <c r="B19" s="212" t="s">
        <v>91</v>
      </c>
      <c r="C19" s="213" t="s">
        <v>92</v>
      </c>
      <c r="D19" s="214"/>
      <c r="E19" s="215"/>
      <c r="F19" s="215"/>
      <c r="G19" s="215"/>
    </row>
    <row r="20" spans="2:7">
      <c r="B20" s="97" t="s">
        <v>75</v>
      </c>
      <c r="C20" s="216" t="str">
        <f>IF(inputPrYr!C17&gt;0,(inputPrYr!C17),"  ")</f>
        <v>12-101a</v>
      </c>
      <c r="D20" s="210">
        <f>general!C59</f>
        <v>8</v>
      </c>
      <c r="E20" s="100">
        <f>IF(general!$E$111&lt;&gt;0,general!$E$111,"  ")</f>
        <v>1704635</v>
      </c>
      <c r="F20" s="100">
        <f>IF(general!$E$118&lt;&gt;0,general!$E$118,"  ")</f>
        <v>364104</v>
      </c>
      <c r="G20" s="185" t="str">
        <f>IF(G55=0,"",ROUND(F20/$G$55*1000,3))</f>
        <v/>
      </c>
    </row>
    <row r="21" spans="2:7">
      <c r="B21" s="97" t="s">
        <v>48</v>
      </c>
      <c r="C21" s="216" t="str">
        <f>IF(inputPrYr!C18&gt;0,(inputPrYr!C18),"  ")</f>
        <v>10-113</v>
      </c>
      <c r="D21" s="210">
        <f>IF('DebtSvs-Library'!C82&gt;0,'DebtSvs-Library'!C82,"  ")</f>
        <v>9</v>
      </c>
      <c r="E21" s="100">
        <f>IF('DebtSvs-Library'!E33&lt;&gt;0,'DebtSvs-Library'!E33,"  ")</f>
        <v>1100315</v>
      </c>
      <c r="F21" s="100">
        <f>IF('DebtSvs-Library'!E40&lt;&gt;0,'DebtSvs-Library'!E40,"  ")</f>
        <v>169594</v>
      </c>
      <c r="G21" s="185" t="str">
        <f>IF(G55=0,"",ROUND(F21/$G$55*1000,3))</f>
        <v/>
      </c>
    </row>
    <row r="22" spans="2:7">
      <c r="B22" s="100" t="str">
        <f>IF(inputPrYr!$B19&gt;"  ",(inputPrYr!$B19),"  ")</f>
        <v>Library</v>
      </c>
      <c r="C22" s="216" t="str">
        <f>IF(inputPrYr!C19&gt;0,(inputPrYr!C19),"  ")</f>
        <v>12-1220</v>
      </c>
      <c r="D22" s="210">
        <f>IF('DebtSvs-Library'!C82&gt;0,'DebtSvs-Library'!C82,"  ")</f>
        <v>9</v>
      </c>
      <c r="E22" s="100">
        <f>IF('DebtSvs-Library'!E73&lt;&gt;0,'DebtSvs-Library'!E73,"  ")</f>
        <v>158523</v>
      </c>
      <c r="F22" s="100">
        <f>IF('DebtSvs-Library'!E80&lt;&gt;0,'DebtSvs-Library'!E80,"  ")</f>
        <v>147064</v>
      </c>
      <c r="G22" s="185" t="str">
        <f t="shared" ref="G22:G32" si="0">IF($G$55=0," ",ROUND(F22/$G$55*1000,3))</f>
        <v xml:space="preserve"> </v>
      </c>
    </row>
    <row r="23" spans="2:7">
      <c r="B23" s="100" t="str">
        <f>IF(inputPrYr!$B21&gt;"  ",(inputPrYr!$B21),"  ")</f>
        <v>Industrial</v>
      </c>
      <c r="C23" s="216" t="str">
        <f>IF(inputPrYr!C21&gt;0,(inputPrYr!C21),"  ")</f>
        <v xml:space="preserve">  </v>
      </c>
      <c r="D23" s="210">
        <f>IF('Industrial-Rec'!C82&gt;0,'Industrial-Rec'!C82,"  ")</f>
        <v>10</v>
      </c>
      <c r="E23" s="100">
        <f>IF('Industrial-Rec'!$E$33&gt;0,'Industrial-Rec'!$E$33,"  ")</f>
        <v>225175</v>
      </c>
      <c r="F23" s="100" t="str">
        <f>IF('Industrial-Rec'!$E$40&lt;&gt;0,'Industrial-Rec'!$E$40,"  ")</f>
        <v xml:space="preserve">  </v>
      </c>
      <c r="G23" s="185" t="str">
        <f t="shared" si="0"/>
        <v xml:space="preserve"> </v>
      </c>
    </row>
    <row r="24" spans="2:7">
      <c r="B24" s="100" t="str">
        <f>IF(inputPrYr!$B22&gt;"  ",(inputPrYr!$B22),"  ")</f>
        <v>Recreation</v>
      </c>
      <c r="C24" s="216" t="str">
        <f>IF(inputPrYr!C22&gt;0,(inputPrYr!C22),"  ")</f>
        <v xml:space="preserve">  </v>
      </c>
      <c r="D24" s="210">
        <f>IF('Industrial-Rec'!C82&gt;0,'Industrial-Rec'!C82,"  ")</f>
        <v>10</v>
      </c>
      <c r="E24" s="100">
        <f>IF('Industrial-Rec'!$E$73&gt;0,'Industrial-Rec'!$E$73,"  ")</f>
        <v>43450</v>
      </c>
      <c r="F24" s="100" t="str">
        <f>IF('Industrial-Rec'!$E$80&lt;&gt;0,'Industrial-Rec'!$E$80,"  ")</f>
        <v xml:space="preserve">  </v>
      </c>
      <c r="G24" s="185" t="str">
        <f t="shared" si="0"/>
        <v xml:space="preserve"> </v>
      </c>
    </row>
    <row r="25" spans="2:7">
      <c r="B25" s="100" t="str">
        <f>IF(inputPrYr!$B23&gt;"  ",(inputPrYr!$B23),"  ")</f>
        <v>Employee Benefits</v>
      </c>
      <c r="C25" s="216" t="str">
        <f>IF(inputPrYr!C23&gt;0,(inputPrYr!C23),"  ")</f>
        <v xml:space="preserve">  </v>
      </c>
      <c r="D25" s="210">
        <f>IF('Employee Benefits'!C82&gt;0,'Employee Benefits'!C82,"  ")</f>
        <v>11</v>
      </c>
      <c r="E25" s="100">
        <f>IF('Employee Benefits'!$E$33&gt;0,'Employee Benefits'!$E$33,"  ")</f>
        <v>442528</v>
      </c>
      <c r="F25" s="100">
        <f>IF('Employee Benefits'!$E$40&lt;&gt;0,'Employee Benefits'!$E$40,"  ")</f>
        <v>319096</v>
      </c>
      <c r="G25" s="185" t="str">
        <f t="shared" si="0"/>
        <v xml:space="preserve"> </v>
      </c>
    </row>
    <row r="26" spans="2:7">
      <c r="B26" s="100" t="str">
        <f>IF(inputPrYr!$B24&gt;"  ",(inputPrYr!$B24),"  ")</f>
        <v xml:space="preserve">  </v>
      </c>
      <c r="C26" s="216" t="str">
        <f>IF(inputPrYr!C24&gt;0,(inputPrYr!C24),"  ")</f>
        <v xml:space="preserve">  </v>
      </c>
      <c r="D26" s="210">
        <f>IF('Employee Benefits'!C82&gt;0,'Employee Benefits'!C82,"  ")</f>
        <v>11</v>
      </c>
      <c r="E26" s="100" t="str">
        <f>IF('Employee Benefits'!$E$73&gt;0,'Employee Benefits'!$E$73,"  ")</f>
        <v xml:space="preserve">  </v>
      </c>
      <c r="F26" s="100" t="str">
        <f>IF('Employee Benefits'!$E$80&lt;&gt;0,'Employee Benefits'!$E$80,"  ")</f>
        <v xml:space="preserve">  </v>
      </c>
      <c r="G26" s="185" t="str">
        <f t="shared" si="0"/>
        <v xml:space="preserve"> </v>
      </c>
    </row>
    <row r="27" spans="2:7">
      <c r="B27" s="100" t="str">
        <f>IF(inputPrYr!$B25&gt;"  ",(inputPrYr!$B25),"  ")</f>
        <v xml:space="preserve">  </v>
      </c>
      <c r="C27" s="216" t="str">
        <f>IF(inputPrYr!C25&gt;0,(inputPrYr!C25),"  ")</f>
        <v xml:space="preserve">  </v>
      </c>
      <c r="D27" s="210" t="str">
        <f>IF('levy page11'!C82&gt;0,'levy page11'!C82,"  ")</f>
        <v xml:space="preserve">  </v>
      </c>
      <c r="E27" s="100" t="str">
        <f>IF('levy page11'!$E$33&gt;0,'levy page11'!$E$33,"  ")</f>
        <v xml:space="preserve">  </v>
      </c>
      <c r="F27" s="100" t="str">
        <f>IF('levy page11'!$E$40&lt;&gt;0,'levy page11'!$E$40,"  ")</f>
        <v xml:space="preserve">  </v>
      </c>
      <c r="G27" s="185" t="str">
        <f t="shared" si="0"/>
        <v xml:space="preserve"> </v>
      </c>
    </row>
    <row r="28" spans="2:7">
      <c r="B28" s="100" t="str">
        <f>IF(inputPrYr!$B26&gt;"  ",(inputPrYr!$B26),"  ")</f>
        <v xml:space="preserve">  </v>
      </c>
      <c r="C28" s="216" t="str">
        <f>IF(inputPrYr!C26&gt;0,(inputPrYr!C26),"  ")</f>
        <v xml:space="preserve">  </v>
      </c>
      <c r="D28" s="210" t="str">
        <f>IF('levy page11'!C82&gt;0,'levy page11'!C82,"  ")</f>
        <v xml:space="preserve">  </v>
      </c>
      <c r="E28" s="100" t="str">
        <f>IF('levy page11'!$E$73&gt;0,'levy page11'!$E$73,"  ")</f>
        <v xml:space="preserve">  </v>
      </c>
      <c r="F28" s="100" t="str">
        <f>IF('levy page11'!$E$80&lt;&gt;0,'levy page11'!$E$80,"  ")</f>
        <v xml:space="preserve">  </v>
      </c>
      <c r="G28" s="185" t="str">
        <f t="shared" si="0"/>
        <v xml:space="preserve"> </v>
      </c>
    </row>
    <row r="29" spans="2:7">
      <c r="B29" s="100" t="str">
        <f>IF(inputPrYr!$B27&gt;"  ",(inputPrYr!$B27),"  ")</f>
        <v xml:space="preserve">  </v>
      </c>
      <c r="C29" s="216" t="str">
        <f>IF(inputPrYr!C27&gt;0,(inputPrYr!C27),"  ")</f>
        <v xml:space="preserve">  </v>
      </c>
      <c r="D29" s="210" t="str">
        <f>IF('levy page12'!C82&gt;0,'levy page12'!C82,"  ")</f>
        <v xml:space="preserve">  </v>
      </c>
      <c r="E29" s="100" t="str">
        <f>IF('levy page12'!$E$33&gt;0,'levy page12'!$E$33,"  ")</f>
        <v xml:space="preserve">  </v>
      </c>
      <c r="F29" s="100" t="str">
        <f>IF('levy page12'!$E$40&lt;&gt;0,'levy page12'!$E$40,"  ")</f>
        <v xml:space="preserve">  </v>
      </c>
      <c r="G29" s="185" t="str">
        <f t="shared" si="0"/>
        <v xml:space="preserve"> </v>
      </c>
    </row>
    <row r="30" spans="2:7">
      <c r="B30" s="100" t="str">
        <f>IF(inputPrYr!$B28&gt;"  ",(inputPrYr!$B28),"  ")</f>
        <v xml:space="preserve">  </v>
      </c>
      <c r="C30" s="216" t="str">
        <f>IF(inputPrYr!C28&gt;0,(inputPrYr!C28),"  ")</f>
        <v xml:space="preserve">  </v>
      </c>
      <c r="D30" s="210" t="str">
        <f>IF('levy page12'!C82&gt;0,'levy page12'!C82,"  ")</f>
        <v xml:space="preserve">  </v>
      </c>
      <c r="E30" s="100" t="str">
        <f>IF('levy page12'!$E$73&gt;0,'levy page12'!$E$73,"  ")</f>
        <v xml:space="preserve">  </v>
      </c>
      <c r="F30" s="100" t="str">
        <f>IF('levy page12'!$E$80&lt;&gt;0,'levy page12'!$E$80,"  ")</f>
        <v xml:space="preserve">  </v>
      </c>
      <c r="G30" s="185" t="str">
        <f t="shared" si="0"/>
        <v xml:space="preserve"> </v>
      </c>
    </row>
    <row r="31" spans="2:7">
      <c r="B31" s="100" t="str">
        <f>IF(inputPrYr!$B29&gt;"  ",(inputPrYr!$B29),"  ")</f>
        <v xml:space="preserve">  </v>
      </c>
      <c r="C31" s="216" t="str">
        <f>IF(inputPrYr!C29&gt;0,(inputPrYr!C29),"  ")</f>
        <v xml:space="preserve">  </v>
      </c>
      <c r="D31" s="210" t="str">
        <f>IF('levy page13'!C82&gt;0,'levy page13'!C82,"  ")</f>
        <v xml:space="preserve">  </v>
      </c>
      <c r="E31" s="100" t="str">
        <f>IF('levy page13'!$E$33&gt;0,'levy page13'!$E$33,"  ")</f>
        <v xml:space="preserve">  </v>
      </c>
      <c r="F31" s="100" t="str">
        <f>IF('levy page13'!$E$40&lt;&gt;0,'levy page13'!$E$40,"  ")</f>
        <v xml:space="preserve">  </v>
      </c>
      <c r="G31" s="185" t="str">
        <f t="shared" si="0"/>
        <v xml:space="preserve"> </v>
      </c>
    </row>
    <row r="32" spans="2:7">
      <c r="B32" s="100" t="str">
        <f>IF(inputPrYr!$B30&gt;"  ",(inputPrYr!$B30),"  ")</f>
        <v xml:space="preserve">  </v>
      </c>
      <c r="C32" s="216" t="str">
        <f>IF(inputPrYr!C30&gt;0,(inputPrYr!C30),"  ")</f>
        <v xml:space="preserve">  </v>
      </c>
      <c r="D32" s="210" t="str">
        <f>IF('levy page13'!C82&gt;0,'levy page13'!C82,"  ")</f>
        <v xml:space="preserve">  </v>
      </c>
      <c r="E32" s="100" t="str">
        <f>IF('levy page13'!$E$73&gt;0,'levy page13'!$E$73,"  ")</f>
        <v xml:space="preserve">  </v>
      </c>
      <c r="F32" s="100" t="str">
        <f>IF('levy page13'!$E$80&lt;&gt;0,'levy page13'!$E$80,"  ")</f>
        <v xml:space="preserve">  </v>
      </c>
      <c r="G32" s="185" t="str">
        <f t="shared" si="0"/>
        <v xml:space="preserve"> </v>
      </c>
    </row>
    <row r="33" spans="2:7">
      <c r="B33" s="217" t="str">
        <f>IF(inputPrYr!$B34&gt;"  ",(inputPrYr!$B34),"  ")</f>
        <v>Special Highway</v>
      </c>
      <c r="C33" s="218"/>
      <c r="D33" s="219">
        <f>IF('Sp Hiway-TIF'!C67&gt;0,'Sp Hiway-TIF'!C67,"  ")</f>
        <v>12</v>
      </c>
      <c r="E33" s="100">
        <f>IF('Sp Hiway-TIF'!$E$30&gt;0,'Sp Hiway-TIF'!$E$30,"  ")</f>
        <v>720250</v>
      </c>
      <c r="F33" s="102"/>
      <c r="G33" s="102"/>
    </row>
    <row r="34" spans="2:7">
      <c r="B34" s="217" t="str">
        <f>IF(inputPrYr!$B35&gt;"  ",(inputPrYr!$B35),"  ")</f>
        <v>TIF</v>
      </c>
      <c r="C34" s="218"/>
      <c r="D34" s="219">
        <f>IF('Sp Hiway-TIF'!C67&gt;0,'Sp Hiway-TIF'!C67,"  ")</f>
        <v>12</v>
      </c>
      <c r="E34" s="100" t="str">
        <f>IF('Sp Hiway-TIF'!$E$61&gt;0,'Sp Hiway-TIF'!$E$61,"  ")</f>
        <v xml:space="preserve">  </v>
      </c>
      <c r="F34" s="102"/>
      <c r="G34" s="102"/>
    </row>
    <row r="35" spans="2:7">
      <c r="B35" s="217" t="str">
        <f>IF(inputPrYr!$B36&gt;"  ",(inputPrYr!$B36),"  ")</f>
        <v>Parks and Recreation</v>
      </c>
      <c r="C35" s="220"/>
      <c r="D35" s="219">
        <f>IF('Park -Rec Pool'!C65&gt;0,'Park -Rec Pool'!C65,"  ")</f>
        <v>13</v>
      </c>
      <c r="E35" s="100">
        <f>IF('Park -Rec Pool'!$E$28&gt;0,'Park -Rec Pool'!$E$28,"  ")</f>
        <v>32330</v>
      </c>
      <c r="F35" s="102"/>
      <c r="G35" s="102"/>
    </row>
    <row r="36" spans="2:7">
      <c r="B36" s="217" t="str">
        <f>IF(inputPrYr!$B37&gt;"  ",(inputPrYr!$B37),"  ")</f>
        <v>Pool</v>
      </c>
      <c r="C36" s="218"/>
      <c r="D36" s="219">
        <f>IF('Park -Rec Pool'!C65&gt;0,'Park -Rec Pool'!C65,"  ")</f>
        <v>13</v>
      </c>
      <c r="E36" s="100">
        <f>IF('Park -Rec Pool'!$E$59&gt;0,'Park -Rec Pool'!$E$59,"  ")</f>
        <v>134005</v>
      </c>
      <c r="F36" s="102"/>
      <c r="G36" s="102"/>
    </row>
    <row r="37" spans="2:7">
      <c r="B37" s="217" t="str">
        <f>IF(inputPrYr!$B38&gt;"  ",(inputPrYr!$B38),"  ")</f>
        <v>Water</v>
      </c>
      <c r="C37" s="220"/>
      <c r="D37" s="219">
        <f>IF('Water - Sewer'!C65&gt;0,'Water - Sewer'!C65,"  ")</f>
        <v>14</v>
      </c>
      <c r="E37" s="100">
        <f>IF('Water - Sewer'!$E$28&gt;0,'Water - Sewer'!$E$28,"  ")</f>
        <v>973309</v>
      </c>
      <c r="F37" s="102"/>
      <c r="G37" s="102"/>
    </row>
    <row r="38" spans="2:7">
      <c r="B38" s="217" t="str">
        <f>IF(inputPrYr!$B39&gt;"  ",(inputPrYr!$B39),"  ")</f>
        <v>Sewer</v>
      </c>
      <c r="C38" s="221"/>
      <c r="D38" s="219">
        <f>IF('Water - Sewer'!C65&gt;0,'Water - Sewer'!C65,"  ")</f>
        <v>14</v>
      </c>
      <c r="E38" s="100">
        <f>IF('Water - Sewer'!$E$59&gt;0,'Water - Sewer'!$E$59,"  ")</f>
        <v>869009</v>
      </c>
      <c r="F38" s="102"/>
      <c r="G38" s="102"/>
    </row>
    <row r="39" spans="2:7">
      <c r="B39" s="217" t="str">
        <f>IF(inputPrYr!$B40&gt;"  ",(inputPrYr!$B40),"  ")</f>
        <v>Airport</v>
      </c>
      <c r="C39" s="221"/>
      <c r="D39" s="219">
        <f>IF('Airport - Post Lantern'!C65&gt;0,'Airport - Post Lantern'!C65,"  ")</f>
        <v>15</v>
      </c>
      <c r="E39" s="100">
        <f>IF('Airport - Post Lantern'!$E$28&gt;0,'Airport - Post Lantern'!$E$28,"  ")</f>
        <v>5700</v>
      </c>
      <c r="F39" s="102"/>
      <c r="G39" s="102"/>
    </row>
    <row r="40" spans="2:7">
      <c r="B40" s="217" t="str">
        <f>IF(inputPrYr!$B41&gt;"  ",(inputPrYr!$B41),"  ")</f>
        <v>Post Lantern St Light Proj</v>
      </c>
      <c r="C40" s="221"/>
      <c r="D40" s="219">
        <f>IF('Airport - Post Lantern'!C65&gt;0,'Airport - Post Lantern'!C65,"  ")</f>
        <v>15</v>
      </c>
      <c r="E40" s="100">
        <f>IF('Airport - Post Lantern'!$E$59&gt;0,'Airport - Post Lantern'!$E$59,"  ")</f>
        <v>432692</v>
      </c>
      <c r="F40" s="102"/>
      <c r="G40" s="102"/>
    </row>
    <row r="41" spans="2:7">
      <c r="B41" s="217" t="str">
        <f>IF(inputPrYr!$B42&gt;"  ",(inputPrYr!$B42),"  ")</f>
        <v>Storm Water Utility</v>
      </c>
      <c r="C41" s="218"/>
      <c r="D41" s="219">
        <f>IF('storm water'!C65&gt;0,'storm water'!C65,"  ")</f>
        <v>16</v>
      </c>
      <c r="E41" s="100">
        <f>IF('storm water'!$E$28&gt;0,'storm water'!$E$28,"  ")</f>
        <v>141100</v>
      </c>
      <c r="F41" s="102"/>
      <c r="G41" s="102"/>
    </row>
    <row r="42" spans="2:7">
      <c r="B42" s="217" t="str">
        <f>IF(inputPrYr!$B43&gt;"  ",(inputPrYr!$B43),"  ")</f>
        <v xml:space="preserve">  </v>
      </c>
      <c r="C42" s="218"/>
      <c r="D42" s="219">
        <f>IF('storm water'!C65&gt;0,'storm water'!C65,"  ")</f>
        <v>16</v>
      </c>
      <c r="E42" s="100" t="str">
        <f>IF('storm water'!$E$59&gt;0,'storm water'!$E$59,"  ")</f>
        <v xml:space="preserve">  </v>
      </c>
      <c r="F42" s="102"/>
      <c r="G42" s="102"/>
    </row>
    <row r="43" spans="2:7">
      <c r="B43" s="217" t="str">
        <f>IF(inputPrYr!$B44&gt;"  ",(inputPrYr!$B44),"  ")</f>
        <v xml:space="preserve">  </v>
      </c>
      <c r="C43" s="220"/>
      <c r="D43" s="219" t="str">
        <f>IF('no levy page19'!C65&gt;0,'no levy page19'!C65,"  ")</f>
        <v xml:space="preserve">  </v>
      </c>
      <c r="E43" s="100" t="str">
        <f>IF('no levy page19'!$E$28&gt;0,'no levy page19'!$E$28,"  ")</f>
        <v xml:space="preserve">  </v>
      </c>
      <c r="F43" s="102"/>
      <c r="G43" s="102"/>
    </row>
    <row r="44" spans="2:7">
      <c r="B44" s="217" t="str">
        <f>IF(inputPrYr!$B45&gt;"  ",(inputPrYr!$B45),"  ")</f>
        <v xml:space="preserve">  </v>
      </c>
      <c r="C44" s="221"/>
      <c r="D44" s="219" t="str">
        <f>IF('no levy page19'!C65&gt;0,'no levy page19'!C65,"  ")</f>
        <v xml:space="preserve">  </v>
      </c>
      <c r="E44" s="100" t="str">
        <f>IF('no levy page19'!$E$59&gt;0,'no levy page19'!$E$59,"  ")</f>
        <v xml:space="preserve">  </v>
      </c>
      <c r="F44" s="102"/>
      <c r="G44" s="102"/>
    </row>
    <row r="45" spans="2:7">
      <c r="B45" s="217" t="str">
        <f>IF(inputPrYr!$B47&gt;"  ",(inputPrYr!$B47),"  ")</f>
        <v xml:space="preserve">  </v>
      </c>
      <c r="C45" s="218"/>
      <c r="D45" s="219" t="str">
        <f>IF(SinNoLevy20!C53&gt;0,SinNoLevy20!C53,"  ")</f>
        <v xml:space="preserve">  </v>
      </c>
      <c r="E45" s="100" t="str">
        <f>IF(SinNoLevy20!$E$47&gt;0,SinNoLevy20!$E$47,"  ")</f>
        <v xml:space="preserve">  </v>
      </c>
      <c r="F45" s="102"/>
      <c r="G45" s="102"/>
    </row>
    <row r="46" spans="2:7">
      <c r="B46" s="217" t="str">
        <f>IF(inputPrYr!$B48&gt;"  ",(inputPrYr!$B48),"  ")</f>
        <v xml:space="preserve">  </v>
      </c>
      <c r="C46" s="218"/>
      <c r="D46" s="219" t="str">
        <f>IF(SinNoLevy21!C53&gt;0,SinNoLevy21!C53,"  ")</f>
        <v xml:space="preserve">  </v>
      </c>
      <c r="E46" s="100" t="str">
        <f>IF(SinNoLevy21!$E$47&gt;0,SinNoLevy21!$E$47,"  ")</f>
        <v xml:space="preserve">  </v>
      </c>
      <c r="F46" s="102"/>
      <c r="G46" s="102"/>
    </row>
    <row r="47" spans="2:7">
      <c r="B47" s="217" t="str">
        <f>IF(inputPrYr!$B49&gt;"  ",(inputPrYr!$B49),"  ")</f>
        <v xml:space="preserve">  </v>
      </c>
      <c r="C47" s="220"/>
      <c r="D47" s="219" t="str">
        <f>IF(SinNoLevy22!C53&gt;0,SinNoLevy22!C53,"  ")</f>
        <v xml:space="preserve">  </v>
      </c>
      <c r="E47" s="100" t="str">
        <f>IF(SinNoLevy22!$E$47&gt;0,SinNoLevy22!$E$47,"  ")</f>
        <v xml:space="preserve">  </v>
      </c>
      <c r="F47" s="102"/>
      <c r="G47" s="102"/>
    </row>
    <row r="48" spans="2:7">
      <c r="B48" s="217" t="str">
        <f>IF(inputPrYr!$B50&gt;"  ",(inputPrYr!$B50),"  ")</f>
        <v xml:space="preserve">  </v>
      </c>
      <c r="C48" s="221"/>
      <c r="D48" s="219" t="str">
        <f>IF(SinNoLevy23!C53&gt;0,SinNoLevy23!C53,"  ")</f>
        <v xml:space="preserve">  </v>
      </c>
      <c r="E48" s="100" t="str">
        <f>IF(SinNoLevy23!$E$47&gt;0,SinNoLevy23!$E$47,"  ")</f>
        <v xml:space="preserve">  </v>
      </c>
      <c r="F48" s="102"/>
      <c r="G48" s="102"/>
    </row>
    <row r="49" spans="2:7">
      <c r="B49" s="217" t="str">
        <f>IF(inputPrYr!$B53&gt;"  ",(NonBudA!$A3),"  ")</f>
        <v xml:space="preserve">  </v>
      </c>
      <c r="C49" s="221"/>
      <c r="D49" s="219" t="str">
        <f>IF(NonBudA!F33&gt;0,NonBudA!F33,"  ")</f>
        <v xml:space="preserve">  </v>
      </c>
      <c r="E49" s="100"/>
      <c r="F49" s="102"/>
      <c r="G49" s="102"/>
    </row>
    <row r="50" spans="2:7">
      <c r="B50" s="217" t="str">
        <f>IF(inputPrYr!$B59&gt;"  ",(NonBudB!$A3),"  ")</f>
        <v xml:space="preserve">  </v>
      </c>
      <c r="C50" s="221"/>
      <c r="D50" s="219" t="str">
        <f>IF(NonBudB!F33&gt;0,NonBudB!F33,"  ")</f>
        <v xml:space="preserve">  </v>
      </c>
      <c r="E50" s="100"/>
      <c r="F50" s="102"/>
      <c r="G50" s="102"/>
    </row>
    <row r="51" spans="2:7">
      <c r="B51" s="217" t="str">
        <f>IF(inputPrYr!$B65&gt;"  ",(NonBudC!$A3),"  ")</f>
        <v xml:space="preserve">  </v>
      </c>
      <c r="C51" s="218"/>
      <c r="D51" s="219" t="str">
        <f>IF(NonBudC!F33&gt;0,NonBudC!F33,"  ")</f>
        <v xml:space="preserve">  </v>
      </c>
      <c r="E51" s="100"/>
      <c r="F51" s="102"/>
      <c r="G51" s="102"/>
    </row>
    <row r="52" spans="2:7" ht="16.5" thickBot="1">
      <c r="B52" s="217" t="str">
        <f>IF(inputPrYr!$B71&gt;"  ",(NonBudD!$A3),"  ")</f>
        <v xml:space="preserve">  </v>
      </c>
      <c r="C52" s="220"/>
      <c r="D52" s="219" t="str">
        <f>IF(NonBudD!F33&gt;0,NonBudD!F33,"  ")</f>
        <v xml:space="preserve">  </v>
      </c>
      <c r="E52" s="558"/>
      <c r="F52" s="559"/>
      <c r="G52" s="559"/>
    </row>
    <row r="53" spans="2:7">
      <c r="B53" s="177" t="s">
        <v>93</v>
      </c>
      <c r="C53" s="161"/>
      <c r="D53" s="373" t="s">
        <v>94</v>
      </c>
      <c r="E53" s="104">
        <f>SUM(E20:E52)</f>
        <v>6983021</v>
      </c>
      <c r="F53" s="104">
        <f>SUM(F20:F52)</f>
        <v>999858</v>
      </c>
      <c r="G53" s="545" t="str">
        <f>IF(SUM(G20:G52)=0,"",SUM(G20:G52))</f>
        <v/>
      </c>
    </row>
    <row r="54" spans="2:7">
      <c r="B54" s="548" t="s">
        <v>332</v>
      </c>
      <c r="C54" s="549"/>
      <c r="D54" s="550"/>
      <c r="E54" s="551"/>
      <c r="F54" s="547" t="str">
        <f>IF(F53&gt;computation!J40,"Yes","No")</f>
        <v>Yes</v>
      </c>
      <c r="G54" s="546" t="s">
        <v>237</v>
      </c>
    </row>
    <row r="55" spans="2:7">
      <c r="B55" s="177" t="s">
        <v>331</v>
      </c>
      <c r="C55" s="161"/>
      <c r="D55" s="210">
        <f>summ!D67</f>
        <v>17</v>
      </c>
      <c r="E55" s="85"/>
      <c r="F55" s="85"/>
      <c r="G55" s="619">
        <f>'TIF CountyClerk'!E11</f>
        <v>0</v>
      </c>
    </row>
    <row r="56" spans="2:7">
      <c r="B56" s="177" t="s">
        <v>13</v>
      </c>
      <c r="C56" s="161"/>
      <c r="D56" s="210" t="str">
        <f>IF(nhood!C40&gt;0,nhood!C40,"")</f>
        <v/>
      </c>
      <c r="E56" s="85"/>
      <c r="F56" s="85"/>
      <c r="G56" s="862" t="str">
        <f>CONCATENATE("Nov 1, ",I1-1," Total Assessed Valuation")</f>
        <v>Nov 1, 2013 Total Assessed Valuation</v>
      </c>
    </row>
    <row r="57" spans="2:7">
      <c r="B57" s="177" t="s">
        <v>386</v>
      </c>
      <c r="C57" s="161"/>
      <c r="D57" s="210" t="str">
        <f>IF('TIF Comp'!C37&gt;0,'TIF Comp'!C37,"")</f>
        <v/>
      </c>
      <c r="E57" s="85"/>
      <c r="F57" s="85"/>
      <c r="G57" s="863"/>
    </row>
    <row r="58" spans="2:7">
      <c r="B58" s="144" t="s">
        <v>95</v>
      </c>
      <c r="C58" s="90"/>
      <c r="D58" s="90"/>
      <c r="E58" s="90"/>
      <c r="F58" s="90"/>
      <c r="G58" s="90"/>
    </row>
    <row r="59" spans="2:7">
      <c r="B59" s="553"/>
      <c r="C59" s="108"/>
      <c r="D59" s="85"/>
      <c r="E59" s="85"/>
      <c r="F59" s="108"/>
      <c r="G59" s="108"/>
    </row>
    <row r="60" spans="2:7">
      <c r="B60" s="554"/>
      <c r="C60" s="108"/>
      <c r="D60" s="108" t="s">
        <v>933</v>
      </c>
      <c r="E60" s="108"/>
      <c r="F60" s="108"/>
      <c r="G60" s="108"/>
    </row>
    <row r="61" spans="2:7">
      <c r="B61" s="144" t="s">
        <v>249</v>
      </c>
      <c r="C61" s="85"/>
      <c r="D61" s="144"/>
      <c r="E61" s="108"/>
      <c r="F61" s="108"/>
      <c r="G61" s="108"/>
    </row>
    <row r="62" spans="2:7">
      <c r="B62" s="553"/>
      <c r="C62" s="108"/>
      <c r="D62" s="108" t="s">
        <v>933</v>
      </c>
      <c r="E62" s="108"/>
      <c r="F62" s="90"/>
      <c r="G62" s="90"/>
    </row>
    <row r="63" spans="2:7">
      <c r="B63" s="554"/>
      <c r="C63" s="118"/>
      <c r="D63" s="108"/>
      <c r="E63" s="108"/>
      <c r="F63" s="755"/>
      <c r="G63" s="755"/>
    </row>
    <row r="64" spans="2:7">
      <c r="B64" s="145" t="s">
        <v>932</v>
      </c>
      <c r="C64" s="118"/>
      <c r="D64" s="108" t="s">
        <v>933</v>
      </c>
      <c r="E64" s="108"/>
      <c r="F64" s="756"/>
      <c r="G64" s="756"/>
    </row>
    <row r="65" spans="2:7">
      <c r="B65" s="553"/>
      <c r="C65" s="222"/>
      <c r="D65" s="85"/>
      <c r="E65" s="85"/>
      <c r="F65" s="166"/>
      <c r="G65" s="166"/>
    </row>
    <row r="66" spans="2:7">
      <c r="B66" s="108"/>
      <c r="C66" s="222"/>
      <c r="D66" s="108" t="s">
        <v>933</v>
      </c>
      <c r="E66" s="108"/>
      <c r="F66" s="756"/>
      <c r="G66" s="756"/>
    </row>
    <row r="67" spans="2:7">
      <c r="B67" s="103" t="s">
        <v>5</v>
      </c>
      <c r="C67" s="223">
        <f>I1-1</f>
        <v>2013</v>
      </c>
      <c r="D67" s="85"/>
      <c r="E67" s="85"/>
      <c r="F67" s="89"/>
      <c r="G67" s="85"/>
    </row>
    <row r="68" spans="2:7">
      <c r="B68" s="116"/>
      <c r="C68" s="85"/>
      <c r="D68" s="108" t="s">
        <v>933</v>
      </c>
      <c r="E68" s="108"/>
      <c r="F68" s="108"/>
      <c r="G68" s="108"/>
    </row>
    <row r="69" spans="2:7">
      <c r="B69" s="86" t="s">
        <v>97</v>
      </c>
      <c r="C69" s="85"/>
      <c r="D69" s="860" t="s">
        <v>96</v>
      </c>
      <c r="E69" s="861"/>
      <c r="F69" s="861"/>
      <c r="G69" s="861"/>
    </row>
    <row r="70" spans="2:7">
      <c r="B70" s="62"/>
    </row>
    <row r="80" spans="2:7" ht="15">
      <c r="B80" s="47"/>
      <c r="C80" s="47"/>
      <c r="D80" s="47"/>
      <c r="E80" s="47"/>
      <c r="F80" s="47"/>
      <c r="G80" s="47"/>
    </row>
    <row r="81" spans="2:7" ht="15">
      <c r="B81" s="47"/>
      <c r="C81" s="47"/>
      <c r="D81" s="47"/>
      <c r="E81" s="47"/>
      <c r="F81" s="47"/>
      <c r="G81" s="47"/>
    </row>
    <row r="82" spans="2:7" ht="15">
      <c r="B82" s="47"/>
      <c r="C82" s="47"/>
      <c r="D82" s="47"/>
      <c r="E82" s="47"/>
      <c r="F82" s="47"/>
      <c r="G82" s="47"/>
    </row>
    <row r="83" spans="2:7" ht="15">
      <c r="B83" s="47"/>
      <c r="C83" s="47"/>
      <c r="D83" s="47"/>
      <c r="E83" s="47"/>
      <c r="F83" s="47"/>
      <c r="G83" s="47"/>
    </row>
    <row r="84" spans="2:7" ht="15">
      <c r="B84" s="47"/>
      <c r="C84" s="47"/>
      <c r="D84" s="47"/>
      <c r="E84" s="47"/>
      <c r="F84" s="47"/>
      <c r="G84" s="47"/>
    </row>
    <row r="85" spans="2:7" ht="15">
      <c r="B85" s="47"/>
      <c r="C85" s="47"/>
      <c r="D85" s="47"/>
      <c r="E85" s="47"/>
      <c r="F85" s="47"/>
      <c r="G85" s="47"/>
    </row>
    <row r="86" spans="2:7" ht="15">
      <c r="B86" s="47"/>
      <c r="C86" s="47"/>
      <c r="D86" s="47"/>
      <c r="E86" s="47"/>
      <c r="F86" s="47"/>
      <c r="G86" s="47"/>
    </row>
    <row r="87" spans="2:7" ht="15">
      <c r="B87" s="47"/>
      <c r="C87" s="47"/>
      <c r="D87" s="47"/>
      <c r="E87" s="47"/>
      <c r="F87" s="47"/>
      <c r="G87" s="47"/>
    </row>
    <row r="88" spans="2:7" ht="15">
      <c r="B88" s="47"/>
      <c r="C88" s="47"/>
      <c r="D88" s="47"/>
      <c r="E88" s="47"/>
      <c r="F88" s="47"/>
      <c r="G88" s="47"/>
    </row>
    <row r="89" spans="2:7" ht="15">
      <c r="B89" s="47"/>
      <c r="C89" s="47"/>
      <c r="D89" s="47"/>
      <c r="E89" s="47"/>
      <c r="F89" s="47"/>
      <c r="G89" s="47"/>
    </row>
    <row r="90" spans="2:7" ht="15">
      <c r="B90" s="47"/>
      <c r="C90" s="47"/>
      <c r="D90" s="47"/>
      <c r="E90" s="47"/>
      <c r="F90" s="47"/>
      <c r="G90" s="47"/>
    </row>
    <row r="91" spans="2:7" ht="15">
      <c r="B91" s="47"/>
      <c r="C91" s="47"/>
      <c r="D91" s="47"/>
      <c r="E91" s="47"/>
      <c r="F91" s="47"/>
      <c r="G91" s="47"/>
    </row>
    <row r="92" spans="2:7" ht="15">
      <c r="B92" s="47"/>
      <c r="C92" s="47"/>
      <c r="D92" s="47"/>
      <c r="E92" s="47"/>
      <c r="F92" s="47"/>
      <c r="G92" s="47"/>
    </row>
    <row r="93" spans="2:7" ht="15">
      <c r="B93" s="47"/>
      <c r="C93" s="47"/>
      <c r="D93" s="47"/>
      <c r="E93" s="47"/>
      <c r="F93" s="47"/>
      <c r="G93" s="47"/>
    </row>
    <row r="94" spans="2:7" ht="15">
      <c r="B94" s="47"/>
      <c r="C94" s="47"/>
      <c r="D94" s="47"/>
      <c r="E94" s="47"/>
      <c r="F94" s="47"/>
      <c r="G94" s="47"/>
    </row>
    <row r="95" spans="2:7" ht="15">
      <c r="B95" s="47"/>
      <c r="C95" s="47"/>
      <c r="D95" s="47"/>
      <c r="E95" s="47"/>
      <c r="F95" s="47"/>
      <c r="G95" s="47"/>
    </row>
    <row r="98" spans="2:7">
      <c r="B98" s="62"/>
      <c r="C98" s="62"/>
      <c r="D98" s="62"/>
      <c r="E98" s="62"/>
      <c r="F98" s="62"/>
      <c r="G98" s="62"/>
    </row>
  </sheetData>
  <mergeCells count="4">
    <mergeCell ref="B4:G4"/>
    <mergeCell ref="B2:G2"/>
    <mergeCell ref="D69:G69"/>
    <mergeCell ref="G56:G57"/>
  </mergeCells>
  <phoneticPr fontId="0" type="noConversion"/>
  <pageMargins left="0.99" right="0.5" top="1" bottom="0.5" header="0.5" footer="0.25"/>
  <pageSetup scale="63" orientation="portrait" blackAndWhite="1"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13" zoomScale="85" workbookViewId="0">
      <selection activeCell="J39" sqref="J39"/>
    </sheetView>
  </sheetViews>
  <sheetFormatPr defaultColWidth="8.88671875" defaultRowHeight="15.95" customHeight="1"/>
  <cols>
    <col min="1" max="2" width="3.33203125" style="62" customWidth="1"/>
    <col min="3" max="3" width="31.33203125" style="62" customWidth="1"/>
    <col min="4" max="4" width="2.33203125" style="62" customWidth="1"/>
    <col min="5" max="5" width="15.77734375" style="62" customWidth="1"/>
    <col min="6" max="6" width="2" style="62" customWidth="1"/>
    <col min="7" max="7" width="15.77734375" style="62" customWidth="1"/>
    <col min="8" max="8" width="1.88671875" style="62" customWidth="1"/>
    <col min="9" max="9" width="1.77734375" style="62" customWidth="1"/>
    <col min="10" max="10" width="15.77734375" style="62" customWidth="1"/>
    <col min="11" max="16384" width="8.88671875" style="62"/>
  </cols>
  <sheetData>
    <row r="1" spans="1:10" ht="15.95" customHeight="1">
      <c r="A1" s="224"/>
      <c r="B1" s="224"/>
      <c r="C1" s="225" t="str">
        <f>inputPrYr!D2</f>
        <v>City of Hiawatha</v>
      </c>
      <c r="D1" s="224"/>
      <c r="E1" s="224"/>
      <c r="F1" s="224"/>
      <c r="G1" s="224"/>
      <c r="H1" s="224"/>
      <c r="I1" s="224"/>
      <c r="J1" s="224">
        <f>inputPrYr!C5</f>
        <v>2014</v>
      </c>
    </row>
    <row r="2" spans="1:10" ht="15.95" customHeight="1">
      <c r="A2" s="224"/>
      <c r="B2" s="224"/>
      <c r="C2" s="224"/>
      <c r="D2" s="224"/>
      <c r="E2" s="224"/>
      <c r="F2" s="224"/>
      <c r="G2" s="224"/>
      <c r="H2" s="224"/>
      <c r="I2" s="224"/>
      <c r="J2" s="224"/>
    </row>
    <row r="3" spans="1:10" ht="15.75">
      <c r="A3" s="865" t="str">
        <f>CONCATENATE("Computation to Determine Limit for ",J1,"")</f>
        <v>Computation to Determine Limit for 2014</v>
      </c>
      <c r="B3" s="866"/>
      <c r="C3" s="866"/>
      <c r="D3" s="866"/>
      <c r="E3" s="866"/>
      <c r="F3" s="866"/>
      <c r="G3" s="866"/>
      <c r="H3" s="866"/>
      <c r="I3" s="866"/>
      <c r="J3" s="866"/>
    </row>
    <row r="4" spans="1:10" ht="15.75">
      <c r="A4" s="224"/>
      <c r="B4" s="224"/>
      <c r="C4" s="224"/>
      <c r="D4" s="224"/>
      <c r="E4" s="866"/>
      <c r="F4" s="866"/>
      <c r="G4" s="866"/>
      <c r="H4" s="226"/>
      <c r="I4" s="224"/>
      <c r="J4" s="227" t="s">
        <v>181</v>
      </c>
    </row>
    <row r="5" spans="1:10" ht="15.75">
      <c r="A5" s="228" t="s">
        <v>182</v>
      </c>
      <c r="B5" s="224" t="str">
        <f>CONCATENATE("Total Tax Levy Amount in ",J1-1," Budget")</f>
        <v>Total Tax Levy Amount in 2013 Budget</v>
      </c>
      <c r="C5" s="224"/>
      <c r="D5" s="224"/>
      <c r="E5" s="229"/>
      <c r="F5" s="229"/>
      <c r="G5" s="229"/>
      <c r="H5" s="230" t="s">
        <v>183</v>
      </c>
      <c r="I5" s="229" t="s">
        <v>184</v>
      </c>
      <c r="J5" s="231">
        <f>inputPrYr!E31</f>
        <v>975171</v>
      </c>
    </row>
    <row r="6" spans="1:10" ht="15.75">
      <c r="A6" s="228" t="s">
        <v>185</v>
      </c>
      <c r="B6" s="224" t="str">
        <f>CONCATENATE("Debt Service Levy in ",J1-1," Budget")</f>
        <v>Debt Service Levy in 2013 Budget</v>
      </c>
      <c r="C6" s="224"/>
      <c r="D6" s="224"/>
      <c r="E6" s="229"/>
      <c r="F6" s="229"/>
      <c r="G6" s="229"/>
      <c r="H6" s="230" t="s">
        <v>186</v>
      </c>
      <c r="I6" s="229" t="s">
        <v>184</v>
      </c>
      <c r="J6" s="232">
        <f>inputPrYr!E18</f>
        <v>318016</v>
      </c>
    </row>
    <row r="7" spans="1:10" ht="15.75">
      <c r="A7" s="228" t="s">
        <v>213</v>
      </c>
      <c r="B7" s="233" t="s">
        <v>210</v>
      </c>
      <c r="C7" s="224"/>
      <c r="D7" s="224"/>
      <c r="E7" s="229"/>
      <c r="F7" s="229"/>
      <c r="G7" s="229"/>
      <c r="H7" s="229"/>
      <c r="I7" s="229" t="s">
        <v>184</v>
      </c>
      <c r="J7" s="234">
        <f>J5-J6</f>
        <v>657155</v>
      </c>
    </row>
    <row r="8" spans="1:10" ht="15.75">
      <c r="A8" s="224"/>
      <c r="B8" s="224"/>
      <c r="C8" s="224"/>
      <c r="D8" s="224"/>
      <c r="E8" s="229"/>
      <c r="F8" s="229"/>
      <c r="G8" s="229"/>
      <c r="H8" s="229"/>
      <c r="I8" s="229"/>
      <c r="J8" s="229"/>
    </row>
    <row r="9" spans="1:10" ht="15.75">
      <c r="A9" s="224"/>
      <c r="B9" s="233" t="str">
        <f>CONCATENATE("",J1-1," Valuation Information for Valuation Adjustments:")</f>
        <v>2013 Valuation Information for Valuation Adjustments:</v>
      </c>
      <c r="C9" s="224"/>
      <c r="D9" s="224"/>
      <c r="E9" s="229"/>
      <c r="F9" s="229"/>
      <c r="G9" s="229"/>
      <c r="H9" s="229"/>
      <c r="I9" s="229"/>
      <c r="J9" s="229"/>
    </row>
    <row r="10" spans="1:10" ht="15.75">
      <c r="A10" s="224"/>
      <c r="B10" s="224"/>
      <c r="C10" s="233"/>
      <c r="D10" s="224"/>
      <c r="E10" s="229"/>
      <c r="F10" s="229"/>
      <c r="G10" s="229"/>
      <c r="H10" s="229"/>
      <c r="I10" s="229"/>
      <c r="J10" s="229"/>
    </row>
    <row r="11" spans="1:10" ht="15.75">
      <c r="A11" s="228" t="s">
        <v>187</v>
      </c>
      <c r="B11" s="233" t="str">
        <f>CONCATENATE("New Improvements for ",J1-1,":")</f>
        <v>New Improvements for 2013:</v>
      </c>
      <c r="C11" s="224"/>
      <c r="D11" s="224"/>
      <c r="E11" s="230"/>
      <c r="F11" s="230" t="s">
        <v>183</v>
      </c>
      <c r="G11" s="235">
        <f>inputOth!E7</f>
        <v>318578</v>
      </c>
      <c r="H11" s="236"/>
      <c r="I11" s="229"/>
      <c r="J11" s="229"/>
    </row>
    <row r="12" spans="1:10" ht="15.75">
      <c r="A12" s="228"/>
      <c r="B12" s="237"/>
      <c r="C12" s="224"/>
      <c r="D12" s="224"/>
      <c r="E12" s="230"/>
      <c r="F12" s="230"/>
      <c r="G12" s="236"/>
      <c r="H12" s="236"/>
      <c r="I12" s="229"/>
      <c r="J12" s="229"/>
    </row>
    <row r="13" spans="1:10" ht="15.75">
      <c r="A13" s="228" t="s">
        <v>188</v>
      </c>
      <c r="B13" s="233" t="str">
        <f>CONCATENATE("Increase in Personal Property for ",J1-1,":")</f>
        <v>Increase in Personal Property for 2013:</v>
      </c>
      <c r="C13" s="224"/>
      <c r="D13" s="224"/>
      <c r="E13" s="230"/>
      <c r="F13" s="230"/>
      <c r="G13" s="236"/>
      <c r="H13" s="236"/>
      <c r="I13" s="229"/>
      <c r="J13" s="229"/>
    </row>
    <row r="14" spans="1:10" ht="15.75">
      <c r="A14" s="238"/>
      <c r="B14" s="224" t="s">
        <v>189</v>
      </c>
      <c r="C14" s="224" t="str">
        <f>CONCATENATE("Personal Property ",J1-1,"")</f>
        <v>Personal Property 2013</v>
      </c>
      <c r="D14" s="237" t="s">
        <v>183</v>
      </c>
      <c r="E14" s="235">
        <f>inputOth!E8</f>
        <v>745767</v>
      </c>
      <c r="F14" s="230"/>
      <c r="G14" s="229"/>
      <c r="H14" s="229"/>
      <c r="I14" s="236"/>
      <c r="J14" s="229"/>
    </row>
    <row r="15" spans="1:10" ht="15.75">
      <c r="A15" s="237"/>
      <c r="B15" s="224" t="s">
        <v>190</v>
      </c>
      <c r="C15" s="224" t="str">
        <f>CONCATENATE("Personal Property ",J1-2,"")</f>
        <v>Personal Property 2012</v>
      </c>
      <c r="D15" s="237" t="s">
        <v>186</v>
      </c>
      <c r="E15" s="239">
        <f>inputOth!E14</f>
        <v>696140</v>
      </c>
      <c r="F15" s="230"/>
      <c r="G15" s="236"/>
      <c r="H15" s="236"/>
      <c r="I15" s="229"/>
      <c r="J15" s="229"/>
    </row>
    <row r="16" spans="1:10" ht="15.75">
      <c r="A16" s="237"/>
      <c r="B16" s="224" t="s">
        <v>191</v>
      </c>
      <c r="C16" s="224" t="s">
        <v>212</v>
      </c>
      <c r="D16" s="224"/>
      <c r="E16" s="229"/>
      <c r="F16" s="229" t="s">
        <v>183</v>
      </c>
      <c r="G16" s="231">
        <f>IF(E14&gt;E15,E14-E15,0)</f>
        <v>49627</v>
      </c>
      <c r="H16" s="236"/>
      <c r="I16" s="229"/>
      <c r="J16" s="229"/>
    </row>
    <row r="17" spans="1:10" ht="15.75">
      <c r="A17" s="237"/>
      <c r="B17" s="237"/>
      <c r="C17" s="224"/>
      <c r="D17" s="224"/>
      <c r="E17" s="229"/>
      <c r="F17" s="229"/>
      <c r="G17" s="236" t="s">
        <v>204</v>
      </c>
      <c r="H17" s="236"/>
      <c r="I17" s="229"/>
      <c r="J17" s="229"/>
    </row>
    <row r="18" spans="1:10" ht="15.75">
      <c r="A18" s="237" t="s">
        <v>192</v>
      </c>
      <c r="B18" s="233" t="str">
        <f>CONCATENATE("Valuation of annexed territory for ",J1-1,"")</f>
        <v>Valuation of annexed territory for 2013</v>
      </c>
      <c r="C18" s="224"/>
      <c r="D18" s="224"/>
      <c r="E18" s="236"/>
      <c r="F18" s="229"/>
      <c r="G18" s="229"/>
      <c r="H18" s="229"/>
      <c r="I18" s="229"/>
      <c r="J18" s="229"/>
    </row>
    <row r="19" spans="1:10" ht="15.75">
      <c r="A19" s="237"/>
      <c r="B19" s="224" t="s">
        <v>193</v>
      </c>
      <c r="C19" s="224" t="s">
        <v>214</v>
      </c>
      <c r="D19" s="237" t="s">
        <v>183</v>
      </c>
      <c r="E19" s="235">
        <f>inputOth!E10</f>
        <v>0</v>
      </c>
      <c r="F19" s="229"/>
      <c r="G19" s="229"/>
      <c r="H19" s="229"/>
      <c r="I19" s="229"/>
      <c r="J19" s="229"/>
    </row>
    <row r="20" spans="1:10" ht="15.75">
      <c r="A20" s="237"/>
      <c r="B20" s="224" t="s">
        <v>194</v>
      </c>
      <c r="C20" s="224" t="s">
        <v>215</v>
      </c>
      <c r="D20" s="237" t="s">
        <v>183</v>
      </c>
      <c r="E20" s="235">
        <f>inputOth!E11</f>
        <v>0</v>
      </c>
      <c r="F20" s="229"/>
      <c r="G20" s="236"/>
      <c r="H20" s="236"/>
      <c r="I20" s="229"/>
      <c r="J20" s="229"/>
    </row>
    <row r="21" spans="1:10" ht="15.75">
      <c r="A21" s="237"/>
      <c r="B21" s="224" t="s">
        <v>195</v>
      </c>
      <c r="C21" s="224" t="s">
        <v>211</v>
      </c>
      <c r="D21" s="237" t="s">
        <v>186</v>
      </c>
      <c r="E21" s="235">
        <f>inputOth!E12</f>
        <v>0</v>
      </c>
      <c r="F21" s="229"/>
      <c r="G21" s="236"/>
      <c r="H21" s="236"/>
      <c r="I21" s="229"/>
      <c r="J21" s="229"/>
    </row>
    <row r="22" spans="1:10" ht="15.75">
      <c r="A22" s="237"/>
      <c r="B22" s="224" t="s">
        <v>196</v>
      </c>
      <c r="C22" s="224" t="s">
        <v>216</v>
      </c>
      <c r="D22" s="237"/>
      <c r="E22" s="236"/>
      <c r="F22" s="229" t="s">
        <v>183</v>
      </c>
      <c r="G22" s="231">
        <f>E19+E20-E21</f>
        <v>0</v>
      </c>
      <c r="H22" s="236"/>
      <c r="I22" s="229"/>
      <c r="J22" s="229"/>
    </row>
    <row r="23" spans="1:10" ht="15.75">
      <c r="A23" s="237"/>
      <c r="B23" s="237"/>
      <c r="C23" s="224"/>
      <c r="D23" s="237"/>
      <c r="E23" s="236"/>
      <c r="F23" s="229"/>
      <c r="G23" s="236"/>
      <c r="H23" s="236"/>
      <c r="I23" s="229"/>
      <c r="J23" s="229"/>
    </row>
    <row r="24" spans="1:10" ht="15.75">
      <c r="A24" s="237" t="s">
        <v>197</v>
      </c>
      <c r="B24" s="233" t="str">
        <f>CONCATENATE("Valuation of Property that has Changed in Use during ",J1-1,"")</f>
        <v>Valuation of Property that has Changed in Use during 2013</v>
      </c>
      <c r="C24" s="224"/>
      <c r="D24" s="224"/>
      <c r="E24" s="229"/>
      <c r="F24" s="229"/>
      <c r="G24" s="165">
        <f>inputOth!E13</f>
        <v>69909</v>
      </c>
      <c r="H24" s="229"/>
      <c r="I24" s="229"/>
      <c r="J24" s="229"/>
    </row>
    <row r="25" spans="1:10" ht="15.75">
      <c r="A25" s="224" t="s">
        <v>82</v>
      </c>
      <c r="B25" s="224"/>
      <c r="C25" s="224"/>
      <c r="D25" s="237"/>
      <c r="E25" s="236"/>
      <c r="F25" s="229"/>
      <c r="G25" s="240"/>
      <c r="H25" s="236"/>
      <c r="I25" s="229"/>
      <c r="J25" s="229"/>
    </row>
    <row r="26" spans="1:10" ht="15.75">
      <c r="A26" s="237" t="s">
        <v>198</v>
      </c>
      <c r="B26" s="233" t="s">
        <v>217</v>
      </c>
      <c r="C26" s="224"/>
      <c r="D26" s="224"/>
      <c r="E26" s="229"/>
      <c r="F26" s="229"/>
      <c r="G26" s="231">
        <f>G11+G16+G22+G24</f>
        <v>438114</v>
      </c>
      <c r="H26" s="236"/>
      <c r="I26" s="229"/>
      <c r="J26" s="229"/>
    </row>
    <row r="27" spans="1:10" ht="15.75">
      <c r="A27" s="237"/>
      <c r="B27" s="237"/>
      <c r="C27" s="233"/>
      <c r="D27" s="224"/>
      <c r="E27" s="229"/>
      <c r="F27" s="229"/>
      <c r="G27" s="236"/>
      <c r="H27" s="236"/>
      <c r="I27" s="229"/>
      <c r="J27" s="229"/>
    </row>
    <row r="28" spans="1:10" ht="15.75">
      <c r="A28" s="237" t="s">
        <v>199</v>
      </c>
      <c r="B28" s="224" t="str">
        <f>CONCATENATE("Total Estimated Valuation July 1,",J1-1,"")</f>
        <v>Total Estimated Valuation July 1,2013</v>
      </c>
      <c r="C28" s="224"/>
      <c r="D28" s="224"/>
      <c r="E28" s="231">
        <f>inputOth!E6</f>
        <v>21836937</v>
      </c>
      <c r="F28" s="229"/>
      <c r="G28" s="229"/>
      <c r="H28" s="229"/>
      <c r="I28" s="230"/>
      <c r="J28" s="229"/>
    </row>
    <row r="29" spans="1:10" ht="15.75">
      <c r="A29" s="237"/>
      <c r="B29" s="237"/>
      <c r="C29" s="224"/>
      <c r="D29" s="224"/>
      <c r="E29" s="236"/>
      <c r="F29" s="229"/>
      <c r="G29" s="229"/>
      <c r="H29" s="229"/>
      <c r="I29" s="230"/>
      <c r="J29" s="229"/>
    </row>
    <row r="30" spans="1:10" ht="15.75">
      <c r="A30" s="237" t="s">
        <v>200</v>
      </c>
      <c r="B30" s="233" t="s">
        <v>218</v>
      </c>
      <c r="C30" s="224"/>
      <c r="D30" s="224"/>
      <c r="E30" s="229"/>
      <c r="F30" s="229"/>
      <c r="G30" s="231">
        <f>E28-G26</f>
        <v>21398823</v>
      </c>
      <c r="H30" s="236"/>
      <c r="I30" s="230"/>
      <c r="J30" s="229"/>
    </row>
    <row r="31" spans="1:10" ht="15.75">
      <c r="A31" s="237"/>
      <c r="B31" s="237"/>
      <c r="C31" s="233"/>
      <c r="D31" s="224"/>
      <c r="E31" s="224"/>
      <c r="F31" s="224"/>
      <c r="G31" s="241"/>
      <c r="H31" s="242"/>
      <c r="I31" s="237"/>
      <c r="J31" s="224"/>
    </row>
    <row r="32" spans="1:10" ht="15.75">
      <c r="A32" s="237" t="s">
        <v>201</v>
      </c>
      <c r="B32" s="224" t="s">
        <v>219</v>
      </c>
      <c r="C32" s="224"/>
      <c r="D32" s="224"/>
      <c r="E32" s="224"/>
      <c r="F32" s="224"/>
      <c r="G32" s="243">
        <f>IF(G30&gt;0,G26/G30,0)</f>
        <v>2.0473742878288213E-2</v>
      </c>
      <c r="H32" s="242"/>
      <c r="I32" s="224"/>
      <c r="J32" s="224"/>
    </row>
    <row r="33" spans="1:10" ht="15.75">
      <c r="A33" s="237"/>
      <c r="B33" s="237"/>
      <c r="C33" s="224"/>
      <c r="D33" s="224"/>
      <c r="E33" s="224"/>
      <c r="F33" s="224"/>
      <c r="G33" s="242"/>
      <c r="H33" s="242"/>
      <c r="I33" s="224"/>
      <c r="J33" s="224"/>
    </row>
    <row r="34" spans="1:10" ht="15.75">
      <c r="A34" s="237" t="s">
        <v>202</v>
      </c>
      <c r="B34" s="224" t="s">
        <v>220</v>
      </c>
      <c r="C34" s="224"/>
      <c r="D34" s="224"/>
      <c r="E34" s="224"/>
      <c r="F34" s="224"/>
      <c r="G34" s="242"/>
      <c r="H34" s="244" t="s">
        <v>183</v>
      </c>
      <c r="I34" s="224" t="s">
        <v>184</v>
      </c>
      <c r="J34" s="231">
        <f>ROUND(G32*J7,0)</f>
        <v>13454</v>
      </c>
    </row>
    <row r="35" spans="1:10" ht="15.75">
      <c r="A35" s="237"/>
      <c r="B35" s="237"/>
      <c r="C35" s="224"/>
      <c r="D35" s="224"/>
      <c r="E35" s="224"/>
      <c r="F35" s="224"/>
      <c r="G35" s="242"/>
      <c r="H35" s="244"/>
      <c r="I35" s="224"/>
      <c r="J35" s="236"/>
    </row>
    <row r="36" spans="1:10" ht="16.5" thickBot="1">
      <c r="A36" s="237" t="s">
        <v>203</v>
      </c>
      <c r="B36" s="233" t="s">
        <v>226</v>
      </c>
      <c r="C36" s="224"/>
      <c r="D36" s="224"/>
      <c r="E36" s="224"/>
      <c r="F36" s="224"/>
      <c r="G36" s="224"/>
      <c r="H36" s="224"/>
      <c r="I36" s="224" t="s">
        <v>184</v>
      </c>
      <c r="J36" s="245">
        <f>J7+J34</f>
        <v>670609</v>
      </c>
    </row>
    <row r="37" spans="1:10" ht="16.5" thickTop="1">
      <c r="A37" s="224"/>
      <c r="B37" s="224"/>
      <c r="C37" s="224"/>
      <c r="D37" s="224"/>
      <c r="E37" s="224"/>
      <c r="F37" s="224"/>
      <c r="G37" s="224"/>
      <c r="H37" s="224"/>
      <c r="I37" s="224"/>
      <c r="J37" s="224"/>
    </row>
    <row r="38" spans="1:10" ht="15.75">
      <c r="A38" s="237" t="s">
        <v>224</v>
      </c>
      <c r="B38" s="233" t="str">
        <f>CONCATENATE("Debt Service in this ",J1," Budget")</f>
        <v>Debt Service in this 2014 Budget</v>
      </c>
      <c r="C38" s="224"/>
      <c r="D38" s="224"/>
      <c r="E38" s="224"/>
      <c r="F38" s="224"/>
      <c r="G38" s="224"/>
      <c r="H38" s="224"/>
      <c r="I38" s="224"/>
      <c r="J38" s="246">
        <f>'DebtSvs-Library'!E40</f>
        <v>169594</v>
      </c>
    </row>
    <row r="39" spans="1:10" ht="15.75">
      <c r="A39" s="237"/>
      <c r="B39" s="233"/>
      <c r="C39" s="224"/>
      <c r="D39" s="224"/>
      <c r="E39" s="224"/>
      <c r="F39" s="224"/>
      <c r="G39" s="224"/>
      <c r="H39" s="224"/>
      <c r="I39" s="224"/>
      <c r="J39" s="242"/>
    </row>
    <row r="40" spans="1:10" ht="16.5" thickBot="1">
      <c r="A40" s="237" t="s">
        <v>225</v>
      </c>
      <c r="B40" s="233" t="s">
        <v>227</v>
      </c>
      <c r="C40" s="224"/>
      <c r="D40" s="224"/>
      <c r="E40" s="224"/>
      <c r="F40" s="224"/>
      <c r="G40" s="224"/>
      <c r="H40" s="224"/>
      <c r="I40" s="224"/>
      <c r="J40" s="245">
        <f>J36+J38</f>
        <v>840203</v>
      </c>
    </row>
    <row r="41" spans="1:10" ht="16.5" thickTop="1">
      <c r="A41" s="224"/>
      <c r="B41" s="224"/>
      <c r="C41" s="224"/>
      <c r="D41" s="224"/>
      <c r="E41" s="224"/>
      <c r="F41" s="224"/>
      <c r="G41" s="224"/>
      <c r="H41" s="224"/>
      <c r="I41" s="224"/>
      <c r="J41" s="224"/>
    </row>
    <row r="42" spans="1:10" s="247" customFormat="1" ht="18.75">
      <c r="A42" s="864" t="str">
        <f>CONCATENATE("If the ",J1," budget includes tax levies exceeding the total on line 15, you must")</f>
        <v>If the 2014 budget includes tax levies exceeding the total on line 15, you must</v>
      </c>
      <c r="B42" s="864"/>
      <c r="C42" s="864"/>
      <c r="D42" s="864"/>
      <c r="E42" s="864"/>
      <c r="F42" s="864"/>
      <c r="G42" s="864"/>
      <c r="H42" s="864"/>
      <c r="I42" s="864"/>
      <c r="J42" s="864"/>
    </row>
    <row r="43" spans="1:10" s="247" customFormat="1" ht="18.75">
      <c r="A43" s="864" t="s">
        <v>292</v>
      </c>
      <c r="B43" s="864"/>
      <c r="C43" s="864"/>
      <c r="D43" s="864"/>
      <c r="E43" s="864"/>
      <c r="F43" s="864"/>
      <c r="G43" s="864"/>
      <c r="H43" s="864"/>
      <c r="I43" s="864"/>
      <c r="J43" s="864"/>
    </row>
    <row r="44" spans="1:10" s="247" customFormat="1" ht="18.75">
      <c r="A44" s="864" t="s">
        <v>293</v>
      </c>
      <c r="B44" s="864"/>
      <c r="C44" s="864"/>
      <c r="D44" s="864"/>
      <c r="E44" s="864"/>
      <c r="F44" s="864"/>
      <c r="G44" s="864"/>
      <c r="H44" s="864"/>
      <c r="I44" s="864"/>
      <c r="J44" s="864"/>
    </row>
  </sheetData>
  <sheetProtection sheet="1"/>
  <mergeCells count="5">
    <mergeCell ref="A42:J42"/>
    <mergeCell ref="A44:J44"/>
    <mergeCell ref="A3:J3"/>
    <mergeCell ref="E4:G4"/>
    <mergeCell ref="A43:J43"/>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topLeftCell="A7" workbookViewId="0">
      <selection activeCell="G10" sqref="G10"/>
    </sheetView>
  </sheetViews>
  <sheetFormatPr defaultColWidth="8.88671875" defaultRowHeight="15.75"/>
  <cols>
    <col min="1" max="1" width="8.88671875" style="121"/>
    <col min="2" max="2" width="17.88671875" style="121" customWidth="1"/>
    <col min="3" max="3" width="16.109375" style="121" customWidth="1"/>
    <col min="4" max="6" width="12.77734375" style="121" customWidth="1"/>
    <col min="7" max="7" width="10.21875" style="121" customWidth="1"/>
    <col min="8" max="16384" width="8.88671875" style="121"/>
  </cols>
  <sheetData>
    <row r="1" spans="1:7">
      <c r="A1" s="85"/>
      <c r="B1" s="105" t="str">
        <f>inputPrYr!D2</f>
        <v>City of Hiawatha</v>
      </c>
      <c r="C1" s="105"/>
      <c r="D1" s="85"/>
      <c r="E1" s="85"/>
      <c r="F1" s="85"/>
      <c r="G1" s="85">
        <f>inputPrYr!C5</f>
        <v>2014</v>
      </c>
    </row>
    <row r="2" spans="1:7">
      <c r="A2" s="85"/>
      <c r="B2" s="85"/>
      <c r="C2" s="85"/>
      <c r="D2" s="85"/>
      <c r="E2" s="85"/>
      <c r="F2" s="85"/>
      <c r="G2" s="85"/>
    </row>
    <row r="3" spans="1:7">
      <c r="A3" s="85"/>
      <c r="B3" s="867" t="s">
        <v>929</v>
      </c>
      <c r="C3" s="867"/>
      <c r="D3" s="867"/>
      <c r="E3" s="867"/>
      <c r="F3" s="867"/>
      <c r="G3" s="85"/>
    </row>
    <row r="4" spans="1:7">
      <c r="A4" s="85"/>
      <c r="B4" s="85"/>
      <c r="C4" s="433"/>
      <c r="D4" s="433"/>
      <c r="E4" s="433"/>
      <c r="F4" s="85"/>
      <c r="G4" s="85"/>
    </row>
    <row r="5" spans="1:7" ht="21" customHeight="1">
      <c r="A5" s="85"/>
      <c r="B5" s="380" t="s">
        <v>291</v>
      </c>
      <c r="C5" s="353" t="s">
        <v>930</v>
      </c>
      <c r="D5" s="868" t="str">
        <f>CONCATENATE("Allocation for Year ",G1,"")</f>
        <v>Allocation for Year 2014</v>
      </c>
      <c r="E5" s="869"/>
      <c r="F5" s="870"/>
      <c r="G5" s="85"/>
    </row>
    <row r="6" spans="1:7">
      <c r="A6" s="85"/>
      <c r="B6" s="382" t="str">
        <f>CONCATENATE("for ",G1-1,"")</f>
        <v>for 2013</v>
      </c>
      <c r="C6" s="382" t="str">
        <f>CONCATENATE("Amount for ",G1-2,"")</f>
        <v>Amount for 2012</v>
      </c>
      <c r="D6" s="98" t="s">
        <v>177</v>
      </c>
      <c r="E6" s="98" t="s">
        <v>178</v>
      </c>
      <c r="F6" s="98" t="s">
        <v>176</v>
      </c>
      <c r="G6" s="748"/>
    </row>
    <row r="7" spans="1:7">
      <c r="A7" s="85"/>
      <c r="B7" s="100" t="str">
        <f>(inputPrYr!B17)</f>
        <v>General</v>
      </c>
      <c r="C7" s="210">
        <f>(inputPrYr!E17)</f>
        <v>217908</v>
      </c>
      <c r="D7" s="210">
        <f>IF(inputPrYr!E17=0,0,D22-SUM(D8:D19))</f>
        <v>27743</v>
      </c>
      <c r="E7" s="210">
        <f>IF(inputPrYr!E17=0,0,E23-SUM(E8:E19))</f>
        <v>382</v>
      </c>
      <c r="F7" s="210">
        <f>IF(inputPrYr!E17=0,0,F24-SUM(F8:F19))</f>
        <v>452</v>
      </c>
      <c r="G7" s="749"/>
    </row>
    <row r="8" spans="1:7">
      <c r="A8" s="85"/>
      <c r="B8" s="100" t="str">
        <f>IF(inputPrYr!$B18&gt;"  ",(inputPrYr!$B18),"  ")</f>
        <v>Debt Service</v>
      </c>
      <c r="C8" s="210">
        <f>IF(inputPrYr!$E18&gt;0,(inputPrYr!$E18),"  ")</f>
        <v>318016</v>
      </c>
      <c r="D8" s="210">
        <f>IF(inputPrYr!E18&gt;0,ROUND(C8*$D$27,0),"  ")</f>
        <v>40490</v>
      </c>
      <c r="E8" s="210">
        <f>IF(inputPrYr!E18&gt;0,ROUND(+C8*E$28,0)," ")</f>
        <v>556</v>
      </c>
      <c r="F8" s="210">
        <f>IF(inputPrYr!E18&gt;0,ROUND(C8*F$29,0)," ")</f>
        <v>660</v>
      </c>
      <c r="G8" s="749"/>
    </row>
    <row r="9" spans="1:7">
      <c r="A9" s="85"/>
      <c r="B9" s="100" t="str">
        <f>IF(inputPrYr!$B19&gt;"  ",(inputPrYr!$B19),"  ")</f>
        <v>Library</v>
      </c>
      <c r="C9" s="210">
        <f>IF(inputPrYr!$E19&gt;0,(inputPrYr!$E19),"  ")</f>
        <v>114353</v>
      </c>
      <c r="D9" s="210">
        <f>IF(inputPrYr!E19&gt;0,ROUND(C9*$D$27,0),"  ")</f>
        <v>14559</v>
      </c>
      <c r="E9" s="210">
        <f>IF(inputPrYr!E19&gt;0,ROUND(+C9*E$28,0)," ")</f>
        <v>200</v>
      </c>
      <c r="F9" s="210">
        <f>IF(inputPrYr!E19&gt;0,ROUND(+C9*F$29,0)," ")</f>
        <v>237</v>
      </c>
      <c r="G9" s="749"/>
    </row>
    <row r="10" spans="1:7">
      <c r="A10" s="85"/>
      <c r="B10" s="100" t="str">
        <f>IF(inputPrYr!$B21&gt;"  ",(inputPrYr!$B21),"  ")</f>
        <v>Industrial</v>
      </c>
      <c r="C10" s="210" t="str">
        <f>IF(inputPrYr!$E21&gt;0,(inputPrYr!$E21),"  ")</f>
        <v xml:space="preserve">  </v>
      </c>
      <c r="D10" s="210" t="str">
        <f>IF(inputPrYr!E21&gt;0,ROUND(C10*$D$27,0),"  ")</f>
        <v xml:space="preserve">  </v>
      </c>
      <c r="E10" s="210" t="str">
        <f>IF(inputPrYr!E21&gt;0,ROUND(+C10*E$28,0)," ")</f>
        <v xml:space="preserve"> </v>
      </c>
      <c r="F10" s="210" t="str">
        <f>IF(inputPrYr!E21&gt;0,ROUND(+C10*F$29,0)," ")</f>
        <v xml:space="preserve"> </v>
      </c>
      <c r="G10" s="749"/>
    </row>
    <row r="11" spans="1:7">
      <c r="A11" s="85"/>
      <c r="B11" s="100" t="str">
        <f>IF(inputPrYr!$B22&gt;"  ",(inputPrYr!$B22),"  ")</f>
        <v>Recreation</v>
      </c>
      <c r="C11" s="210">
        <f>IF(inputPrYr!$E22&gt;0,(inputPrYr!$E22),"  ")</f>
        <v>33817</v>
      </c>
      <c r="D11" s="210">
        <f>IF(inputPrYr!E22&gt;0,ROUND(C11*$D$27,0),"  ")</f>
        <v>4306</v>
      </c>
      <c r="E11" s="210">
        <f>IF(inputPrYr!E22&gt;0,ROUND(+C11*E$28,0)," ")</f>
        <v>59</v>
      </c>
      <c r="F11" s="210">
        <f>IF(inputPrYr!E22&gt;0,ROUND(+C11*F$29,0)," ")</f>
        <v>70</v>
      </c>
      <c r="G11" s="749"/>
    </row>
    <row r="12" spans="1:7">
      <c r="A12" s="85"/>
      <c r="B12" s="100" t="str">
        <f>IF(inputPrYr!$B23&gt;"  ",(inputPrYr!$B23),"  ")</f>
        <v>Employee Benefits</v>
      </c>
      <c r="C12" s="210">
        <f>IF(inputPrYr!$E23&gt;0,(inputPrYr!$E23),"  ")</f>
        <v>291077</v>
      </c>
      <c r="D12" s="210">
        <f>IF(inputPrYr!E23&gt;0,ROUND(C12*$D$27,0),"  ")</f>
        <v>37060</v>
      </c>
      <c r="E12" s="210">
        <f>IF(inputPrYr!E23&gt;0,ROUND(+C12*E$28,0)," ")</f>
        <v>509</v>
      </c>
      <c r="F12" s="210">
        <f>IF(inputPrYr!E23&gt;0,ROUND(+C12*F$29,0)," ")</f>
        <v>604</v>
      </c>
      <c r="G12" s="749"/>
    </row>
    <row r="13" spans="1:7">
      <c r="A13" s="85"/>
      <c r="B13" s="100" t="str">
        <f>IF(inputPrYr!$B24&gt;"  ",(inputPrYr!$B24),"  ")</f>
        <v xml:space="preserve">  </v>
      </c>
      <c r="C13" s="210" t="str">
        <f>IF(inputPrYr!$E24&gt;0,(inputPrYr!$E24),"  ")</f>
        <v xml:space="preserve">  </v>
      </c>
      <c r="D13" s="210" t="str">
        <f>IF(inputPrYr!E24&gt;0,ROUND(C13*$D$27,0),"  ")</f>
        <v xml:space="preserve">  </v>
      </c>
      <c r="E13" s="210" t="str">
        <f>IF(inputPrYr!E24&gt;0,ROUND(+C13*E$28,0)," ")</f>
        <v xml:space="preserve"> </v>
      </c>
      <c r="F13" s="210" t="str">
        <f>IF(inputPrYr!E24&gt;0,ROUND(+C13*F$29,0)," ")</f>
        <v xml:space="preserve"> </v>
      </c>
      <c r="G13" s="749"/>
    </row>
    <row r="14" spans="1:7">
      <c r="A14" s="85"/>
      <c r="B14" s="100" t="str">
        <f>IF(inputPrYr!$B25&gt;"  ",(inputPrYr!$B25),"  ")</f>
        <v xml:space="preserve">  </v>
      </c>
      <c r="C14" s="210" t="str">
        <f>IF(inputPrYr!$E25&gt;0,(inputPrYr!$E25),"  ")</f>
        <v xml:space="preserve">  </v>
      </c>
      <c r="D14" s="210" t="str">
        <f>IF(inputPrYr!E25&gt;0,ROUND(C14*$D$27,0),"  ")</f>
        <v xml:space="preserve">  </v>
      </c>
      <c r="E14" s="210" t="str">
        <f>IF(inputPrYr!E25&gt;0,ROUND(+C14*E$28,0)," ")</f>
        <v xml:space="preserve"> </v>
      </c>
      <c r="F14" s="210" t="str">
        <f>IF(inputPrYr!E25&gt;0,ROUND(+C14*F$29,0)," ")</f>
        <v xml:space="preserve"> </v>
      </c>
      <c r="G14" s="749"/>
    </row>
    <row r="15" spans="1:7">
      <c r="A15" s="85"/>
      <c r="B15" s="100" t="str">
        <f>IF(inputPrYr!$B26&gt;"  ",(inputPrYr!$B26),"  ")</f>
        <v xml:space="preserve">  </v>
      </c>
      <c r="C15" s="210" t="str">
        <f>IF(inputPrYr!$E26&gt;0,(inputPrYr!$E26),"  ")</f>
        <v xml:space="preserve">  </v>
      </c>
      <c r="D15" s="210" t="str">
        <f>IF(inputPrYr!E26&gt;0,ROUND(C15*$D$27,0),"  ")</f>
        <v xml:space="preserve">  </v>
      </c>
      <c r="E15" s="210" t="str">
        <f>IF(inputPrYr!E26&gt;0,ROUND(+C15*E$28,0)," ")</f>
        <v xml:space="preserve"> </v>
      </c>
      <c r="F15" s="210" t="str">
        <f>IF(inputPrYr!E26&gt;0,ROUND(+C15*F$29,0)," ")</f>
        <v xml:space="preserve"> </v>
      </c>
      <c r="G15" s="749"/>
    </row>
    <row r="16" spans="1:7">
      <c r="A16" s="85"/>
      <c r="B16" s="100" t="str">
        <f>IF(inputPrYr!$B27&gt;"  ",(inputPrYr!$B27),"  ")</f>
        <v xml:space="preserve">  </v>
      </c>
      <c r="C16" s="210" t="str">
        <f>IF(inputPrYr!$E27&gt;0,(inputPrYr!$E27),"  ")</f>
        <v xml:space="preserve">  </v>
      </c>
      <c r="D16" s="210" t="str">
        <f>IF(inputPrYr!E27&gt;0,ROUND(C16*$D$27,0),"  ")</f>
        <v xml:space="preserve">  </v>
      </c>
      <c r="E16" s="210" t="str">
        <f>IF(inputPrYr!E27&gt;0,ROUND(+C16*E$28,0)," ")</f>
        <v xml:space="preserve"> </v>
      </c>
      <c r="F16" s="210" t="str">
        <f>IF(inputPrYr!E27&gt;0,ROUND(+C16*F$29,0)," ")</f>
        <v xml:space="preserve"> </v>
      </c>
      <c r="G16" s="749"/>
    </row>
    <row r="17" spans="1:7">
      <c r="A17" s="85"/>
      <c r="B17" s="100" t="str">
        <f>IF(inputPrYr!$B28&gt;"  ",(inputPrYr!$B28),"  ")</f>
        <v xml:space="preserve">  </v>
      </c>
      <c r="C17" s="210" t="str">
        <f>IF(inputPrYr!$E28&gt;0,(inputPrYr!$E28),"  ")</f>
        <v xml:space="preserve">  </v>
      </c>
      <c r="D17" s="210" t="str">
        <f>IF(inputPrYr!E28&gt;0,ROUND(C17*$D$27,0),"  ")</f>
        <v xml:space="preserve">  </v>
      </c>
      <c r="E17" s="210" t="str">
        <f>IF(inputPrYr!E28&gt;0,ROUND(+C17*E$28,0)," ")</f>
        <v xml:space="preserve"> </v>
      </c>
      <c r="F17" s="210" t="str">
        <f>IF(inputPrYr!E28&gt;0,ROUND(+C17*F$29,0)," ")</f>
        <v xml:space="preserve"> </v>
      </c>
      <c r="G17" s="749"/>
    </row>
    <row r="18" spans="1:7">
      <c r="A18" s="85"/>
      <c r="B18" s="100" t="str">
        <f>IF(inputPrYr!$B29&gt;"  ",(inputPrYr!$B29),"  ")</f>
        <v xml:space="preserve">  </v>
      </c>
      <c r="C18" s="210" t="str">
        <f>IF(inputPrYr!$E29&gt;0,(inputPrYr!$E29),"  ")</f>
        <v xml:space="preserve">  </v>
      </c>
      <c r="D18" s="210" t="str">
        <f>IF(inputPrYr!E29&gt;0,ROUND(C18*$D$27,0),"  ")</f>
        <v xml:space="preserve">  </v>
      </c>
      <c r="E18" s="210" t="str">
        <f>IF(inputPrYr!E29&gt;0,ROUND(+C18*E$28,0)," ")</f>
        <v xml:space="preserve"> </v>
      </c>
      <c r="F18" s="210" t="str">
        <f>IF(inputPrYr!E29&gt;0,ROUND(+C18*F$29,0)," ")</f>
        <v xml:space="preserve"> </v>
      </c>
      <c r="G18" s="749"/>
    </row>
    <row r="19" spans="1:7">
      <c r="A19" s="85"/>
      <c r="B19" s="100" t="str">
        <f>IF(inputPrYr!$B30&gt;"  ",(inputPrYr!$B30),"  ")</f>
        <v xml:space="preserve">  </v>
      </c>
      <c r="C19" s="210" t="str">
        <f>IF(inputPrYr!$E30&gt;0,(inputPrYr!$E30),"  ")</f>
        <v xml:space="preserve">  </v>
      </c>
      <c r="D19" s="210" t="str">
        <f>IF(inputPrYr!E30&gt;0,ROUND(C19*$D$27,0),"  ")</f>
        <v xml:space="preserve">  </v>
      </c>
      <c r="E19" s="210" t="str">
        <f>IF(inputPrYr!E30&gt;0,ROUND(+C19*E$28,0)," ")</f>
        <v xml:space="preserve"> </v>
      </c>
      <c r="F19" s="210" t="str">
        <f>IF(inputPrYr!E30&gt;0,ROUND(+C19*F$29,0)," ")</f>
        <v xml:space="preserve"> </v>
      </c>
      <c r="G19" s="749"/>
    </row>
    <row r="20" spans="1:7" ht="16.5" thickBot="1">
      <c r="A20" s="85"/>
      <c r="B20" s="85" t="s">
        <v>100</v>
      </c>
      <c r="C20" s="434">
        <f>SUM(C7:C19)</f>
        <v>975171</v>
      </c>
      <c r="D20" s="434">
        <f>SUM(D7:D19)</f>
        <v>124158</v>
      </c>
      <c r="E20" s="434">
        <f>SUM(E7:E19)</f>
        <v>1706</v>
      </c>
      <c r="F20" s="434">
        <f>SUM(F7:F19)</f>
        <v>2023</v>
      </c>
      <c r="G20" s="85"/>
    </row>
    <row r="21" spans="1:7" ht="16.5" thickTop="1">
      <c r="A21" s="85"/>
      <c r="B21" s="85"/>
      <c r="C21" s="145"/>
      <c r="D21" s="145"/>
      <c r="E21" s="145"/>
      <c r="F21" s="145"/>
      <c r="G21" s="85"/>
    </row>
    <row r="22" spans="1:7">
      <c r="A22" s="85"/>
      <c r="B22" s="103" t="s">
        <v>101</v>
      </c>
      <c r="C22" s="107"/>
      <c r="D22" s="435">
        <f>(inputOth!E40)</f>
        <v>124158</v>
      </c>
      <c r="E22" s="107"/>
      <c r="F22" s="85"/>
      <c r="G22" s="85"/>
    </row>
    <row r="23" spans="1:7">
      <c r="A23" s="85"/>
      <c r="B23" s="103" t="s">
        <v>102</v>
      </c>
      <c r="C23" s="85"/>
      <c r="D23" s="85"/>
      <c r="E23" s="435">
        <f>(inputOth!E41)</f>
        <v>1706</v>
      </c>
      <c r="F23" s="85"/>
      <c r="G23" s="85"/>
    </row>
    <row r="24" spans="1:7">
      <c r="A24" s="85"/>
      <c r="B24" s="103" t="s">
        <v>179</v>
      </c>
      <c r="C24" s="85"/>
      <c r="D24" s="85"/>
      <c r="E24" s="85"/>
      <c r="F24" s="435">
        <f>inputOth!E42</f>
        <v>2023</v>
      </c>
      <c r="G24" s="85"/>
    </row>
    <row r="25" spans="1:7">
      <c r="A25" s="85"/>
      <c r="B25" s="103"/>
      <c r="C25" s="85"/>
      <c r="D25" s="85"/>
      <c r="E25" s="85"/>
      <c r="F25" s="145"/>
      <c r="G25" s="85"/>
    </row>
    <row r="26" spans="1:7">
      <c r="A26" s="85"/>
      <c r="B26" s="103"/>
      <c r="C26" s="85"/>
      <c r="D26" s="85"/>
      <c r="E26" s="85"/>
      <c r="F26" s="145"/>
      <c r="G26" s="85"/>
    </row>
    <row r="27" spans="1:7">
      <c r="A27" s="85"/>
      <c r="B27" s="103" t="s">
        <v>103</v>
      </c>
      <c r="C27" s="85"/>
      <c r="D27" s="436">
        <f>IF(C20=0,0,D22/C20)</f>
        <v>0.12731920863110163</v>
      </c>
      <c r="E27" s="85"/>
      <c r="F27" s="85"/>
      <c r="G27" s="85"/>
    </row>
    <row r="28" spans="1:7">
      <c r="A28" s="85"/>
      <c r="B28" s="85"/>
      <c r="C28" s="103" t="s">
        <v>104</v>
      </c>
      <c r="D28" s="85"/>
      <c r="E28" s="436">
        <f>IF(C20=0,0,E23/C20)</f>
        <v>1.7494367654493418E-3</v>
      </c>
      <c r="F28" s="85"/>
      <c r="G28" s="85"/>
    </row>
    <row r="29" spans="1:7">
      <c r="A29" s="85"/>
      <c r="B29" s="85"/>
      <c r="C29" s="85"/>
      <c r="D29" s="103" t="s">
        <v>180</v>
      </c>
      <c r="E29" s="85"/>
      <c r="F29" s="436">
        <f>IF(C20=0,0,F24/C20)</f>
        <v>2.0745079580914527E-3</v>
      </c>
      <c r="G29" s="85"/>
    </row>
    <row r="30" spans="1:7">
      <c r="A30" s="85"/>
      <c r="B30" s="138"/>
      <c r="C30" s="138"/>
      <c r="D30" s="138"/>
      <c r="E30" s="138"/>
      <c r="F30" s="138"/>
      <c r="G30" s="138"/>
    </row>
  </sheetData>
  <sheetProtection sheet="1"/>
  <mergeCells count="2">
    <mergeCell ref="B3:F3"/>
    <mergeCell ref="D5:F5"/>
  </mergeCells>
  <phoneticPr fontId="0" type="noConversion"/>
  <pageMargins left="0.5" right="0.5" top="1" bottom="0.5" header="0.5" footer="0.5"/>
  <pageSetup scale="87" orientation="portrait" blackAndWhite="1"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workbookViewId="0">
      <selection activeCell="E16" sqref="E16"/>
    </sheetView>
  </sheetViews>
  <sheetFormatPr defaultColWidth="8.88671875" defaultRowHeight="15.75"/>
  <cols>
    <col min="1" max="2" width="17.77734375" style="62" customWidth="1"/>
    <col min="3" max="6" width="12.77734375" style="62" customWidth="1"/>
    <col min="7" max="16384" width="8.88671875" style="62"/>
  </cols>
  <sheetData>
    <row r="1" spans="1:6">
      <c r="A1" s="225" t="str">
        <f>inputPrYr!D2</f>
        <v>City of Hiawatha</v>
      </c>
      <c r="B1" s="225"/>
      <c r="C1" s="224"/>
      <c r="D1" s="224"/>
      <c r="E1" s="224"/>
      <c r="F1" s="224">
        <f>inputPrYr!$C$5</f>
        <v>2014</v>
      </c>
    </row>
    <row r="2" spans="1:6">
      <c r="A2" s="224"/>
      <c r="B2" s="224"/>
      <c r="C2" s="224"/>
      <c r="D2" s="224"/>
      <c r="E2" s="224"/>
      <c r="F2" s="224"/>
    </row>
    <row r="3" spans="1:6">
      <c r="A3" s="871" t="s">
        <v>233</v>
      </c>
      <c r="B3" s="871"/>
      <c r="C3" s="871"/>
      <c r="D3" s="871"/>
      <c r="E3" s="871"/>
      <c r="F3" s="871"/>
    </row>
    <row r="4" spans="1:6">
      <c r="A4" s="421"/>
      <c r="B4" s="421"/>
      <c r="C4" s="421"/>
      <c r="D4" s="421"/>
      <c r="E4" s="421"/>
      <c r="F4" s="421"/>
    </row>
    <row r="5" spans="1:6">
      <c r="A5" s="422" t="s">
        <v>679</v>
      </c>
      <c r="B5" s="422" t="s">
        <v>680</v>
      </c>
      <c r="C5" s="422" t="s">
        <v>128</v>
      </c>
      <c r="D5" s="422" t="s">
        <v>247</v>
      </c>
      <c r="E5" s="422" t="s">
        <v>248</v>
      </c>
      <c r="F5" s="422" t="s">
        <v>284</v>
      </c>
    </row>
    <row r="6" spans="1:6">
      <c r="A6" s="423" t="s">
        <v>681</v>
      </c>
      <c r="B6" s="423" t="s">
        <v>682</v>
      </c>
      <c r="C6" s="423" t="s">
        <v>285</v>
      </c>
      <c r="D6" s="423" t="s">
        <v>285</v>
      </c>
      <c r="E6" s="423" t="s">
        <v>285</v>
      </c>
      <c r="F6" s="423" t="s">
        <v>286</v>
      </c>
    </row>
    <row r="7" spans="1:6" ht="15" customHeight="1">
      <c r="A7" s="424" t="s">
        <v>287</v>
      </c>
      <c r="B7" s="424" t="s">
        <v>288</v>
      </c>
      <c r="C7" s="324">
        <f>F1-2</f>
        <v>2012</v>
      </c>
      <c r="D7" s="324">
        <f>F1-1</f>
        <v>2013</v>
      </c>
      <c r="E7" s="324">
        <f>F1</f>
        <v>2014</v>
      </c>
      <c r="F7" s="424" t="s">
        <v>289</v>
      </c>
    </row>
    <row r="8" spans="1:6" ht="14.25" customHeight="1">
      <c r="A8" s="425" t="s">
        <v>1049</v>
      </c>
      <c r="B8" s="425" t="s">
        <v>1050</v>
      </c>
      <c r="C8" s="426">
        <v>37217</v>
      </c>
      <c r="D8" s="426">
        <v>60000</v>
      </c>
      <c r="E8" s="426">
        <v>70043</v>
      </c>
      <c r="F8" s="427" t="s">
        <v>1051</v>
      </c>
    </row>
    <row r="9" spans="1:6" ht="15" customHeight="1">
      <c r="A9" s="350" t="s">
        <v>1052</v>
      </c>
      <c r="B9" s="350" t="s">
        <v>1050</v>
      </c>
      <c r="C9" s="428">
        <v>0</v>
      </c>
      <c r="D9" s="428">
        <v>100000</v>
      </c>
      <c r="E9" s="428">
        <v>226909</v>
      </c>
      <c r="F9" s="427" t="s">
        <v>1051</v>
      </c>
    </row>
    <row r="10" spans="1:6" ht="15" customHeight="1">
      <c r="A10" s="350" t="s">
        <v>1053</v>
      </c>
      <c r="B10" s="350" t="s">
        <v>1050</v>
      </c>
      <c r="C10" s="428">
        <v>164610</v>
      </c>
      <c r="D10" s="428">
        <v>161185</v>
      </c>
      <c r="E10" s="428">
        <v>180000</v>
      </c>
      <c r="F10" s="427"/>
    </row>
    <row r="11" spans="1:6" ht="15" customHeight="1">
      <c r="A11" s="350" t="s">
        <v>1054</v>
      </c>
      <c r="B11" s="350" t="s">
        <v>1050</v>
      </c>
      <c r="C11" s="428">
        <v>127613</v>
      </c>
      <c r="D11" s="428">
        <v>128829</v>
      </c>
      <c r="E11" s="428">
        <v>139692</v>
      </c>
      <c r="F11" s="427"/>
    </row>
    <row r="12" spans="1:6" ht="15" customHeight="1">
      <c r="A12" s="350" t="s">
        <v>1049</v>
      </c>
      <c r="B12" s="350" t="s">
        <v>1055</v>
      </c>
      <c r="C12" s="428">
        <v>0</v>
      </c>
      <c r="D12" s="428">
        <v>60000</v>
      </c>
      <c r="E12" s="428">
        <v>60000</v>
      </c>
      <c r="F12" s="427" t="s">
        <v>1051</v>
      </c>
    </row>
    <row r="13" spans="1:6" ht="15" customHeight="1">
      <c r="A13" s="350" t="s">
        <v>1049</v>
      </c>
      <c r="B13" s="350" t="s">
        <v>1052</v>
      </c>
      <c r="C13" s="428">
        <v>0</v>
      </c>
      <c r="D13" s="428">
        <v>0</v>
      </c>
      <c r="E13" s="428">
        <v>0</v>
      </c>
      <c r="F13" s="427" t="s">
        <v>1051</v>
      </c>
    </row>
    <row r="14" spans="1:6" ht="15" customHeight="1">
      <c r="A14" s="350" t="s">
        <v>1056</v>
      </c>
      <c r="B14" s="350" t="s">
        <v>1050</v>
      </c>
      <c r="C14" s="428">
        <v>258983</v>
      </c>
      <c r="D14" s="428">
        <v>0</v>
      </c>
      <c r="E14" s="428"/>
      <c r="F14" s="427"/>
    </row>
    <row r="15" spans="1:6" ht="15" customHeight="1">
      <c r="A15" s="350" t="s">
        <v>1057</v>
      </c>
      <c r="B15" s="350" t="s">
        <v>1058</v>
      </c>
      <c r="C15" s="428">
        <v>127867</v>
      </c>
      <c r="D15" s="428">
        <v>16635</v>
      </c>
      <c r="E15" s="428">
        <v>150000</v>
      </c>
      <c r="F15" s="427"/>
    </row>
    <row r="16" spans="1:6" ht="15" customHeight="1">
      <c r="A16" s="350" t="s">
        <v>1056</v>
      </c>
      <c r="B16" s="350" t="s">
        <v>1139</v>
      </c>
      <c r="C16" s="428">
        <v>0</v>
      </c>
      <c r="D16" s="428">
        <v>10000</v>
      </c>
      <c r="E16" s="428">
        <v>25000</v>
      </c>
      <c r="F16" s="427"/>
    </row>
    <row r="17" spans="1:6" ht="15" customHeight="1">
      <c r="A17" s="350" t="s">
        <v>1054</v>
      </c>
      <c r="B17" s="350" t="s">
        <v>1109</v>
      </c>
      <c r="C17" s="428"/>
      <c r="D17" s="428"/>
      <c r="E17" s="428">
        <v>293000</v>
      </c>
      <c r="F17" s="427"/>
    </row>
    <row r="18" spans="1:6" ht="15" customHeight="1">
      <c r="A18" s="350"/>
      <c r="B18" s="350"/>
      <c r="C18" s="428"/>
      <c r="D18" s="428"/>
      <c r="E18" s="428"/>
      <c r="F18" s="427"/>
    </row>
    <row r="19" spans="1:6" ht="15" customHeight="1">
      <c r="A19" s="350"/>
      <c r="B19" s="350"/>
      <c r="C19" s="428"/>
      <c r="D19" s="428"/>
      <c r="E19" s="428"/>
      <c r="F19" s="427"/>
    </row>
    <row r="20" spans="1:6" ht="15" customHeight="1">
      <c r="A20" s="350"/>
      <c r="B20" s="350"/>
      <c r="C20" s="428"/>
      <c r="D20" s="428"/>
      <c r="E20" s="428"/>
      <c r="F20" s="427"/>
    </row>
    <row r="21" spans="1:6" ht="15" customHeight="1">
      <c r="A21" s="350"/>
      <c r="B21" s="350"/>
      <c r="C21" s="428"/>
      <c r="D21" s="428"/>
      <c r="E21" s="428"/>
      <c r="F21" s="427"/>
    </row>
    <row r="22" spans="1:6" ht="15" customHeight="1">
      <c r="A22" s="350"/>
      <c r="B22" s="350"/>
      <c r="C22" s="428"/>
      <c r="D22" s="428"/>
      <c r="E22" s="428"/>
      <c r="F22" s="427"/>
    </row>
    <row r="23" spans="1:6" ht="15" customHeight="1">
      <c r="A23" s="350"/>
      <c r="B23" s="350"/>
      <c r="C23" s="428"/>
      <c r="D23" s="428"/>
      <c r="E23" s="428"/>
      <c r="F23" s="427"/>
    </row>
    <row r="24" spans="1:6" ht="15" customHeight="1">
      <c r="A24" s="350"/>
      <c r="B24" s="350"/>
      <c r="C24" s="428"/>
      <c r="D24" s="428"/>
      <c r="E24" s="428"/>
      <c r="F24" s="427"/>
    </row>
    <row r="25" spans="1:6" ht="15" customHeight="1">
      <c r="A25" s="350"/>
      <c r="B25" s="350"/>
      <c r="C25" s="428"/>
      <c r="D25" s="428"/>
      <c r="E25" s="428"/>
      <c r="F25" s="427"/>
    </row>
    <row r="26" spans="1:6" ht="15" customHeight="1">
      <c r="A26" s="166"/>
      <c r="B26" s="409" t="s">
        <v>93</v>
      </c>
      <c r="C26" s="429">
        <f>SUM(C8:C25)</f>
        <v>716290</v>
      </c>
      <c r="D26" s="429">
        <f>SUM(D8:D25)</f>
        <v>536649</v>
      </c>
      <c r="E26" s="429">
        <f>SUM(E8:E25)</f>
        <v>1144644</v>
      </c>
      <c r="F26" s="430"/>
    </row>
    <row r="27" spans="1:6" ht="15" customHeight="1">
      <c r="A27" s="166"/>
      <c r="B27" s="431" t="s">
        <v>678</v>
      </c>
      <c r="C27" s="214"/>
      <c r="D27" s="432"/>
      <c r="E27" s="432"/>
      <c r="F27" s="430"/>
    </row>
    <row r="28" spans="1:6" ht="15" customHeight="1">
      <c r="A28" s="166"/>
      <c r="B28" s="409" t="s">
        <v>290</v>
      </c>
      <c r="C28" s="429">
        <f>C26</f>
        <v>716290</v>
      </c>
      <c r="D28" s="429">
        <f>SUM(D26-D27)</f>
        <v>536649</v>
      </c>
      <c r="E28" s="429">
        <f>SUM(E26-E27)</f>
        <v>1144644</v>
      </c>
      <c r="F28" s="430"/>
    </row>
    <row r="29" spans="1:6" ht="15" customHeight="1">
      <c r="A29" s="166"/>
      <c r="B29" s="166"/>
      <c r="C29" s="166"/>
      <c r="D29" s="166"/>
      <c r="E29" s="166"/>
      <c r="F29" s="166"/>
    </row>
    <row r="30" spans="1:6" ht="15" customHeight="1">
      <c r="A30" s="166"/>
      <c r="B30" s="166"/>
      <c r="C30" s="166"/>
      <c r="D30" s="166"/>
      <c r="E30" s="166"/>
      <c r="F30" s="166"/>
    </row>
    <row r="31" spans="1:6" ht="15" customHeight="1">
      <c r="A31" s="478" t="s">
        <v>683</v>
      </c>
      <c r="B31" s="479" t="str">
        <f>CONCATENATE("Adjustments are required only if the transfer is being made in ",D7," and/or ",E7," from a non-budgeted fund.")</f>
        <v>Adjustments are required only if the transfer is being made in 2013 and/or 2014 from a non-budgeted fund.</v>
      </c>
      <c r="C31" s="166"/>
      <c r="D31" s="166"/>
      <c r="E31" s="166"/>
      <c r="F31" s="166"/>
    </row>
    <row r="32" spans="1:6" ht="15" customHeight="1"/>
  </sheetData>
  <sheetProtection sheet="1"/>
  <mergeCells count="1">
    <mergeCell ref="A3:F3"/>
  </mergeCells>
  <phoneticPr fontId="9" type="noConversion"/>
  <pageMargins left="0.75" right="0.75" top="1" bottom="1" header="0.5" footer="0.5"/>
  <pageSetup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B6" sqref="B6"/>
    </sheetView>
  </sheetViews>
  <sheetFormatPr defaultColWidth="8.88671875" defaultRowHeight="15"/>
  <cols>
    <col min="1" max="1" width="70.5546875" style="412" customWidth="1"/>
    <col min="2" max="16384" width="8.88671875" style="412"/>
  </cols>
  <sheetData>
    <row r="1" spans="1:1" ht="18.75">
      <c r="A1" s="413" t="s">
        <v>399</v>
      </c>
    </row>
    <row r="2" spans="1:1" ht="18.75">
      <c r="A2" s="413"/>
    </row>
    <row r="3" spans="1:1" ht="18.75">
      <c r="A3" s="413"/>
    </row>
    <row r="4" spans="1:1" ht="51.75" customHeight="1">
      <c r="A4" s="544" t="s">
        <v>766</v>
      </c>
    </row>
    <row r="5" spans="1:1" ht="18.75">
      <c r="A5" s="413"/>
    </row>
    <row r="6" spans="1:1" ht="15.75">
      <c r="A6" s="414"/>
    </row>
    <row r="7" spans="1:1" ht="47.25">
      <c r="A7" s="415" t="s">
        <v>400</v>
      </c>
    </row>
    <row r="8" spans="1:1" ht="15.75">
      <c r="A8" s="414"/>
    </row>
    <row r="9" spans="1:1" ht="15.75">
      <c r="A9" s="414"/>
    </row>
    <row r="10" spans="1:1" ht="63">
      <c r="A10" s="415" t="s">
        <v>401</v>
      </c>
    </row>
    <row r="11" spans="1:1" ht="15.75">
      <c r="A11" s="416"/>
    </row>
    <row r="12" spans="1:1" ht="15.75">
      <c r="A12" s="414"/>
    </row>
    <row r="13" spans="1:1" ht="47.25">
      <c r="A13" s="415" t="s">
        <v>402</v>
      </c>
    </row>
    <row r="14" spans="1:1" ht="15.75">
      <c r="A14" s="416"/>
    </row>
    <row r="15" spans="1:1" ht="15.75">
      <c r="A15" s="414"/>
    </row>
    <row r="16" spans="1:1" ht="47.25">
      <c r="A16" s="415" t="s">
        <v>403</v>
      </c>
    </row>
    <row r="17" spans="1:1" ht="15.75">
      <c r="A17" s="416"/>
    </row>
    <row r="18" spans="1:1" ht="15.75">
      <c r="A18" s="416"/>
    </row>
    <row r="19" spans="1:1" ht="47.25">
      <c r="A19" s="415" t="s">
        <v>404</v>
      </c>
    </row>
    <row r="20" spans="1:1" ht="15.75">
      <c r="A20" s="416"/>
    </row>
    <row r="21" spans="1:1" ht="15.75">
      <c r="A21" s="416"/>
    </row>
    <row r="22" spans="1:1" ht="47.25">
      <c r="A22" s="415" t="s">
        <v>405</v>
      </c>
    </row>
    <row r="23" spans="1:1" ht="15.75">
      <c r="A23" s="416"/>
    </row>
    <row r="24" spans="1:1" ht="15.75">
      <c r="A24" s="416"/>
    </row>
    <row r="25" spans="1:1" ht="31.5">
      <c r="A25" s="415" t="s">
        <v>406</v>
      </c>
    </row>
    <row r="26" spans="1:1" ht="15.75">
      <c r="A26" s="414"/>
    </row>
    <row r="27" spans="1:1" ht="15.75">
      <c r="A27" s="414"/>
    </row>
    <row r="28" spans="1:1" ht="60">
      <c r="A28" s="417" t="s">
        <v>407</v>
      </c>
    </row>
    <row r="29" spans="1:1">
      <c r="A29" s="418"/>
    </row>
    <row r="30" spans="1:1">
      <c r="A30" s="418"/>
    </row>
    <row r="31" spans="1:1" ht="47.25">
      <c r="A31" s="415" t="s">
        <v>408</v>
      </c>
    </row>
    <row r="32" spans="1:1" ht="15.75">
      <c r="A32" s="414"/>
    </row>
    <row r="33" spans="1:1" ht="15.75">
      <c r="A33" s="414"/>
    </row>
    <row r="34" spans="1:1" ht="66.75" customHeight="1">
      <c r="A34" s="543" t="s">
        <v>767</v>
      </c>
    </row>
    <row r="35" spans="1:1" ht="15.75">
      <c r="A35" s="414"/>
    </row>
    <row r="36" spans="1:1" ht="15.75">
      <c r="A36" s="414"/>
    </row>
    <row r="37" spans="1:1" ht="63">
      <c r="A37" s="419" t="s">
        <v>409</v>
      </c>
    </row>
    <row r="38" spans="1:1" ht="15.75">
      <c r="A38" s="416"/>
    </row>
    <row r="39" spans="1:1" ht="15.75">
      <c r="A39" s="414"/>
    </row>
    <row r="40" spans="1:1" ht="63">
      <c r="A40" s="415" t="s">
        <v>410</v>
      </c>
    </row>
    <row r="41" spans="1:1" ht="15.75">
      <c r="A41" s="416"/>
    </row>
    <row r="42" spans="1:1" ht="15.75">
      <c r="A42" s="416"/>
    </row>
    <row r="43" spans="1:1" ht="82.5" customHeight="1">
      <c r="A43" s="541" t="s">
        <v>768</v>
      </c>
    </row>
    <row r="44" spans="1:1" ht="15.75">
      <c r="A44" s="416"/>
    </row>
    <row r="45" spans="1:1" ht="15.75">
      <c r="A45" s="416"/>
    </row>
    <row r="46" spans="1:1" ht="69" customHeight="1">
      <c r="A46" s="541" t="s">
        <v>769</v>
      </c>
    </row>
    <row r="47" spans="1:1" ht="15.75">
      <c r="A47" s="416"/>
    </row>
    <row r="48" spans="1:1" ht="15.75">
      <c r="A48" s="416"/>
    </row>
    <row r="49" spans="1:1" ht="69" customHeight="1">
      <c r="A49" s="541" t="s">
        <v>770</v>
      </c>
    </row>
    <row r="50" spans="1:1" ht="15.75">
      <c r="A50" s="416"/>
    </row>
    <row r="51" spans="1:1" ht="15.75">
      <c r="A51" s="416"/>
    </row>
    <row r="52" spans="1:1" ht="54.75" customHeight="1">
      <c r="A52" s="541" t="s">
        <v>847</v>
      </c>
    </row>
    <row r="53" spans="1:1" ht="15.75">
      <c r="A53" s="416"/>
    </row>
    <row r="54" spans="1:1" ht="15.75">
      <c r="A54" s="416"/>
    </row>
    <row r="55" spans="1:1" ht="63">
      <c r="A55" s="415" t="s">
        <v>411</v>
      </c>
    </row>
    <row r="56" spans="1:1" ht="15.75">
      <c r="A56" s="416"/>
    </row>
    <row r="57" spans="1:1" ht="15.75">
      <c r="A57" s="416"/>
    </row>
    <row r="58" spans="1:1" ht="63">
      <c r="A58" s="415" t="s">
        <v>412</v>
      </c>
    </row>
    <row r="59" spans="1:1" ht="15.75">
      <c r="A59" s="416"/>
    </row>
    <row r="60" spans="1:1" ht="15.75">
      <c r="A60" s="416"/>
    </row>
    <row r="61" spans="1:1" ht="47.25">
      <c r="A61" s="415" t="s">
        <v>413</v>
      </c>
    </row>
    <row r="62" spans="1:1" ht="15.75">
      <c r="A62" s="416"/>
    </row>
    <row r="63" spans="1:1" ht="15.75">
      <c r="A63" s="416"/>
    </row>
    <row r="64" spans="1:1" ht="47.25">
      <c r="A64" s="415" t="s">
        <v>414</v>
      </c>
    </row>
    <row r="65" spans="1:1" ht="15.75">
      <c r="A65" s="416"/>
    </row>
    <row r="66" spans="1:1" ht="15.75">
      <c r="A66" s="416"/>
    </row>
    <row r="67" spans="1:1" ht="78.75">
      <c r="A67" s="415" t="s">
        <v>415</v>
      </c>
    </row>
    <row r="68" spans="1:1">
      <c r="A68" s="420"/>
    </row>
  </sheetData>
  <sheetProtection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12</vt:i4>
      </vt:variant>
    </vt:vector>
  </HeadingPairs>
  <TitlesOfParts>
    <vt:vector size="60"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DebtSvs-Library</vt:lpstr>
      <vt:lpstr>Industrial-Rec</vt:lpstr>
      <vt:lpstr>Employee Benefits</vt:lpstr>
      <vt:lpstr>levy page11</vt:lpstr>
      <vt:lpstr>levy page12</vt:lpstr>
      <vt:lpstr>levy page13</vt:lpstr>
      <vt:lpstr>Sp Hiway-TIF</vt:lpstr>
      <vt:lpstr>Park -Rec Pool</vt:lpstr>
      <vt:lpstr>Water - Sewer</vt:lpstr>
      <vt:lpstr>Airport - Post Lantern</vt:lpstr>
      <vt:lpstr>storm water</vt:lpstr>
      <vt:lpstr>no levy page19</vt:lpstr>
      <vt:lpstr>SinNoLevy20</vt:lpstr>
      <vt:lpstr>SinNoLevy21</vt:lpstr>
      <vt:lpstr>SinNoLevy22</vt:lpstr>
      <vt:lpstr>SinNoLevy23</vt:lpstr>
      <vt:lpstr>NonBudA</vt:lpstr>
      <vt:lpstr>NonBudB</vt:lpstr>
      <vt:lpstr>NonBudC</vt:lpstr>
      <vt:lpstr>NonBudD</vt:lpstr>
      <vt:lpstr>NonBudFunds</vt:lpstr>
      <vt:lpstr>summ</vt:lpstr>
      <vt:lpstr>nhood</vt:lpstr>
      <vt:lpstr>TIF Comp</vt:lpstr>
      <vt:lpstr>TIF CountyClerk</vt:lpstr>
      <vt:lpstr>ordinance</vt:lpstr>
      <vt:lpstr>Tab A</vt:lpstr>
      <vt:lpstr>Tab B</vt:lpstr>
      <vt:lpstr>Tab C</vt:lpstr>
      <vt:lpstr>Tab D</vt:lpstr>
      <vt:lpstr>Tab E</vt:lpstr>
      <vt:lpstr>Mill Rate Computation</vt:lpstr>
      <vt:lpstr>Helpful Links</vt:lpstr>
      <vt:lpstr>legend</vt:lpstr>
      <vt:lpstr>'DebtSvs-Library'!Print_Area</vt:lpstr>
      <vt:lpstr>'Employee Benefits'!Print_Area</vt:lpstr>
      <vt:lpstr>GenDetail!Print_Area</vt:lpstr>
      <vt:lpstr>general!Print_Area</vt:lpstr>
      <vt:lpstr>'Industrial-Rec'!Print_Area</vt:lpstr>
      <vt:lpstr>inputPrYr!Print_Area</vt:lpstr>
      <vt:lpstr>'levy page11'!Print_Area</vt:lpstr>
      <vt:lpstr>'levy page12'!Print_Area</vt:lpstr>
      <vt:lpstr>'levy page13'!Print_Area</vt:lpstr>
      <vt:lpstr>'Library Grant'!Print_Area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2013-07-30T21:43:05Z</cp:lastPrinted>
  <dcterms:created xsi:type="dcterms:W3CDTF">1999-08-03T13:11:47Z</dcterms:created>
  <dcterms:modified xsi:type="dcterms:W3CDTF">2014-01-22T15:04:43Z</dcterms:modified>
</cp:coreProperties>
</file>