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1170" tabRatio="909" firstSheet="41" activeTab="49"/>
  </bookViews>
  <sheets>
    <sheet name="Instructions" sheetId="1" r:id="rId1"/>
    <sheet name="inputPrYr" sheetId="2" r:id="rId2"/>
    <sheet name="inputOth" sheetId="43" r:id="rId3"/>
    <sheet name="inputBudSum" sheetId="52" r:id="rId4"/>
    <sheet name="cert pg 2" sheetId="3" r:id="rId5"/>
    <sheet name="computation" sheetId="24" r:id="rId6"/>
    <sheet name="mvalloc" sheetId="5" r:id="rId7"/>
    <sheet name="transfers" sheetId="32" r:id="rId8"/>
    <sheet name="TransferStatutes" sheetId="45" r:id="rId9"/>
    <sheet name="debt" sheetId="22" r:id="rId10"/>
    <sheet name="lpform" sheetId="23" r:id="rId11"/>
    <sheet name="Library Grant" sheetId="57" r:id="rId12"/>
    <sheet name="general page 7" sheetId="7" r:id="rId13"/>
    <sheet name="GenDetail" sheetId="9" r:id="rId14"/>
    <sheet name="DebtSvs-library page 9" sheetId="34" r:id="rId15"/>
    <sheet name="Airport_Park page 10" sheetId="8" r:id="rId16"/>
    <sheet name="Rec_Law Enf page11" sheetId="10" r:id="rId17"/>
    <sheet name="Emp Ben page12" sheetId="11" r:id="rId18"/>
    <sheet name="Sp Hiway_State Aid page 13" sheetId="14" r:id="rId19"/>
    <sheet name="SEK_Special Park_Rec page14" sheetId="15" r:id="rId20"/>
    <sheet name="Elec_Water page15" sheetId="16" r:id="rId21"/>
    <sheet name="Gas_Refuse page16" sheetId="17" r:id="rId22"/>
    <sheet name="Capital Out_Comb Util page17" sheetId="18" r:id="rId23"/>
    <sheet name="Econ Dev_PS #1 page18" sheetId="19" r:id="rId24"/>
    <sheet name="PS # 2_Park Plaza N page 19" sheetId="53" r:id="rId25"/>
    <sheet name="Rec Ctr_Comm Dev page 20" sheetId="54" r:id="rId26"/>
    <sheet name="summ" sheetId="21" r:id="rId27"/>
    <sheet name="nhood" sheetId="44" r:id="rId28"/>
    <sheet name="SinNoLevy22" sheetId="35" r:id="rId29"/>
    <sheet name="SinNoLevy23" sheetId="36" r:id="rId30"/>
    <sheet name="SinNoLevy24" sheetId="37" r:id="rId31"/>
    <sheet name="SinNoLevy25" sheetId="38" r:id="rId32"/>
    <sheet name="NonBudA" sheetId="39" r:id="rId33"/>
    <sheet name="NonBudB" sheetId="40" r:id="rId34"/>
    <sheet name="NonBudC" sheetId="41" r:id="rId35"/>
    <sheet name="NonBudD" sheetId="42" r:id="rId36"/>
    <sheet name="NonBudFunds" sheetId="46" r:id="rId37"/>
    <sheet name="ordinance" sheetId="33" r:id="rId38"/>
    <sheet name="Tab A" sheetId="47" r:id="rId39"/>
    <sheet name="Tab B" sheetId="48" r:id="rId40"/>
    <sheet name="Tab C" sheetId="49" r:id="rId41"/>
    <sheet name="Tab D" sheetId="50" r:id="rId42"/>
    <sheet name="Tab E" sheetId="51" r:id="rId43"/>
    <sheet name="Mill Rate Computation" sheetId="55" r:id="rId44"/>
    <sheet name="Helpful Links" sheetId="56" r:id="rId45"/>
    <sheet name="legend" sheetId="25" r:id="rId46"/>
    <sheet name="levy page12" sheetId="12" r:id="rId47"/>
    <sheet name="levy page13" sheetId="13" r:id="rId48"/>
    <sheet name="Signed cert" sheetId="58" r:id="rId49"/>
    <sheet name="Pub" sheetId="59" r:id="rId50"/>
  </sheets>
  <definedNames>
    <definedName name="_xlnm.Print_Area" localSheetId="15">'Airport_Park page 10'!$A$1:$E$81</definedName>
    <definedName name="_xlnm.Print_Area" localSheetId="14">'DebtSvs-library page 9'!$B$1:$E$82</definedName>
    <definedName name="_xlnm.Print_Area" localSheetId="17">'Emp Ben page12'!$A$1:$E$85</definedName>
    <definedName name="_xlnm.Print_Area" localSheetId="12">'general page 7'!$B$1:$E$120</definedName>
    <definedName name="_xlnm.Print_Area" localSheetId="1">inputPrYr!$A$1:$E$125</definedName>
    <definedName name="_xlnm.Print_Area" localSheetId="46">'levy page12'!$A$1:$E$82</definedName>
    <definedName name="_xlnm.Print_Area" localSheetId="47">'levy page13'!$A$1:$E$82</definedName>
    <definedName name="_xlnm.Print_Area" localSheetId="11">'Library Grant'!$A$1:$J$40</definedName>
    <definedName name="_xlnm.Print_Area" localSheetId="10">lpform!$B$1:$I$38</definedName>
    <definedName name="_xlnm.Print_Area" localSheetId="43">'Mill Rate Computation'!#REF!</definedName>
    <definedName name="_xlnm.Print_Area" localSheetId="16">'Rec_Law Enf page11'!$B$1:$E$84</definedName>
    <definedName name="_xlnm.Print_Area" localSheetId="26">summ!$A$1:$H$70</definedName>
  </definedNames>
  <calcPr calcId="125725"/>
</workbook>
</file>

<file path=xl/calcChain.xml><?xml version="1.0" encoding="utf-8"?>
<calcChain xmlns="http://schemas.openxmlformats.org/spreadsheetml/2006/main">
  <c r="C61" i="34"/>
  <c r="C60" s="1"/>
  <c r="E19" i="57" l="1"/>
  <c r="E18"/>
  <c r="E17"/>
  <c r="G16"/>
  <c r="E16"/>
  <c r="D55" i="2"/>
  <c r="J29" i="13"/>
  <c r="J28"/>
  <c r="J29" i="12"/>
  <c r="J28"/>
  <c r="J31" i="11"/>
  <c r="J31" i="10"/>
  <c r="J30"/>
  <c r="J29" i="8"/>
  <c r="J28"/>
  <c r="J30" i="34"/>
  <c r="J29"/>
  <c r="J27" i="13"/>
  <c r="J67"/>
  <c r="J27" i="12"/>
  <c r="J67"/>
  <c r="J30" i="11"/>
  <c r="J70"/>
  <c r="J29" i="10"/>
  <c r="J69"/>
  <c r="J27" i="8"/>
  <c r="J67"/>
  <c r="J28" i="34"/>
  <c r="J68"/>
  <c r="J105" i="7"/>
  <c r="D18" i="3"/>
  <c r="B18"/>
  <c r="C59" i="7"/>
  <c r="B67" i="9" s="1"/>
  <c r="J107" i="7"/>
  <c r="B8" i="57"/>
  <c r="B7"/>
  <c r="B5"/>
  <c r="B18" i="44"/>
  <c r="B17"/>
  <c r="B16"/>
  <c r="B15"/>
  <c r="B14"/>
  <c r="B13"/>
  <c r="B12"/>
  <c r="B11"/>
  <c r="B10"/>
  <c r="B9"/>
  <c r="B8"/>
  <c r="D72" i="9"/>
  <c r="C72"/>
  <c r="B72"/>
  <c r="D35" i="13"/>
  <c r="D75" i="12"/>
  <c r="D35"/>
  <c r="D78" i="11"/>
  <c r="D38"/>
  <c r="D97" s="1"/>
  <c r="D77" i="10"/>
  <c r="D37"/>
  <c r="D75" i="8"/>
  <c r="D35"/>
  <c r="D48" i="3"/>
  <c r="D47"/>
  <c r="D46"/>
  <c r="D45"/>
  <c r="D44"/>
  <c r="B47"/>
  <c r="B46"/>
  <c r="B45"/>
  <c r="B44"/>
  <c r="D76" i="34"/>
  <c r="B44" i="13"/>
  <c r="B5"/>
  <c r="B44" i="12"/>
  <c r="B5"/>
  <c r="B47" i="11"/>
  <c r="B5"/>
  <c r="B46" i="10"/>
  <c r="B5"/>
  <c r="B44" i="8"/>
  <c r="B5"/>
  <c r="B45" i="34"/>
  <c r="D75" i="13"/>
  <c r="G14" i="57"/>
  <c r="B78" s="1"/>
  <c r="E14"/>
  <c r="B89" s="1"/>
  <c r="C32" i="3"/>
  <c r="C31"/>
  <c r="C30"/>
  <c r="C29"/>
  <c r="C28"/>
  <c r="C27"/>
  <c r="C26"/>
  <c r="C25"/>
  <c r="C24"/>
  <c r="C23"/>
  <c r="C22"/>
  <c r="B32"/>
  <c r="B31"/>
  <c r="B30"/>
  <c r="B29"/>
  <c r="B28"/>
  <c r="B27"/>
  <c r="B26"/>
  <c r="B25"/>
  <c r="B24"/>
  <c r="B23"/>
  <c r="B22"/>
  <c r="C19" i="5"/>
  <c r="C18"/>
  <c r="C17"/>
  <c r="C16"/>
  <c r="C15"/>
  <c r="C14"/>
  <c r="C13"/>
  <c r="C12"/>
  <c r="C11"/>
  <c r="C10"/>
  <c r="C9"/>
  <c r="B19"/>
  <c r="B18"/>
  <c r="B17"/>
  <c r="B16"/>
  <c r="B15"/>
  <c r="B14"/>
  <c r="B13"/>
  <c r="B12"/>
  <c r="B11"/>
  <c r="B10"/>
  <c r="B9"/>
  <c r="A27" i="21"/>
  <c r="A26"/>
  <c r="A25"/>
  <c r="A24"/>
  <c r="A23"/>
  <c r="A22"/>
  <c r="A21"/>
  <c r="A20"/>
  <c r="A19"/>
  <c r="A18"/>
  <c r="A17"/>
  <c r="A67"/>
  <c r="B68"/>
  <c r="A7"/>
  <c r="A5"/>
  <c r="G20" i="52"/>
  <c r="G22" s="1"/>
  <c r="A72" i="43"/>
  <c r="A71"/>
  <c r="A70"/>
  <c r="A69"/>
  <c r="A68"/>
  <c r="A67"/>
  <c r="A66"/>
  <c r="A65"/>
  <c r="A64"/>
  <c r="A63"/>
  <c r="A62"/>
  <c r="A33"/>
  <c r="A32"/>
  <c r="A31"/>
  <c r="A30"/>
  <c r="A29"/>
  <c r="A28"/>
  <c r="A27"/>
  <c r="A26"/>
  <c r="A25"/>
  <c r="A24"/>
  <c r="A23"/>
  <c r="B96" i="2"/>
  <c r="B95"/>
  <c r="B94"/>
  <c r="B93"/>
  <c r="B92"/>
  <c r="B91"/>
  <c r="B90"/>
  <c r="B89"/>
  <c r="B88"/>
  <c r="B87"/>
  <c r="B86"/>
  <c r="G30"/>
  <c r="D47" i="13"/>
  <c r="D60" s="1"/>
  <c r="D59" s="1"/>
  <c r="G29" i="2"/>
  <c r="D8" i="13"/>
  <c r="D20" s="1"/>
  <c r="G28" i="2"/>
  <c r="D47" i="12"/>
  <c r="D60" s="1"/>
  <c r="G27" i="2"/>
  <c r="D8" i="12"/>
  <c r="D20" s="1"/>
  <c r="G26" i="2"/>
  <c r="D50" i="11"/>
  <c r="D63" s="1"/>
  <c r="G25" i="2"/>
  <c r="D8" i="11"/>
  <c r="D23" s="1"/>
  <c r="G24" i="2"/>
  <c r="D49" i="10"/>
  <c r="D62" s="1"/>
  <c r="G23" i="2"/>
  <c r="D8" i="10"/>
  <c r="D22" s="1"/>
  <c r="G22" i="2"/>
  <c r="D47" i="8"/>
  <c r="D60" s="1"/>
  <c r="D59" s="1"/>
  <c r="G21" i="2"/>
  <c r="D8" i="8"/>
  <c r="D20" s="1"/>
  <c r="G19" i="2"/>
  <c r="D48" i="34"/>
  <c r="G18" i="2"/>
  <c r="D8" i="34"/>
  <c r="D21" s="1"/>
  <c r="G17" i="2"/>
  <c r="D9" i="7"/>
  <c r="D56" s="1"/>
  <c r="D55" s="1"/>
  <c r="J148" i="55"/>
  <c r="C137"/>
  <c r="J137"/>
  <c r="H134"/>
  <c r="H120"/>
  <c r="C123" s="1"/>
  <c r="H114"/>
  <c r="F117" s="1"/>
  <c r="H117" s="1"/>
  <c r="F123" s="1"/>
  <c r="H100"/>
  <c r="C103" s="1"/>
  <c r="H94"/>
  <c r="F97" s="1"/>
  <c r="H97" s="1"/>
  <c r="F103" s="1"/>
  <c r="H80"/>
  <c r="C83" s="1"/>
  <c r="H74"/>
  <c r="F77" s="1"/>
  <c r="H77" s="1"/>
  <c r="F83" s="1"/>
  <c r="F50"/>
  <c r="J50" s="1"/>
  <c r="H48"/>
  <c r="H41"/>
  <c r="B28"/>
  <c r="H28" s="1"/>
  <c r="H25"/>
  <c r="C25"/>
  <c r="D31" i="54"/>
  <c r="D61" i="53"/>
  <c r="D30"/>
  <c r="D61" i="19"/>
  <c r="C62" i="54"/>
  <c r="C31"/>
  <c r="C61" i="53"/>
  <c r="C30"/>
  <c r="C61" i="19"/>
  <c r="B5" i="54"/>
  <c r="B36" i="53"/>
  <c r="B5"/>
  <c r="B36" i="19"/>
  <c r="C19" i="44"/>
  <c r="E27" i="21"/>
  <c r="G84" i="13" s="1"/>
  <c r="C27" i="21"/>
  <c r="D63"/>
  <c r="B63"/>
  <c r="D62"/>
  <c r="B62"/>
  <c r="D61"/>
  <c r="B61"/>
  <c r="D60"/>
  <c r="B60"/>
  <c r="B64" s="1"/>
  <c r="F57"/>
  <c r="G27" i="57" s="1"/>
  <c r="D57" i="21"/>
  <c r="E27" i="57" s="1"/>
  <c r="B57" i="21"/>
  <c r="B55"/>
  <c r="D96" i="13"/>
  <c r="D94" i="12"/>
  <c r="C75" i="8"/>
  <c r="C37" i="10"/>
  <c r="C77"/>
  <c r="C38" i="11"/>
  <c r="C78"/>
  <c r="C99" s="1"/>
  <c r="C35" i="12"/>
  <c r="C75"/>
  <c r="C35" i="13"/>
  <c r="C75"/>
  <c r="C35" i="8"/>
  <c r="C76" i="34"/>
  <c r="G32" i="3"/>
  <c r="D32"/>
  <c r="D31"/>
  <c r="D30"/>
  <c r="D29"/>
  <c r="D28"/>
  <c r="D27"/>
  <c r="D26"/>
  <c r="D22"/>
  <c r="D24"/>
  <c r="D23"/>
  <c r="D25"/>
  <c r="E31" i="2"/>
  <c r="D55" i="21" s="1"/>
  <c r="D74" i="34"/>
  <c r="D96" s="1"/>
  <c r="C74"/>
  <c r="G79" s="1"/>
  <c r="D34"/>
  <c r="D33" s="1"/>
  <c r="C34"/>
  <c r="C33" s="1"/>
  <c r="C21"/>
  <c r="C36"/>
  <c r="D36"/>
  <c r="D94" s="1"/>
  <c r="G31" i="3"/>
  <c r="G30"/>
  <c r="G29"/>
  <c r="G28"/>
  <c r="G27"/>
  <c r="G26"/>
  <c r="G25"/>
  <c r="G24"/>
  <c r="G23"/>
  <c r="G22"/>
  <c r="G21"/>
  <c r="G20"/>
  <c r="D21"/>
  <c r="D18" i="44"/>
  <c r="E18"/>
  <c r="B1" i="34"/>
  <c r="E1"/>
  <c r="D45" s="1"/>
  <c r="D34" i="43"/>
  <c r="D97" i="2"/>
  <c r="D94" i="13"/>
  <c r="D96" i="12"/>
  <c r="D98" i="10"/>
  <c r="D96"/>
  <c r="D94" i="8"/>
  <c r="D96"/>
  <c r="C113" i="7"/>
  <c r="D113"/>
  <c r="D79" i="12"/>
  <c r="D39"/>
  <c r="D42" i="11"/>
  <c r="D82"/>
  <c r="D81" i="10"/>
  <c r="D41"/>
  <c r="D79" i="8"/>
  <c r="D39"/>
  <c r="D40" i="34"/>
  <c r="D80"/>
  <c r="D117" i="7"/>
  <c r="D39" i="13"/>
  <c r="D99" i="11"/>
  <c r="D79" i="13"/>
  <c r="A42" i="21"/>
  <c r="A41"/>
  <c r="A40"/>
  <c r="A39"/>
  <c r="D62" i="54"/>
  <c r="E60"/>
  <c r="E48" i="3" s="1"/>
  <c r="D60" i="54"/>
  <c r="D43" i="21" s="1"/>
  <c r="C60" i="54"/>
  <c r="B43" i="21" s="1"/>
  <c r="E47" i="54"/>
  <c r="E46" s="1"/>
  <c r="D47"/>
  <c r="D46" s="1"/>
  <c r="C47"/>
  <c r="C48" s="1"/>
  <c r="B37"/>
  <c r="E29"/>
  <c r="F42" i="21" s="1"/>
  <c r="D29" i="54"/>
  <c r="D42" i="21" s="1"/>
  <c r="C29" i="54"/>
  <c r="B42" i="21" s="1"/>
  <c r="E16" i="54"/>
  <c r="E15" s="1"/>
  <c r="D16"/>
  <c r="C16"/>
  <c r="C17" s="1"/>
  <c r="D15"/>
  <c r="E1"/>
  <c r="E37" s="1"/>
  <c r="B1"/>
  <c r="E59" i="53"/>
  <c r="F41" i="21" s="1"/>
  <c r="D59" i="53"/>
  <c r="D41" i="21" s="1"/>
  <c r="C59" i="53"/>
  <c r="B41" i="21" s="1"/>
  <c r="E46" i="53"/>
  <c r="E45" s="1"/>
  <c r="D46"/>
  <c r="D45" s="1"/>
  <c r="C46"/>
  <c r="C47" s="1"/>
  <c r="C60" s="1"/>
  <c r="E28"/>
  <c r="F40" i="21" s="1"/>
  <c r="D28" i="53"/>
  <c r="D40" i="21" s="1"/>
  <c r="C28" i="53"/>
  <c r="B40" i="21" s="1"/>
  <c r="E15" i="53"/>
  <c r="E14" s="1"/>
  <c r="D15"/>
  <c r="D14" s="1"/>
  <c r="C15"/>
  <c r="C16" s="1"/>
  <c r="E1"/>
  <c r="D36" s="1"/>
  <c r="B1"/>
  <c r="A88" i="43"/>
  <c r="A87"/>
  <c r="A86"/>
  <c r="A85"/>
  <c r="A84"/>
  <c r="A34" i="48"/>
  <c r="A77" i="47"/>
  <c r="A74"/>
  <c r="A33"/>
  <c r="A28"/>
  <c r="A25"/>
  <c r="A16"/>
  <c r="A6"/>
  <c r="A33" i="48"/>
  <c r="A6"/>
  <c r="A38" i="49"/>
  <c r="A33"/>
  <c r="A19"/>
  <c r="A6"/>
  <c r="A46" i="50"/>
  <c r="A41"/>
  <c r="A6"/>
  <c r="A8" i="51"/>
  <c r="B81" i="7"/>
  <c r="B82"/>
  <c r="B83"/>
  <c r="B80"/>
  <c r="B79"/>
  <c r="B78"/>
  <c r="B77"/>
  <c r="B76"/>
  <c r="D129" i="9"/>
  <c r="E83" i="7" s="1"/>
  <c r="C129" i="9"/>
  <c r="D83" i="7"/>
  <c r="B129" i="9"/>
  <c r="C83" i="7" s="1"/>
  <c r="D122" i="9"/>
  <c r="E82" i="7"/>
  <c r="C122" i="9"/>
  <c r="D82" i="7" s="1"/>
  <c r="B122" i="9"/>
  <c r="C82" i="7"/>
  <c r="D115" i="9"/>
  <c r="E81" i="7" s="1"/>
  <c r="C115" i="9"/>
  <c r="D81" i="7"/>
  <c r="B115" i="9"/>
  <c r="C81" i="7" s="1"/>
  <c r="D108" i="9"/>
  <c r="E80" i="7"/>
  <c r="C108" i="9"/>
  <c r="D80" i="7" s="1"/>
  <c r="B108" i="9"/>
  <c r="C80" i="7"/>
  <c r="D101" i="9"/>
  <c r="E79" i="7" s="1"/>
  <c r="C101" i="9"/>
  <c r="D79" i="7"/>
  <c r="B101" i="9"/>
  <c r="C79" i="7" s="1"/>
  <c r="D95" i="9"/>
  <c r="E78" i="7" s="1"/>
  <c r="C95" i="9"/>
  <c r="D78" i="7" s="1"/>
  <c r="B95" i="9"/>
  <c r="C78" i="7" s="1"/>
  <c r="D88" i="9"/>
  <c r="E77" i="7" s="1"/>
  <c r="C88" i="9"/>
  <c r="D77" i="7" s="1"/>
  <c r="B88" i="9"/>
  <c r="C77" i="7" s="1"/>
  <c r="D81" i="9"/>
  <c r="E76" i="7" s="1"/>
  <c r="C81" i="9"/>
  <c r="D76" i="7" s="1"/>
  <c r="B81" i="9"/>
  <c r="C76" i="7" s="1"/>
  <c r="D22" i="44"/>
  <c r="A100" i="2"/>
  <c r="A99"/>
  <c r="D82"/>
  <c r="C30" i="14"/>
  <c r="C17"/>
  <c r="C18" s="1"/>
  <c r="D30"/>
  <c r="E30"/>
  <c r="C32"/>
  <c r="D32"/>
  <c r="C61"/>
  <c r="D61"/>
  <c r="E61"/>
  <c r="C63"/>
  <c r="D63"/>
  <c r="C28" i="15"/>
  <c r="D28"/>
  <c r="E28"/>
  <c r="C30"/>
  <c r="D30"/>
  <c r="C59"/>
  <c r="D59"/>
  <c r="E59"/>
  <c r="C61"/>
  <c r="D61"/>
  <c r="C29" i="16"/>
  <c r="B32" i="21" s="1"/>
  <c r="D29" i="16"/>
  <c r="E29"/>
  <c r="E37" i="3" s="1"/>
  <c r="C31" i="16"/>
  <c r="D31"/>
  <c r="C61"/>
  <c r="D61"/>
  <c r="E61"/>
  <c r="C63"/>
  <c r="D63"/>
  <c r="C28" i="17"/>
  <c r="D28"/>
  <c r="E28"/>
  <c r="C30"/>
  <c r="D30"/>
  <c r="C59"/>
  <c r="D59"/>
  <c r="E59"/>
  <c r="C61"/>
  <c r="D61"/>
  <c r="C32" i="18"/>
  <c r="D32"/>
  <c r="E32"/>
  <c r="D34"/>
  <c r="D35" s="1"/>
  <c r="C34"/>
  <c r="C35" s="1"/>
  <c r="C63"/>
  <c r="D63"/>
  <c r="E63"/>
  <c r="C65"/>
  <c r="D65"/>
  <c r="C28" i="19"/>
  <c r="D28"/>
  <c r="E28"/>
  <c r="D30"/>
  <c r="C30"/>
  <c r="C31" s="1"/>
  <c r="C59"/>
  <c r="B39" i="21" s="1"/>
  <c r="D59" i="19"/>
  <c r="D39" i="21" s="1"/>
  <c r="E59" i="19"/>
  <c r="F39" i="21" s="1"/>
  <c r="C47" i="35"/>
  <c r="D47"/>
  <c r="E47"/>
  <c r="D49"/>
  <c r="C49"/>
  <c r="C50" s="1"/>
  <c r="C47" i="36"/>
  <c r="D47"/>
  <c r="D46" s="1"/>
  <c r="E47"/>
  <c r="C49"/>
  <c r="D49"/>
  <c r="C47" i="37"/>
  <c r="D47"/>
  <c r="E47"/>
  <c r="D49"/>
  <c r="C49"/>
  <c r="C47" i="38"/>
  <c r="D47"/>
  <c r="E47"/>
  <c r="D49"/>
  <c r="C49"/>
  <c r="C50" s="1"/>
  <c r="D63" i="9"/>
  <c r="E75" i="7" s="1"/>
  <c r="D56" i="9"/>
  <c r="E74" i="7" s="1"/>
  <c r="D49" i="9"/>
  <c r="E73" i="7" s="1"/>
  <c r="D42" i="9"/>
  <c r="E72" i="7" s="1"/>
  <c r="D35" i="9"/>
  <c r="E71" i="7" s="1"/>
  <c r="D29" i="9"/>
  <c r="E70" i="7"/>
  <c r="C63" i="9"/>
  <c r="D75" i="7" s="1"/>
  <c r="C56" i="9"/>
  <c r="D74" i="7" s="1"/>
  <c r="C49" i="9"/>
  <c r="D73" i="7" s="1"/>
  <c r="C42" i="9"/>
  <c r="D72" i="7" s="1"/>
  <c r="C35" i="9"/>
  <c r="D71" i="7" s="1"/>
  <c r="C29" i="9"/>
  <c r="D70" i="7"/>
  <c r="D22" i="9"/>
  <c r="E69" i="7" s="1"/>
  <c r="C15" i="9"/>
  <c r="D68" i="7" s="1"/>
  <c r="C22" i="9"/>
  <c r="D69" i="7"/>
  <c r="B63" i="9"/>
  <c r="C75" i="7" s="1"/>
  <c r="B56" i="9"/>
  <c r="C74" i="7" s="1"/>
  <c r="B49" i="9"/>
  <c r="C73" i="7" s="1"/>
  <c r="B42" i="9"/>
  <c r="C72" i="7" s="1"/>
  <c r="B35" i="9"/>
  <c r="C71" i="7" s="1"/>
  <c r="B29" i="9"/>
  <c r="C70" i="7"/>
  <c r="B22" i="9"/>
  <c r="C69" i="7" s="1"/>
  <c r="D15" i="9"/>
  <c r="E68" i="7" s="1"/>
  <c r="B15" i="9"/>
  <c r="C68" i="7" s="1"/>
  <c r="B74"/>
  <c r="B75"/>
  <c r="B73"/>
  <c r="B72"/>
  <c r="B71"/>
  <c r="B70"/>
  <c r="B69"/>
  <c r="B68"/>
  <c r="J6" i="24"/>
  <c r="D36" i="11"/>
  <c r="D22" i="21" s="1"/>
  <c r="D35" i="10"/>
  <c r="D20" i="21" s="1"/>
  <c r="C98" i="10"/>
  <c r="D75"/>
  <c r="D21" i="21" s="1"/>
  <c r="D33" i="8"/>
  <c r="D18" i="21" s="1"/>
  <c r="C96" i="8"/>
  <c r="B77" s="1"/>
  <c r="D73"/>
  <c r="D19" i="21" s="1"/>
  <c r="C7" i="5"/>
  <c r="C8"/>
  <c r="C73" i="13"/>
  <c r="G78"/>
  <c r="C60"/>
  <c r="C61" s="1"/>
  <c r="C74" s="1"/>
  <c r="D73"/>
  <c r="D27" i="21" s="1"/>
  <c r="C96" i="13"/>
  <c r="C33"/>
  <c r="B26" i="21"/>
  <c r="C20" i="13"/>
  <c r="C21" s="1"/>
  <c r="C34" s="1"/>
  <c r="D33"/>
  <c r="D26" i="21"/>
  <c r="C73" i="12"/>
  <c r="B25" i="21" s="1"/>
  <c r="C60" i="12"/>
  <c r="C61"/>
  <c r="D73"/>
  <c r="D25" i="21" s="1"/>
  <c r="C96" i="12"/>
  <c r="B77"/>
  <c r="C33"/>
  <c r="G38" s="1"/>
  <c r="B24" i="21"/>
  <c r="C20" i="12"/>
  <c r="C21" s="1"/>
  <c r="C34" s="1"/>
  <c r="D33"/>
  <c r="D24" i="21"/>
  <c r="C94" i="12"/>
  <c r="B37" s="1"/>
  <c r="C76" i="11"/>
  <c r="B23" i="21" s="1"/>
  <c r="C63" i="11"/>
  <c r="C64" s="1"/>
  <c r="C77" s="1"/>
  <c r="D76"/>
  <c r="D23" i="21" s="1"/>
  <c r="C36" i="11"/>
  <c r="G41" s="1"/>
  <c r="C23"/>
  <c r="C24" s="1"/>
  <c r="C75" i="10"/>
  <c r="G80" s="1"/>
  <c r="C62"/>
  <c r="C63" s="1"/>
  <c r="C35"/>
  <c r="G40" s="1"/>
  <c r="C22"/>
  <c r="C23" s="1"/>
  <c r="C73" i="8"/>
  <c r="B19" i="21" s="1"/>
  <c r="C60" i="8"/>
  <c r="C61" s="1"/>
  <c r="C33"/>
  <c r="B18" i="21" s="1"/>
  <c r="C20" i="8"/>
  <c r="C21" s="1"/>
  <c r="C56" i="7"/>
  <c r="C57" s="1"/>
  <c r="E1" i="13"/>
  <c r="E44" s="1"/>
  <c r="E1" i="12"/>
  <c r="D44" s="1"/>
  <c r="E1" i="11"/>
  <c r="E47" s="1"/>
  <c r="E1" i="10"/>
  <c r="D46" s="1"/>
  <c r="E1" i="8"/>
  <c r="E44" s="1"/>
  <c r="E1" i="7"/>
  <c r="E65" s="1"/>
  <c r="E1" i="14"/>
  <c r="D38" s="1"/>
  <c r="E1" i="15"/>
  <c r="E36" s="1"/>
  <c r="E1" i="16"/>
  <c r="D37" s="1"/>
  <c r="E1" i="17"/>
  <c r="E36" s="1"/>
  <c r="E1" i="18"/>
  <c r="D40" s="1"/>
  <c r="E1" i="19"/>
  <c r="E36" s="1"/>
  <c r="E1" i="37"/>
  <c r="E5" s="1"/>
  <c r="E1" i="38"/>
  <c r="E5" s="1"/>
  <c r="F1" i="44"/>
  <c r="A32" s="1"/>
  <c r="E15" i="2"/>
  <c r="G16" s="1"/>
  <c r="D15"/>
  <c r="A55"/>
  <c r="J28" i="42"/>
  <c r="J17"/>
  <c r="J18" s="1"/>
  <c r="J29" s="1"/>
  <c r="J30" s="1"/>
  <c r="H28"/>
  <c r="H17"/>
  <c r="H18" s="1"/>
  <c r="F28"/>
  <c r="F29" s="1"/>
  <c r="F30" s="1"/>
  <c r="F17"/>
  <c r="F18"/>
  <c r="D28"/>
  <c r="D17"/>
  <c r="D18"/>
  <c r="B28"/>
  <c r="B17"/>
  <c r="B18"/>
  <c r="J28" i="41"/>
  <c r="J17"/>
  <c r="J18" s="1"/>
  <c r="J29" s="1"/>
  <c r="J30" s="1"/>
  <c r="H28"/>
  <c r="H17"/>
  <c r="H18" s="1"/>
  <c r="H29" s="1"/>
  <c r="H30" s="1"/>
  <c r="F28"/>
  <c r="F17"/>
  <c r="F18" s="1"/>
  <c r="F29" s="1"/>
  <c r="F30" s="1"/>
  <c r="D28"/>
  <c r="D17"/>
  <c r="D18" s="1"/>
  <c r="D29" s="1"/>
  <c r="D30" s="1"/>
  <c r="B28"/>
  <c r="B17"/>
  <c r="B18" s="1"/>
  <c r="J28" i="40"/>
  <c r="J17"/>
  <c r="J18"/>
  <c r="J29" s="1"/>
  <c r="J30" s="1"/>
  <c r="H28"/>
  <c r="H17"/>
  <c r="H18" s="1"/>
  <c r="H29" s="1"/>
  <c r="H30" s="1"/>
  <c r="F17"/>
  <c r="F18" s="1"/>
  <c r="F28"/>
  <c r="D17"/>
  <c r="D18"/>
  <c r="D28"/>
  <c r="B17"/>
  <c r="B18"/>
  <c r="B28"/>
  <c r="J17" i="39"/>
  <c r="J18"/>
  <c r="J29"/>
  <c r="J30"/>
  <c r="J28"/>
  <c r="H17"/>
  <c r="H18"/>
  <c r="H28"/>
  <c r="F17"/>
  <c r="F18"/>
  <c r="F28"/>
  <c r="F29"/>
  <c r="F30" s="1"/>
  <c r="D17"/>
  <c r="D18"/>
  <c r="D28"/>
  <c r="B28"/>
  <c r="B17"/>
  <c r="B18"/>
  <c r="I5" i="42"/>
  <c r="G5"/>
  <c r="E5"/>
  <c r="C5"/>
  <c r="A5"/>
  <c r="E28" i="24"/>
  <c r="G11"/>
  <c r="E14"/>
  <c r="E15"/>
  <c r="E19"/>
  <c r="E20"/>
  <c r="E21"/>
  <c r="G24"/>
  <c r="K1" i="42"/>
  <c r="F2" s="1"/>
  <c r="K1" i="41"/>
  <c r="F2" s="1"/>
  <c r="K1" i="40"/>
  <c r="F2" s="1"/>
  <c r="K1" i="39"/>
  <c r="F2" s="1"/>
  <c r="H2" i="21"/>
  <c r="J62" s="1"/>
  <c r="E1" i="43"/>
  <c r="A46" s="1"/>
  <c r="D60" i="3"/>
  <c r="E9" i="14"/>
  <c r="D9"/>
  <c r="D22" i="5"/>
  <c r="E23"/>
  <c r="F24"/>
  <c r="E15" i="7"/>
  <c r="E16"/>
  <c r="E14"/>
  <c r="D6" i="44"/>
  <c r="E6"/>
  <c r="D14"/>
  <c r="E14"/>
  <c r="E73" i="11" s="1"/>
  <c r="E76" s="1"/>
  <c r="D15" i="44"/>
  <c r="E15"/>
  <c r="E30" i="12" s="1"/>
  <c r="E33" s="1"/>
  <c r="D17" i="44"/>
  <c r="E17"/>
  <c r="D16"/>
  <c r="E16"/>
  <c r="E70" i="12" s="1"/>
  <c r="E73" s="1"/>
  <c r="A1" i="44"/>
  <c r="B7"/>
  <c r="B6"/>
  <c r="E19" i="18"/>
  <c r="E18" s="1"/>
  <c r="D19"/>
  <c r="D18" s="1"/>
  <c r="C19"/>
  <c r="C18" s="1"/>
  <c r="C55" i="7"/>
  <c r="E48" i="14"/>
  <c r="D48"/>
  <c r="C48"/>
  <c r="E19" i="38"/>
  <c r="E18" s="1"/>
  <c r="D19"/>
  <c r="D18"/>
  <c r="C19"/>
  <c r="C18" s="1"/>
  <c r="E46"/>
  <c r="D46"/>
  <c r="C46"/>
  <c r="E19" i="37"/>
  <c r="E18"/>
  <c r="D19"/>
  <c r="D18"/>
  <c r="C19"/>
  <c r="C18"/>
  <c r="E46"/>
  <c r="C46"/>
  <c r="E19" i="36"/>
  <c r="E18"/>
  <c r="D19"/>
  <c r="D18"/>
  <c r="C19"/>
  <c r="C18"/>
  <c r="E46"/>
  <c r="C46"/>
  <c r="E19" i="35"/>
  <c r="E18"/>
  <c r="D19"/>
  <c r="D18"/>
  <c r="C19"/>
  <c r="C18"/>
  <c r="E46"/>
  <c r="D46"/>
  <c r="C46"/>
  <c r="E58" i="19"/>
  <c r="D58"/>
  <c r="C58"/>
  <c r="E46"/>
  <c r="E45" s="1"/>
  <c r="D46"/>
  <c r="D45" s="1"/>
  <c r="C46"/>
  <c r="C45" s="1"/>
  <c r="E15"/>
  <c r="E14" s="1"/>
  <c r="D15"/>
  <c r="D14" s="1"/>
  <c r="C15"/>
  <c r="C14" s="1"/>
  <c r="E27"/>
  <c r="D27"/>
  <c r="C27"/>
  <c r="E62" i="18"/>
  <c r="D62"/>
  <c r="C62"/>
  <c r="E50"/>
  <c r="E49" s="1"/>
  <c r="D50"/>
  <c r="D49" s="1"/>
  <c r="C50"/>
  <c r="C49" s="1"/>
  <c r="E31"/>
  <c r="D31"/>
  <c r="C31"/>
  <c r="E58" i="17"/>
  <c r="D58"/>
  <c r="C58"/>
  <c r="E46"/>
  <c r="E45" s="1"/>
  <c r="D46"/>
  <c r="D45" s="1"/>
  <c r="C46"/>
  <c r="C45" s="1"/>
  <c r="E15"/>
  <c r="E14" s="1"/>
  <c r="D15"/>
  <c r="D14" s="1"/>
  <c r="C15"/>
  <c r="C14" s="1"/>
  <c r="E27"/>
  <c r="D27"/>
  <c r="C27"/>
  <c r="E15" i="16"/>
  <c r="E14" s="1"/>
  <c r="D15"/>
  <c r="D14" s="1"/>
  <c r="C15"/>
  <c r="C14" s="1"/>
  <c r="E28"/>
  <c r="D28"/>
  <c r="C28"/>
  <c r="E48"/>
  <c r="E47" s="1"/>
  <c r="D48"/>
  <c r="D47" s="1"/>
  <c r="C48"/>
  <c r="C47" s="1"/>
  <c r="E60"/>
  <c r="D60"/>
  <c r="C60"/>
  <c r="E15" i="15"/>
  <c r="E14" s="1"/>
  <c r="D15"/>
  <c r="D14" s="1"/>
  <c r="C15"/>
  <c r="C14" s="1"/>
  <c r="E27"/>
  <c r="D27"/>
  <c r="C27"/>
  <c r="E46"/>
  <c r="E45" s="1"/>
  <c r="D46"/>
  <c r="D45" s="1"/>
  <c r="C46"/>
  <c r="C45" s="1"/>
  <c r="E58"/>
  <c r="D58"/>
  <c r="C58"/>
  <c r="E8" i="14"/>
  <c r="D8"/>
  <c r="C16"/>
  <c r="E29"/>
  <c r="D29"/>
  <c r="C29"/>
  <c r="D72" i="13"/>
  <c r="C72"/>
  <c r="C59"/>
  <c r="C19"/>
  <c r="D32"/>
  <c r="C32"/>
  <c r="D72" i="12"/>
  <c r="C72"/>
  <c r="C59"/>
  <c r="D32"/>
  <c r="C32"/>
  <c r="C19"/>
  <c r="D75" i="11"/>
  <c r="C62"/>
  <c r="C22"/>
  <c r="D74" i="10"/>
  <c r="C74"/>
  <c r="C61"/>
  <c r="C21"/>
  <c r="D34"/>
  <c r="C34"/>
  <c r="D72" i="8"/>
  <c r="C72"/>
  <c r="C59"/>
  <c r="D32"/>
  <c r="C32"/>
  <c r="C19"/>
  <c r="D26" i="44"/>
  <c r="D28" s="1"/>
  <c r="D24"/>
  <c r="D8" s="1"/>
  <c r="E5"/>
  <c r="D5"/>
  <c r="E1" i="35"/>
  <c r="E5" s="1"/>
  <c r="E1" i="36"/>
  <c r="D5" s="1"/>
  <c r="C20" i="37"/>
  <c r="C48"/>
  <c r="C20" i="36"/>
  <c r="C48" s="1"/>
  <c r="C20" i="35"/>
  <c r="C16" i="19"/>
  <c r="C29" s="1"/>
  <c r="C47"/>
  <c r="C60" s="1"/>
  <c r="C20" i="18"/>
  <c r="C47" i="17"/>
  <c r="C60" s="1"/>
  <c r="A92" i="43"/>
  <c r="A91"/>
  <c r="A90"/>
  <c r="A89"/>
  <c r="A83"/>
  <c r="A82"/>
  <c r="A81"/>
  <c r="A80"/>
  <c r="A79"/>
  <c r="A78"/>
  <c r="A77"/>
  <c r="A76"/>
  <c r="A75"/>
  <c r="A74"/>
  <c r="A73"/>
  <c r="A61"/>
  <c r="A60"/>
  <c r="C26" i="21"/>
  <c r="C25"/>
  <c r="C24"/>
  <c r="C23"/>
  <c r="C22"/>
  <c r="C21"/>
  <c r="C20"/>
  <c r="C19"/>
  <c r="C18"/>
  <c r="C17"/>
  <c r="G1" i="5"/>
  <c r="C6" s="1"/>
  <c r="D30" i="32"/>
  <c r="B53" i="21" s="1"/>
  <c r="B56" i="3"/>
  <c r="B55"/>
  <c r="B54"/>
  <c r="B53"/>
  <c r="A51" i="21"/>
  <c r="A50"/>
  <c r="A49"/>
  <c r="A48"/>
  <c r="M1" i="22"/>
  <c r="G7" s="1"/>
  <c r="D103" i="2"/>
  <c r="E103"/>
  <c r="A13"/>
  <c r="A102"/>
  <c r="K28" i="42"/>
  <c r="B51" i="21"/>
  <c r="K28" i="41"/>
  <c r="B50" i="21" s="1"/>
  <c r="K28" i="40"/>
  <c r="B49" i="21"/>
  <c r="K28" i="39"/>
  <c r="B48" i="21" s="1"/>
  <c r="K7" i="42"/>
  <c r="K17"/>
  <c r="A1"/>
  <c r="A1" i="41"/>
  <c r="A1" i="40"/>
  <c r="A1" i="39"/>
  <c r="B1" i="22"/>
  <c r="J1" i="24"/>
  <c r="B38" s="1"/>
  <c r="A31" i="2"/>
  <c r="A21" i="33"/>
  <c r="A27"/>
  <c r="A15"/>
  <c r="A4"/>
  <c r="F30" i="32"/>
  <c r="F32" s="1"/>
  <c r="E30"/>
  <c r="D53" i="21" s="1"/>
  <c r="D12"/>
  <c r="G42" i="22"/>
  <c r="F62" i="21" s="1"/>
  <c r="G32" i="22"/>
  <c r="F61" i="21" s="1"/>
  <c r="G20" i="22"/>
  <c r="F60" i="21" s="1"/>
  <c r="E26"/>
  <c r="G44" i="13" s="1"/>
  <c r="E25" i="21"/>
  <c r="G84" i="12" s="1"/>
  <c r="E24" i="21"/>
  <c r="G44" i="12" s="1"/>
  <c r="E23" i="21"/>
  <c r="G87" i="11" s="1"/>
  <c r="E22" i="21"/>
  <c r="G47" i="11" s="1"/>
  <c r="E21" i="21"/>
  <c r="G86" i="10" s="1"/>
  <c r="E20" i="21"/>
  <c r="G46" i="10" s="1"/>
  <c r="E19" i="21"/>
  <c r="G84" i="8" s="1"/>
  <c r="E18" i="21"/>
  <c r="E17"/>
  <c r="E29" i="57" s="1"/>
  <c r="E16" i="21"/>
  <c r="G45" i="34" s="1"/>
  <c r="E15" i="21"/>
  <c r="G122" i="7" s="1"/>
  <c r="F47" i="21"/>
  <c r="F46"/>
  <c r="F45"/>
  <c r="F44"/>
  <c r="D47"/>
  <c r="D46"/>
  <c r="D45"/>
  <c r="D44"/>
  <c r="B47"/>
  <c r="B46"/>
  <c r="B45"/>
  <c r="B44"/>
  <c r="E52" i="3"/>
  <c r="E51"/>
  <c r="E50"/>
  <c r="E49"/>
  <c r="D56"/>
  <c r="D55"/>
  <c r="D54"/>
  <c r="D53"/>
  <c r="D52"/>
  <c r="D51"/>
  <c r="D50"/>
  <c r="D49"/>
  <c r="A16" i="21"/>
  <c r="C16"/>
  <c r="A43"/>
  <c r="B48" i="3"/>
  <c r="C21"/>
  <c r="B8" i="5"/>
  <c r="B1"/>
  <c r="G1" i="32"/>
  <c r="E7" s="1"/>
  <c r="B1"/>
  <c r="M20" i="22"/>
  <c r="M32"/>
  <c r="M42"/>
  <c r="L20"/>
  <c r="L32"/>
  <c r="L42"/>
  <c r="K20"/>
  <c r="K32"/>
  <c r="K42"/>
  <c r="J20"/>
  <c r="J32"/>
  <c r="J42"/>
  <c r="I1" i="23"/>
  <c r="G9" s="1"/>
  <c r="D1" i="9"/>
  <c r="C5" s="1"/>
  <c r="C73" s="1"/>
  <c r="I1" i="3"/>
  <c r="G60" s="1"/>
  <c r="B2"/>
  <c r="A1" i="43"/>
  <c r="B5" i="35"/>
  <c r="B1"/>
  <c r="B5" i="36"/>
  <c r="B1"/>
  <c r="B5" i="37"/>
  <c r="B1"/>
  <c r="B5" i="38"/>
  <c r="B1"/>
  <c r="I5" i="41"/>
  <c r="G5"/>
  <c r="E5"/>
  <c r="C5"/>
  <c r="A5"/>
  <c r="I5" i="40"/>
  <c r="G5"/>
  <c r="E5"/>
  <c r="C5"/>
  <c r="A5"/>
  <c r="I5" i="39"/>
  <c r="G5"/>
  <c r="E5"/>
  <c r="C5"/>
  <c r="A5"/>
  <c r="B85" i="2"/>
  <c r="A83"/>
  <c r="D83"/>
  <c r="A52" i="43"/>
  <c r="A50"/>
  <c r="A16"/>
  <c r="A8"/>
  <c r="K7" i="41"/>
  <c r="K17"/>
  <c r="K7" i="40"/>
  <c r="K30" s="1"/>
  <c r="K17"/>
  <c r="K7" i="39"/>
  <c r="K17"/>
  <c r="A7" i="33"/>
  <c r="A13"/>
  <c r="A47" i="21"/>
  <c r="A46"/>
  <c r="A45"/>
  <c r="B52" i="3"/>
  <c r="B51"/>
  <c r="B50"/>
  <c r="C20"/>
  <c r="D43"/>
  <c r="D42"/>
  <c r="D41"/>
  <c r="D40"/>
  <c r="D39"/>
  <c r="D38"/>
  <c r="D37"/>
  <c r="D36"/>
  <c r="D35"/>
  <c r="D34"/>
  <c r="D33"/>
  <c r="B49"/>
  <c r="B43"/>
  <c r="B42"/>
  <c r="B41"/>
  <c r="B40"/>
  <c r="B39"/>
  <c r="B38"/>
  <c r="B37"/>
  <c r="B36"/>
  <c r="B35"/>
  <c r="B34"/>
  <c r="B33"/>
  <c r="D59"/>
  <c r="B4"/>
  <c r="E33"/>
  <c r="E36"/>
  <c r="E35"/>
  <c r="E38"/>
  <c r="E40"/>
  <c r="E39"/>
  <c r="E42"/>
  <c r="E41"/>
  <c r="E43"/>
  <c r="C1" i="24"/>
  <c r="A1" i="9"/>
  <c r="A69" s="1"/>
  <c r="C65"/>
  <c r="C132" s="1"/>
  <c r="B65"/>
  <c r="B132" s="1"/>
  <c r="B65" i="7"/>
  <c r="B61"/>
  <c r="B6"/>
  <c r="B1"/>
  <c r="B84" i="2"/>
  <c r="B1" i="23"/>
  <c r="I28"/>
  <c r="H28"/>
  <c r="G28"/>
  <c r="F63" i="21" s="1"/>
  <c r="B7" i="5"/>
  <c r="B1" i="12"/>
  <c r="B1" i="13"/>
  <c r="B36" i="15"/>
  <c r="B5"/>
  <c r="B1"/>
  <c r="B37" i="16"/>
  <c r="B5"/>
  <c r="B1"/>
  <c r="B36" i="17"/>
  <c r="B5"/>
  <c r="B1"/>
  <c r="B40" i="18"/>
  <c r="B5"/>
  <c r="B1"/>
  <c r="B5" i="19"/>
  <c r="B1"/>
  <c r="B1" i="8"/>
  <c r="B1" i="10"/>
  <c r="B1" i="11"/>
  <c r="B38" i="14"/>
  <c r="B5"/>
  <c r="B1"/>
  <c r="A44" i="21"/>
  <c r="A38"/>
  <c r="A37"/>
  <c r="A36"/>
  <c r="A35"/>
  <c r="A34"/>
  <c r="A33"/>
  <c r="A32"/>
  <c r="A31"/>
  <c r="A30"/>
  <c r="A29"/>
  <c r="A28"/>
  <c r="C15"/>
  <c r="C52" s="1"/>
  <c r="B38"/>
  <c r="B37"/>
  <c r="B36"/>
  <c r="B35"/>
  <c r="B34"/>
  <c r="B33"/>
  <c r="B31"/>
  <c r="B30"/>
  <c r="B28"/>
  <c r="D38"/>
  <c r="D37"/>
  <c r="D36"/>
  <c r="D35"/>
  <c r="D34"/>
  <c r="D33"/>
  <c r="D32"/>
  <c r="D31"/>
  <c r="D30"/>
  <c r="D28"/>
  <c r="F38"/>
  <c r="F37"/>
  <c r="F36"/>
  <c r="F35"/>
  <c r="F34"/>
  <c r="F33"/>
  <c r="F31"/>
  <c r="F30"/>
  <c r="F28"/>
  <c r="A4"/>
  <c r="A15"/>
  <c r="C49" i="14"/>
  <c r="C62" s="1"/>
  <c r="C47"/>
  <c r="D47"/>
  <c r="E47"/>
  <c r="C60"/>
  <c r="B29" i="21"/>
  <c r="D60" i="14"/>
  <c r="D29" i="21"/>
  <c r="E34" i="3"/>
  <c r="E60" i="14"/>
  <c r="F29" i="21"/>
  <c r="C35" i="11"/>
  <c r="D35"/>
  <c r="B6" i="24"/>
  <c r="C14"/>
  <c r="B28"/>
  <c r="E17" i="14"/>
  <c r="E16" s="1"/>
  <c r="A15" i="43"/>
  <c r="B49" i="35"/>
  <c r="B49" i="37"/>
  <c r="G22" i="24"/>
  <c r="B35" i="12"/>
  <c r="B37" i="10"/>
  <c r="B113" i="7"/>
  <c r="E9" i="3"/>
  <c r="B8"/>
  <c r="B30" i="19"/>
  <c r="C80" i="13"/>
  <c r="D65" i="9"/>
  <c r="D132" s="1"/>
  <c r="B131"/>
  <c r="C131"/>
  <c r="D131"/>
  <c r="A22" i="44"/>
  <c r="B13" i="24"/>
  <c r="B3" i="44"/>
  <c r="F10" i="3"/>
  <c r="B7"/>
  <c r="D7" i="32"/>
  <c r="B30" i="15"/>
  <c r="C5" i="44"/>
  <c r="B13" i="3"/>
  <c r="B30" i="17"/>
  <c r="D33" i="14"/>
  <c r="G16" i="24"/>
  <c r="C31" i="17"/>
  <c r="C32" i="16"/>
  <c r="C31" i="15"/>
  <c r="C16"/>
  <c r="C29" s="1"/>
  <c r="C48" i="35"/>
  <c r="C51"/>
  <c r="C50" i="36"/>
  <c r="K30" i="39"/>
  <c r="K30" i="41"/>
  <c r="K30" i="42"/>
  <c r="D64" i="14"/>
  <c r="D31" i="15"/>
  <c r="D32" i="16"/>
  <c r="D31" i="17"/>
  <c r="C66" i="18"/>
  <c r="D29" i="39"/>
  <c r="D30"/>
  <c r="B29"/>
  <c r="B30" s="1"/>
  <c r="G43" i="22"/>
  <c r="J5" i="24"/>
  <c r="J7" s="1"/>
  <c r="D63" i="54"/>
  <c r="C15"/>
  <c r="B31"/>
  <c r="C46"/>
  <c r="C27" i="53"/>
  <c r="A9" i="43"/>
  <c r="B5" i="44"/>
  <c r="B34" i="18"/>
  <c r="B32" i="14"/>
  <c r="B75" i="8"/>
  <c r="B24" i="24"/>
  <c r="B5"/>
  <c r="F7" i="32"/>
  <c r="B35" i="8"/>
  <c r="B31" i="16"/>
  <c r="B18" i="24"/>
  <c r="B11"/>
  <c r="A3"/>
  <c r="G13" i="21"/>
  <c r="B9" i="24"/>
  <c r="A42"/>
  <c r="B12" i="21"/>
  <c r="D50" i="37"/>
  <c r="C80" i="8"/>
  <c r="C64" i="14"/>
  <c r="C47" i="15"/>
  <c r="C60" s="1"/>
  <c r="C49" i="16"/>
  <c r="C62" s="1"/>
  <c r="C51" i="18"/>
  <c r="C64" s="1"/>
  <c r="B61" i="53"/>
  <c r="C63" i="54"/>
  <c r="D50" i="36"/>
  <c r="B49"/>
  <c r="D46" i="37"/>
  <c r="C20" i="38"/>
  <c r="C48" s="1"/>
  <c r="D28" i="54"/>
  <c r="C28"/>
  <c r="C62" i="53"/>
  <c r="C32" i="54"/>
  <c r="D32"/>
  <c r="D62" i="53"/>
  <c r="D31"/>
  <c r="C14"/>
  <c r="G39" i="34"/>
  <c r="C20"/>
  <c r="C15" i="24"/>
  <c r="H34" i="34"/>
  <c r="H36"/>
  <c r="H39"/>
  <c r="J45" i="21"/>
  <c r="B76" i="34"/>
  <c r="G32"/>
  <c r="H35"/>
  <c r="H37"/>
  <c r="H40"/>
  <c r="J41" i="21"/>
  <c r="G109" i="7"/>
  <c r="D5" i="5"/>
  <c r="A6" i="43"/>
  <c r="C58"/>
  <c r="B35" i="13"/>
  <c r="B75"/>
  <c r="J6" i="22"/>
  <c r="I9" i="23"/>
  <c r="B78" i="11"/>
  <c r="L6" i="22"/>
  <c r="C80" i="12"/>
  <c r="B77" i="10"/>
  <c r="B75" i="12"/>
  <c r="C82" i="10"/>
  <c r="A7" i="43"/>
  <c r="A14"/>
  <c r="A19"/>
  <c r="A51"/>
  <c r="A53"/>
  <c r="A38"/>
  <c r="A36"/>
  <c r="C118" i="7"/>
  <c r="H112"/>
  <c r="H114"/>
  <c r="H117"/>
  <c r="G102"/>
  <c r="H111"/>
  <c r="H113"/>
  <c r="H116"/>
  <c r="J52" i="21"/>
  <c r="B59"/>
  <c r="F59"/>
  <c r="C94" i="34"/>
  <c r="A57" i="43"/>
  <c r="C20" i="5"/>
  <c r="E27" s="1"/>
  <c r="E9" s="1"/>
  <c r="M62" i="21"/>
  <c r="M43"/>
  <c r="B16"/>
  <c r="B17"/>
  <c r="C94" i="8"/>
  <c r="B37" s="1"/>
  <c r="C96" i="10"/>
  <c r="B39" s="1"/>
  <c r="E70" i="13"/>
  <c r="E73" s="1"/>
  <c r="E30"/>
  <c r="E33" s="1"/>
  <c r="E108" i="7"/>
  <c r="F53" i="21"/>
  <c r="G21" i="52"/>
  <c r="G19" s="1"/>
  <c r="G23"/>
  <c r="C69" i="3"/>
  <c r="J54" i="21"/>
  <c r="J60"/>
  <c r="J63"/>
  <c r="J48"/>
  <c r="B6" i="5"/>
  <c r="B58" i="43"/>
  <c r="J47" i="21"/>
  <c r="J55"/>
  <c r="J61"/>
  <c r="H121" i="7"/>
  <c r="H123"/>
  <c r="G25" i="34"/>
  <c r="H45"/>
  <c r="H47"/>
  <c r="G65"/>
  <c r="G72"/>
  <c r="H76"/>
  <c r="H77"/>
  <c r="H80"/>
  <c r="H85"/>
  <c r="H87"/>
  <c r="G24" i="8"/>
  <c r="G31"/>
  <c r="H35"/>
  <c r="H36"/>
  <c r="H39"/>
  <c r="H44"/>
  <c r="H46"/>
  <c r="G33" i="10"/>
  <c r="H35"/>
  <c r="H36"/>
  <c r="H37"/>
  <c r="H38"/>
  <c r="H40"/>
  <c r="H45"/>
  <c r="H47"/>
  <c r="G27" i="11"/>
  <c r="G34"/>
  <c r="H36"/>
  <c r="H37"/>
  <c r="H38"/>
  <c r="H39"/>
  <c r="H41"/>
  <c r="H46"/>
  <c r="H48"/>
  <c r="G24" i="12"/>
  <c r="G28"/>
  <c r="H39"/>
  <c r="H44"/>
  <c r="H46"/>
  <c r="G68" i="8"/>
  <c r="H79"/>
  <c r="H84"/>
  <c r="H86"/>
  <c r="G70" i="10"/>
  <c r="H81"/>
  <c r="H86"/>
  <c r="H88"/>
  <c r="G71" i="11"/>
  <c r="H82"/>
  <c r="H87"/>
  <c r="H89"/>
  <c r="G68" i="12"/>
  <c r="H79"/>
  <c r="H84"/>
  <c r="H86"/>
  <c r="G68" i="13"/>
  <c r="H79"/>
  <c r="H84"/>
  <c r="H86"/>
  <c r="A9" i="21"/>
  <c r="G106" i="7"/>
  <c r="H122"/>
  <c r="G29" i="34"/>
  <c r="H44"/>
  <c r="H46"/>
  <c r="G69"/>
  <c r="H74"/>
  <c r="H75"/>
  <c r="H79"/>
  <c r="H84"/>
  <c r="H86"/>
  <c r="G28" i="8"/>
  <c r="H33"/>
  <c r="H34"/>
  <c r="H38"/>
  <c r="H43"/>
  <c r="H45"/>
  <c r="G26" i="10"/>
  <c r="G30"/>
  <c r="H41"/>
  <c r="H46"/>
  <c r="H48"/>
  <c r="G31" i="11"/>
  <c r="H42"/>
  <c r="H47"/>
  <c r="H49"/>
  <c r="G31" i="12"/>
  <c r="H33"/>
  <c r="H34"/>
  <c r="H35"/>
  <c r="H36"/>
  <c r="H38"/>
  <c r="H43"/>
  <c r="H45"/>
  <c r="G64" i="8"/>
  <c r="G71"/>
  <c r="H73"/>
  <c r="H74"/>
  <c r="H75"/>
  <c r="H76"/>
  <c r="H78"/>
  <c r="H83"/>
  <c r="H85"/>
  <c r="G66" i="10"/>
  <c r="G73"/>
  <c r="H75"/>
  <c r="H76"/>
  <c r="H77"/>
  <c r="H78"/>
  <c r="H80"/>
  <c r="H85"/>
  <c r="G67" i="11"/>
  <c r="G74"/>
  <c r="H76"/>
  <c r="H77"/>
  <c r="H78"/>
  <c r="H79"/>
  <c r="H81"/>
  <c r="H86"/>
  <c r="H88"/>
  <c r="G64" i="12"/>
  <c r="G71"/>
  <c r="H73"/>
  <c r="H74"/>
  <c r="H75"/>
  <c r="H76"/>
  <c r="H78"/>
  <c r="H83"/>
  <c r="H85"/>
  <c r="G64" i="13"/>
  <c r="G71"/>
  <c r="H73"/>
  <c r="H74"/>
  <c r="H75"/>
  <c r="H76"/>
  <c r="H78"/>
  <c r="H83"/>
  <c r="H85"/>
  <c r="D16" i="21"/>
  <c r="G38" i="8"/>
  <c r="B77" i="13"/>
  <c r="G24"/>
  <c r="G28"/>
  <c r="G38"/>
  <c r="H39"/>
  <c r="H43"/>
  <c r="H44"/>
  <c r="H45"/>
  <c r="H46"/>
  <c r="C94"/>
  <c r="B37" s="1"/>
  <c r="G31"/>
  <c r="H33"/>
  <c r="H34"/>
  <c r="H35"/>
  <c r="H36"/>
  <c r="H38"/>
  <c r="C96" i="34"/>
  <c r="C73"/>
  <c r="B47" i="57"/>
  <c r="B84"/>
  <c r="B91"/>
  <c r="B46"/>
  <c r="B38" i="11"/>
  <c r="C83"/>
  <c r="C75"/>
  <c r="F28" i="5"/>
  <c r="F10" s="1"/>
  <c r="E12" i="8" s="1"/>
  <c r="D15" i="5"/>
  <c r="E52" i="11" s="1"/>
  <c r="F15" i="5"/>
  <c r="E54" i="11" s="1"/>
  <c r="D17" i="5"/>
  <c r="E49" i="12" s="1"/>
  <c r="F17" i="5"/>
  <c r="E51" i="12" s="1"/>
  <c r="D19" i="5"/>
  <c r="E49" i="13" s="1"/>
  <c r="F19" i="5"/>
  <c r="E51" i="13" s="1"/>
  <c r="D16" i="5"/>
  <c r="E10" i="12" s="1"/>
  <c r="D18" i="5"/>
  <c r="E10" i="13" s="1"/>
  <c r="F16" i="5"/>
  <c r="E12" i="12" s="1"/>
  <c r="F12" i="5"/>
  <c r="E12" i="10" s="1"/>
  <c r="D7" i="5"/>
  <c r="E11" i="7" s="1"/>
  <c r="E7" i="5"/>
  <c r="E12" i="7" s="1"/>
  <c r="F7" i="5"/>
  <c r="E13" i="7" s="1"/>
  <c r="D29" i="42"/>
  <c r="D30"/>
  <c r="B29" i="40"/>
  <c r="B30"/>
  <c r="D6" i="37"/>
  <c r="D20" s="1"/>
  <c r="D48" s="1"/>
  <c r="C51"/>
  <c r="C16" i="16"/>
  <c r="C30" s="1"/>
  <c r="C33" i="14"/>
  <c r="G78" i="8"/>
  <c r="B20" i="21"/>
  <c r="B21"/>
  <c r="C97" i="11"/>
  <c r="B22" i="21"/>
  <c r="G81" i="11"/>
  <c r="C74" i="12"/>
  <c r="G78"/>
  <c r="B27" i="21"/>
  <c r="C97" i="12"/>
  <c r="D45"/>
  <c r="E80" i="34"/>
  <c r="E79" i="12"/>
  <c r="E39"/>
  <c r="E39" i="13"/>
  <c r="E41" i="10"/>
  <c r="E79" i="8"/>
  <c r="E81" i="10"/>
  <c r="E42" i="11"/>
  <c r="E79" i="13"/>
  <c r="E40" i="34"/>
  <c r="E39" i="8"/>
  <c r="E82" i="11"/>
  <c r="E117" i="7"/>
  <c r="D20" i="3"/>
  <c r="F9" i="5"/>
  <c r="E52" i="34" s="1"/>
  <c r="G19" i="57" s="1"/>
  <c r="G44" i="8"/>
  <c r="C50" i="37"/>
  <c r="C64" i="16"/>
  <c r="B79" i="10"/>
  <c r="C81" i="34"/>
  <c r="D5" i="38"/>
  <c r="C6" i="7"/>
  <c r="E6"/>
  <c r="D65"/>
  <c r="B5" i="9"/>
  <c r="B73" s="1"/>
  <c r="D5"/>
  <c r="D73" s="1"/>
  <c r="D5" i="37"/>
  <c r="C5" i="36"/>
  <c r="E5"/>
  <c r="D5" i="35"/>
  <c r="C5" i="54"/>
  <c r="E5"/>
  <c r="D5" i="53"/>
  <c r="C5" i="19"/>
  <c r="E5"/>
  <c r="D5" i="18"/>
  <c r="C5" i="17"/>
  <c r="E5"/>
  <c r="D5" i="16"/>
  <c r="C5" i="15"/>
  <c r="E5"/>
  <c r="D5" i="14"/>
  <c r="C5" i="13"/>
  <c r="E5"/>
  <c r="D5" i="12"/>
  <c r="C5" i="11"/>
  <c r="E5"/>
  <c r="D5" i="10"/>
  <c r="C5" i="8"/>
  <c r="E5"/>
  <c r="D5" i="34"/>
  <c r="C45"/>
  <c r="E45"/>
  <c r="D44" i="8"/>
  <c r="C46" i="10"/>
  <c r="E46"/>
  <c r="D47" i="11"/>
  <c r="C44" i="12"/>
  <c r="E44"/>
  <c r="D44" i="13"/>
  <c r="C38" i="14"/>
  <c r="E38"/>
  <c r="D36" i="15"/>
  <c r="C37" i="16"/>
  <c r="E37"/>
  <c r="D36" i="17"/>
  <c r="C40" i="18"/>
  <c r="E40"/>
  <c r="D36" i="19"/>
  <c r="C36" i="53"/>
  <c r="E36"/>
  <c r="D37" i="54"/>
  <c r="F12" i="21"/>
  <c r="D69" i="9"/>
  <c r="B61" i="19"/>
  <c r="B65" i="18"/>
  <c r="B61" i="17"/>
  <c r="B63" i="16"/>
  <c r="B61" i="15"/>
  <c r="B63" i="14"/>
  <c r="H124" i="7"/>
  <c r="C40" i="8"/>
  <c r="B62" i="54"/>
  <c r="B36" i="34"/>
  <c r="C41"/>
  <c r="C5" i="38"/>
  <c r="D6" i="7"/>
  <c r="C65"/>
  <c r="C5" i="37"/>
  <c r="C5" i="35"/>
  <c r="D5" i="54"/>
  <c r="C5" i="53"/>
  <c r="E5"/>
  <c r="D5" i="19"/>
  <c r="C5" i="18"/>
  <c r="E5"/>
  <c r="D5" i="17"/>
  <c r="C5" i="16"/>
  <c r="E5"/>
  <c r="D5" i="15"/>
  <c r="C5" i="14"/>
  <c r="E5"/>
  <c r="D5" i="13"/>
  <c r="C5" i="12"/>
  <c r="E5"/>
  <c r="D5" i="11"/>
  <c r="C5" i="10"/>
  <c r="E5"/>
  <c r="D5" i="8"/>
  <c r="C5" i="34"/>
  <c r="E5"/>
  <c r="C44" i="8"/>
  <c r="C47" i="11"/>
  <c r="C44" i="13"/>
  <c r="C36" i="15"/>
  <c r="C36" i="17"/>
  <c r="C36" i="19"/>
  <c r="C37" i="54"/>
  <c r="D50" i="38"/>
  <c r="D50" i="35"/>
  <c r="D62" i="17"/>
  <c r="D31" i="19"/>
  <c r="D26" i="5"/>
  <c r="D8" s="1"/>
  <c r="E14"/>
  <c r="E11" i="11" s="1"/>
  <c r="E16" i="5"/>
  <c r="E11" i="12" s="1"/>
  <c r="E18" i="5"/>
  <c r="E11" i="13" s="1"/>
  <c r="E11" i="5"/>
  <c r="E50" i="8" s="1"/>
  <c r="E13" i="5"/>
  <c r="E52" i="10" s="1"/>
  <c r="E15" i="5"/>
  <c r="E53" i="11" s="1"/>
  <c r="E17" i="5"/>
  <c r="E50" i="12" s="1"/>
  <c r="E19" i="5"/>
  <c r="E50" i="13" s="1"/>
  <c r="E10" i="5"/>
  <c r="E11" i="8" s="1"/>
  <c r="E12" i="5"/>
  <c r="E11" i="10" s="1"/>
  <c r="F18" i="5"/>
  <c r="E12" i="13" s="1"/>
  <c r="F14" i="5"/>
  <c r="E12" i="11" s="1"/>
  <c r="F32" i="21"/>
  <c r="E44" i="3"/>
  <c r="E46"/>
  <c r="E45"/>
  <c r="C59" i="54"/>
  <c r="E47" i="3"/>
  <c r="E28" i="54"/>
  <c r="D6" i="35"/>
  <c r="D20"/>
  <c r="D48"/>
  <c r="E6" s="1"/>
  <c r="E20" s="1"/>
  <c r="E48" s="1"/>
  <c r="E49" s="1"/>
  <c r="K18" i="39"/>
  <c r="H29"/>
  <c r="H30" s="1"/>
  <c r="D29" i="40"/>
  <c r="D30" s="1"/>
  <c r="B29" i="42"/>
  <c r="B30" s="1"/>
  <c r="M63" i="21"/>
  <c r="J32" i="11"/>
  <c r="J70" i="10"/>
  <c r="J71"/>
  <c r="J68" i="13"/>
  <c r="J69"/>
  <c r="J71" i="11"/>
  <c r="J72"/>
  <c r="J106" i="7"/>
  <c r="J68" i="12"/>
  <c r="J69"/>
  <c r="J68" i="8"/>
  <c r="J69"/>
  <c r="J69" i="34"/>
  <c r="J70"/>
  <c r="C42" i="10"/>
  <c r="C43" i="11"/>
  <c r="G85" i="34"/>
  <c r="B135" i="9"/>
  <c r="H9" i="23"/>
  <c r="D61" i="34"/>
  <c r="D60" s="1"/>
  <c r="E15" i="57"/>
  <c r="E22" s="1"/>
  <c r="G18" i="52"/>
  <c r="G26" i="24" l="1"/>
  <c r="G30" s="1"/>
  <c r="G32" s="1"/>
  <c r="D17" i="14"/>
  <c r="D16" s="1"/>
  <c r="E6" i="37"/>
  <c r="E20" s="1"/>
  <c r="E48" s="1"/>
  <c r="E49" s="1"/>
  <c r="D51"/>
  <c r="D6" i="38"/>
  <c r="D20" s="1"/>
  <c r="D48" s="1"/>
  <c r="C51"/>
  <c r="K18" i="41"/>
  <c r="B29"/>
  <c r="J83" i="55"/>
  <c r="J123"/>
  <c r="D6" i="13"/>
  <c r="C95"/>
  <c r="C51" i="36"/>
  <c r="D6"/>
  <c r="D20" s="1"/>
  <c r="D48" s="1"/>
  <c r="F29" i="40"/>
  <c r="K18"/>
  <c r="C95" i="12"/>
  <c r="D6"/>
  <c r="D45" i="13"/>
  <c r="D61" s="1"/>
  <c r="D74" s="1"/>
  <c r="C97"/>
  <c r="J103" i="55"/>
  <c r="H29" i="42"/>
  <c r="H30" s="1"/>
  <c r="K18"/>
  <c r="K29"/>
  <c r="D51" i="35"/>
  <c r="K29" i="39"/>
  <c r="C16" i="17"/>
  <c r="C29" s="1"/>
  <c r="D58" i="53"/>
  <c r="D64" i="21"/>
  <c r="D32" i="32"/>
  <c r="E32"/>
  <c r="C62" i="15"/>
  <c r="B38" i="34"/>
  <c r="F43" i="21"/>
  <c r="E59" i="54"/>
  <c r="D59"/>
  <c r="C61"/>
  <c r="C64" s="1"/>
  <c r="E58" i="53"/>
  <c r="C58"/>
  <c r="C30" i="54"/>
  <c r="C33" s="1"/>
  <c r="C62" i="19"/>
  <c r="E8" i="44"/>
  <c r="E71" i="34" s="1"/>
  <c r="E74" s="1"/>
  <c r="E22" i="3" s="1"/>
  <c r="C35" i="32"/>
  <c r="D13" i="44"/>
  <c r="E13" s="1"/>
  <c r="E33" i="11" s="1"/>
  <c r="E36" s="1"/>
  <c r="E40" s="1"/>
  <c r="D11" i="44"/>
  <c r="E11" s="1"/>
  <c r="E32" i="10" s="1"/>
  <c r="E35" s="1"/>
  <c r="E34" s="1"/>
  <c r="D9" i="44"/>
  <c r="E9" s="1"/>
  <c r="E30" i="8" s="1"/>
  <c r="E33" s="1"/>
  <c r="E32" s="1"/>
  <c r="D7" i="44"/>
  <c r="D12"/>
  <c r="E12" s="1"/>
  <c r="E72" i="10" s="1"/>
  <c r="E75" s="1"/>
  <c r="E79" s="1"/>
  <c r="D10" i="44"/>
  <c r="E10" s="1"/>
  <c r="E70" i="8" s="1"/>
  <c r="E73" s="1"/>
  <c r="E77" s="1"/>
  <c r="B30" i="53"/>
  <c r="D7" i="52"/>
  <c r="C33" i="18"/>
  <c r="D6" s="1"/>
  <c r="D20" s="1"/>
  <c r="D33" s="1"/>
  <c r="M43" i="22"/>
  <c r="L43"/>
  <c r="K43"/>
  <c r="J43"/>
  <c r="F64" i="21"/>
  <c r="E27" i="53"/>
  <c r="D27"/>
  <c r="D62" i="19"/>
  <c r="D66" i="18"/>
  <c r="D133" i="9"/>
  <c r="E84" i="7"/>
  <c r="E111" s="1"/>
  <c r="D14" i="5"/>
  <c r="E10" i="11" s="1"/>
  <c r="F13" i="5"/>
  <c r="E53" i="10" s="1"/>
  <c r="D13" i="5"/>
  <c r="E51" i="10" s="1"/>
  <c r="F11" i="5"/>
  <c r="E51" i="8" s="1"/>
  <c r="D12" i="5"/>
  <c r="E10" i="10" s="1"/>
  <c r="F8" i="5"/>
  <c r="E12" i="34" s="1"/>
  <c r="D11" i="5"/>
  <c r="E49" i="8" s="1"/>
  <c r="D9" i="5"/>
  <c r="E50" i="34" s="1"/>
  <c r="D10" i="5"/>
  <c r="E10" i="8" s="1"/>
  <c r="E8" i="5"/>
  <c r="E11" i="34" s="1"/>
  <c r="E51"/>
  <c r="G18" i="57" s="1"/>
  <c r="E10" i="34"/>
  <c r="D64" i="16"/>
  <c r="D62" i="15"/>
  <c r="D17" i="21"/>
  <c r="D73" i="34"/>
  <c r="D59" i="21"/>
  <c r="C133" i="9"/>
  <c r="D84" i="7"/>
  <c r="D111" s="1"/>
  <c r="D110" s="1"/>
  <c r="D6" i="54"/>
  <c r="D17" s="1"/>
  <c r="D30" s="1"/>
  <c r="C45" i="53"/>
  <c r="D37"/>
  <c r="D47" s="1"/>
  <c r="D60" s="1"/>
  <c r="C63"/>
  <c r="C29"/>
  <c r="C32" s="1"/>
  <c r="C31"/>
  <c r="D6"/>
  <c r="D16" s="1"/>
  <c r="D29" s="1"/>
  <c r="D37" i="19"/>
  <c r="D47" s="1"/>
  <c r="D60" s="1"/>
  <c r="C63"/>
  <c r="D6"/>
  <c r="D16" s="1"/>
  <c r="D29" s="1"/>
  <c r="C32"/>
  <c r="C67" i="18"/>
  <c r="D41"/>
  <c r="D51" s="1"/>
  <c r="D64" s="1"/>
  <c r="C36"/>
  <c r="C62" i="17"/>
  <c r="D37"/>
  <c r="D47" s="1"/>
  <c r="D60" s="1"/>
  <c r="C63"/>
  <c r="D6"/>
  <c r="D16" s="1"/>
  <c r="D29" s="1"/>
  <c r="C32"/>
  <c r="C65" i="16"/>
  <c r="D38"/>
  <c r="D49" s="1"/>
  <c r="D62" s="1"/>
  <c r="D6"/>
  <c r="D16" s="1"/>
  <c r="D30" s="1"/>
  <c r="C33"/>
  <c r="C63" i="15"/>
  <c r="D37"/>
  <c r="D47" s="1"/>
  <c r="D60" s="1"/>
  <c r="D6"/>
  <c r="D16" s="1"/>
  <c r="D29" s="1"/>
  <c r="C32"/>
  <c r="D39" i="14"/>
  <c r="D49" s="1"/>
  <c r="D62" s="1"/>
  <c r="C65"/>
  <c r="C31"/>
  <c r="C34" s="1"/>
  <c r="C37" i="11"/>
  <c r="D6" s="1"/>
  <c r="D24" s="1"/>
  <c r="D37" s="1"/>
  <c r="D48"/>
  <c r="C100"/>
  <c r="C76" i="10"/>
  <c r="D47" s="1"/>
  <c r="D63" s="1"/>
  <c r="D76" s="1"/>
  <c r="C36"/>
  <c r="D6" s="1"/>
  <c r="D23" s="1"/>
  <c r="D36" s="1"/>
  <c r="H87"/>
  <c r="C74" i="8"/>
  <c r="D45" s="1"/>
  <c r="D61" s="1"/>
  <c r="D74" s="1"/>
  <c r="C34"/>
  <c r="D6" s="1"/>
  <c r="D21" s="1"/>
  <c r="D34" s="1"/>
  <c r="E52" i="21"/>
  <c r="G47" i="34" s="1"/>
  <c r="C22"/>
  <c r="C35" s="1"/>
  <c r="B78"/>
  <c r="G57" i="3"/>
  <c r="D22" i="11"/>
  <c r="J34" i="24"/>
  <c r="J36" s="1"/>
  <c r="B80" i="11"/>
  <c r="B49" i="38"/>
  <c r="C40" i="12"/>
  <c r="C40" i="13"/>
  <c r="D132" i="7"/>
  <c r="D15" i="21"/>
  <c r="D52" s="1"/>
  <c r="D54" s="1"/>
  <c r="D21" i="10"/>
  <c r="E28" i="57"/>
  <c r="G73" i="13"/>
  <c r="E45"/>
  <c r="D97"/>
  <c r="B78" s="1"/>
  <c r="D21" i="12"/>
  <c r="D34" s="1"/>
  <c r="E6" s="1"/>
  <c r="D19"/>
  <c r="C120" i="7"/>
  <c r="E20" i="13"/>
  <c r="E20" i="8"/>
  <c r="G34" s="1"/>
  <c r="E60" i="12"/>
  <c r="G74" s="1"/>
  <c r="E21" i="34"/>
  <c r="G35" s="1"/>
  <c r="B40" i="11"/>
  <c r="B133" i="9"/>
  <c r="C84" i="7"/>
  <c r="C111" s="1"/>
  <c r="C132" s="1"/>
  <c r="C66"/>
  <c r="D95" i="12"/>
  <c r="B38" s="1"/>
  <c r="G33"/>
  <c r="F77" i="34"/>
  <c r="E78"/>
  <c r="E73"/>
  <c r="F17" i="21"/>
  <c r="G17" i="57"/>
  <c r="F76" i="13"/>
  <c r="F27" i="21"/>
  <c r="E32" i="3"/>
  <c r="E72" i="13"/>
  <c r="E77"/>
  <c r="F25" i="21"/>
  <c r="E77" i="12"/>
  <c r="F76"/>
  <c r="E30" i="3"/>
  <c r="E72" i="12"/>
  <c r="F24" i="21"/>
  <c r="E37" i="12"/>
  <c r="E29" i="3"/>
  <c r="E32" i="12"/>
  <c r="F36"/>
  <c r="E28" i="3"/>
  <c r="F23" i="21"/>
  <c r="E80" i="11"/>
  <c r="F79"/>
  <c r="E75"/>
  <c r="E35"/>
  <c r="F22" i="21"/>
  <c r="E27" i="3"/>
  <c r="F21" i="21"/>
  <c r="F20"/>
  <c r="F38" i="10"/>
  <c r="E72" i="8"/>
  <c r="F19" i="21"/>
  <c r="E24" i="3"/>
  <c r="F36" i="8"/>
  <c r="F18" i="21"/>
  <c r="E37" i="8"/>
  <c r="E23" i="3"/>
  <c r="D64" i="11"/>
  <c r="D77" s="1"/>
  <c r="D62"/>
  <c r="E60" i="8"/>
  <c r="E56" i="7"/>
  <c r="E20" i="12"/>
  <c r="E22" i="10"/>
  <c r="F36" i="13"/>
  <c r="F26" i="21"/>
  <c r="E31" i="3"/>
  <c r="E32" i="13"/>
  <c r="E37"/>
  <c r="D20" i="34"/>
  <c r="D19" i="8"/>
  <c r="D61" i="10"/>
  <c r="D61" i="12"/>
  <c r="D74" s="1"/>
  <c r="D59"/>
  <c r="D19" i="13"/>
  <c r="D21"/>
  <c r="D34" s="1"/>
  <c r="E23" i="11"/>
  <c r="E60" i="13"/>
  <c r="E61" s="1"/>
  <c r="E63" i="11"/>
  <c r="F20" i="5"/>
  <c r="E61" i="34" l="1"/>
  <c r="C97" i="10"/>
  <c r="F76" i="8"/>
  <c r="E26" i="3"/>
  <c r="E6" i="36"/>
  <c r="E20" s="1"/>
  <c r="E48" s="1"/>
  <c r="E49" s="1"/>
  <c r="D51"/>
  <c r="E6" i="38"/>
  <c r="E20" s="1"/>
  <c r="E48" s="1"/>
  <c r="E49" s="1"/>
  <c r="D51"/>
  <c r="K29" i="41"/>
  <c r="B30"/>
  <c r="K29" i="40"/>
  <c r="F30"/>
  <c r="D38" i="54"/>
  <c r="D48" s="1"/>
  <c r="D61" s="1"/>
  <c r="E38" s="1"/>
  <c r="E48" s="1"/>
  <c r="E61" s="1"/>
  <c r="E62" s="1"/>
  <c r="F39" i="11"/>
  <c r="E74" i="10"/>
  <c r="F78"/>
  <c r="E39"/>
  <c r="E25" i="3"/>
  <c r="E62" i="10"/>
  <c r="G76" s="1"/>
  <c r="D64" i="54"/>
  <c r="C98" i="11"/>
  <c r="C95" i="8"/>
  <c r="B115" i="7"/>
  <c r="E7" i="44"/>
  <c r="D19"/>
  <c r="E20" i="5"/>
  <c r="E115" i="7"/>
  <c r="F15" i="21"/>
  <c r="E110" i="7"/>
  <c r="F114"/>
  <c r="E20" i="3"/>
  <c r="G89" i="11"/>
  <c r="D20" i="5"/>
  <c r="E6" i="54"/>
  <c r="E17" s="1"/>
  <c r="E30" s="1"/>
  <c r="E31" s="1"/>
  <c r="D33"/>
  <c r="E37" i="53"/>
  <c r="E47" s="1"/>
  <c r="E60" s="1"/>
  <c r="E61" s="1"/>
  <c r="D63"/>
  <c r="E6"/>
  <c r="E16" s="1"/>
  <c r="E29" s="1"/>
  <c r="E30" s="1"/>
  <c r="D32"/>
  <c r="E37" i="19"/>
  <c r="E47" s="1"/>
  <c r="E60" s="1"/>
  <c r="E61" s="1"/>
  <c r="D63"/>
  <c r="E6"/>
  <c r="E16" s="1"/>
  <c r="E29" s="1"/>
  <c r="E30" s="1"/>
  <c r="D32"/>
  <c r="E41" i="18"/>
  <c r="E51" s="1"/>
  <c r="E64" s="1"/>
  <c r="E65" s="1"/>
  <c r="D67"/>
  <c r="D36"/>
  <c r="E6"/>
  <c r="E20" s="1"/>
  <c r="E33" s="1"/>
  <c r="E34" s="1"/>
  <c r="E37" i="17"/>
  <c r="E47" s="1"/>
  <c r="E60" s="1"/>
  <c r="E61" s="1"/>
  <c r="D63"/>
  <c r="D32"/>
  <c r="E6"/>
  <c r="E16" s="1"/>
  <c r="E29" s="1"/>
  <c r="E30" s="1"/>
  <c r="D65" i="16"/>
  <c r="E38"/>
  <c r="E49" s="1"/>
  <c r="E62" s="1"/>
  <c r="E63" s="1"/>
  <c r="E6"/>
  <c r="E16" s="1"/>
  <c r="E30" s="1"/>
  <c r="E31" s="1"/>
  <c r="D33"/>
  <c r="E37" i="15"/>
  <c r="E47" s="1"/>
  <c r="E60" s="1"/>
  <c r="E61" s="1"/>
  <c r="D63"/>
  <c r="D32"/>
  <c r="E6"/>
  <c r="E16" s="1"/>
  <c r="E29" s="1"/>
  <c r="E30" s="1"/>
  <c r="E39" i="14"/>
  <c r="E49" s="1"/>
  <c r="E62" s="1"/>
  <c r="E63" s="1"/>
  <c r="D65"/>
  <c r="D6"/>
  <c r="D18" s="1"/>
  <c r="D31" s="1"/>
  <c r="D98" i="11"/>
  <c r="G36"/>
  <c r="E6"/>
  <c r="E24" s="1"/>
  <c r="E41" s="1"/>
  <c r="E43" s="1"/>
  <c r="G86" i="13"/>
  <c r="G48" i="10"/>
  <c r="G87" i="34"/>
  <c r="G86" i="12"/>
  <c r="G49" i="11"/>
  <c r="C99" i="10"/>
  <c r="G124" i="7"/>
  <c r="G88" i="10"/>
  <c r="G46" i="13"/>
  <c r="G46" i="12"/>
  <c r="M47" i="21"/>
  <c r="M55" s="1"/>
  <c r="G46" i="8"/>
  <c r="G86"/>
  <c r="C97"/>
  <c r="D97"/>
  <c r="G73"/>
  <c r="E45"/>
  <c r="E61" s="1"/>
  <c r="E78" s="1"/>
  <c r="E80" s="1"/>
  <c r="C95" i="34"/>
  <c r="D6"/>
  <c r="D22" s="1"/>
  <c r="D35" s="1"/>
  <c r="E6" s="1"/>
  <c r="E22" s="1"/>
  <c r="E6" i="10"/>
  <c r="E23" s="1"/>
  <c r="E40" s="1"/>
  <c r="E42" s="1"/>
  <c r="E21" s="1"/>
  <c r="D97"/>
  <c r="B40" s="1"/>
  <c r="G35"/>
  <c r="C112" i="7"/>
  <c r="D7" s="1"/>
  <c r="D57" s="1"/>
  <c r="C110"/>
  <c r="G116"/>
  <c r="B15" i="21"/>
  <c r="B52" s="1"/>
  <c r="B54" s="1"/>
  <c r="G77" i="11"/>
  <c r="G37"/>
  <c r="G73" i="12"/>
  <c r="D97"/>
  <c r="B78" s="1"/>
  <c r="E45"/>
  <c r="E61" s="1"/>
  <c r="E78" s="1"/>
  <c r="E80" s="1"/>
  <c r="D95" i="8"/>
  <c r="G33"/>
  <c r="E6"/>
  <c r="E21" s="1"/>
  <c r="E38" s="1"/>
  <c r="E40" s="1"/>
  <c r="G34" i="12"/>
  <c r="E48" i="11"/>
  <c r="E64" s="1"/>
  <c r="E81" s="1"/>
  <c r="E83" s="1"/>
  <c r="D100"/>
  <c r="B81" s="1"/>
  <c r="G76"/>
  <c r="G75" i="34"/>
  <c r="G74" i="13"/>
  <c r="E6"/>
  <c r="E21" s="1"/>
  <c r="E38" s="1"/>
  <c r="E40" s="1"/>
  <c r="D95"/>
  <c r="B38" s="1"/>
  <c r="G33"/>
  <c r="D99" i="10"/>
  <c r="E47"/>
  <c r="E63" s="1"/>
  <c r="E80" s="1"/>
  <c r="E82" s="1"/>
  <c r="G75"/>
  <c r="G36"/>
  <c r="G112" i="7"/>
  <c r="G74" i="8"/>
  <c r="E78" i="13"/>
  <c r="E80" s="1"/>
  <c r="E59" s="1"/>
  <c r="E21" i="12"/>
  <c r="E38" s="1"/>
  <c r="E40" s="1"/>
  <c r="B80" i="10" l="1"/>
  <c r="B38" i="8"/>
  <c r="B41" i="11"/>
  <c r="B78" i="8"/>
  <c r="C133" i="7"/>
  <c r="E19" i="44"/>
  <c r="E31" i="34"/>
  <c r="E34" s="1"/>
  <c r="G34"/>
  <c r="D95"/>
  <c r="B39" s="1"/>
  <c r="E6" i="14"/>
  <c r="E18" s="1"/>
  <c r="E31" s="1"/>
  <c r="E32" s="1"/>
  <c r="D34"/>
  <c r="D112" i="7"/>
  <c r="D66"/>
  <c r="F24" i="3"/>
  <c r="G75" i="8"/>
  <c r="G19" i="21"/>
  <c r="H19" s="1"/>
  <c r="G83" i="8" s="1"/>
  <c r="E59"/>
  <c r="G77" i="10"/>
  <c r="K77" s="1"/>
  <c r="G21" i="21"/>
  <c r="H21" s="1"/>
  <c r="G85" i="10" s="1"/>
  <c r="F26" i="3"/>
  <c r="E61" i="10"/>
  <c r="H25" i="21"/>
  <c r="G83" i="12" s="1"/>
  <c r="G75"/>
  <c r="K75" s="1"/>
  <c r="G25" i="21"/>
  <c r="F30" i="3"/>
  <c r="E59" i="12"/>
  <c r="G23" i="21"/>
  <c r="H23"/>
  <c r="G86" i="11" s="1"/>
  <c r="F28" i="3"/>
  <c r="G78" i="11"/>
  <c r="K78" s="1"/>
  <c r="G26" i="21"/>
  <c r="H26"/>
  <c r="G43" i="13" s="1"/>
  <c r="G35"/>
  <c r="K35" s="1"/>
  <c r="F31" i="3"/>
  <c r="E19" i="13"/>
  <c r="G34" s="1"/>
  <c r="G36" s="1"/>
  <c r="G39" s="1"/>
  <c r="G35" i="12"/>
  <c r="H24" i="21"/>
  <c r="G43" i="12" s="1"/>
  <c r="G24" i="21"/>
  <c r="F29" i="3"/>
  <c r="F27"/>
  <c r="G22" i="21"/>
  <c r="H22" s="1"/>
  <c r="G46" i="11" s="1"/>
  <c r="G38"/>
  <c r="F23" i="3"/>
  <c r="G35" i="8"/>
  <c r="K35" s="1"/>
  <c r="G18" i="21"/>
  <c r="H18" s="1"/>
  <c r="G43" i="8" s="1"/>
  <c r="E19"/>
  <c r="F32" i="3"/>
  <c r="G75" i="13"/>
  <c r="K75" s="1"/>
  <c r="H27" i="21"/>
  <c r="G83" i="13" s="1"/>
  <c r="G27" i="21"/>
  <c r="G20"/>
  <c r="H20" s="1"/>
  <c r="G45" i="10" s="1"/>
  <c r="G37"/>
  <c r="K37" s="1"/>
  <c r="F25" i="3"/>
  <c r="G76" i="13"/>
  <c r="G79" s="1"/>
  <c r="E19" i="12"/>
  <c r="E22" i="11"/>
  <c r="E62"/>
  <c r="G79" l="1"/>
  <c r="G82" s="1"/>
  <c r="G78" i="10"/>
  <c r="G81" s="1"/>
  <c r="E21" i="3"/>
  <c r="E57" s="1"/>
  <c r="E38" i="34"/>
  <c r="E39" s="1"/>
  <c r="E41" s="1"/>
  <c r="F37"/>
  <c r="F16" i="21"/>
  <c r="F52" s="1"/>
  <c r="F54" s="1"/>
  <c r="E33" i="34"/>
  <c r="G76" i="12"/>
  <c r="G79" s="1"/>
  <c r="D133" i="7"/>
  <c r="B116" s="1"/>
  <c r="G111"/>
  <c r="E7"/>
  <c r="E57" s="1"/>
  <c r="K35" i="12"/>
  <c r="G36"/>
  <c r="G39" s="1"/>
  <c r="K38" i="11"/>
  <c r="G39"/>
  <c r="G42" s="1"/>
  <c r="K75" i="8"/>
  <c r="G76"/>
  <c r="G79" s="1"/>
  <c r="G38" i="10"/>
  <c r="G41" s="1"/>
  <c r="G36" i="8"/>
  <c r="G39" s="1"/>
  <c r="G36" i="34" l="1"/>
  <c r="G37" s="1"/>
  <c r="G40" s="1"/>
  <c r="F21" i="3"/>
  <c r="E20" i="34"/>
  <c r="G16" i="21"/>
  <c r="H16" s="1"/>
  <c r="G44" i="34" s="1"/>
  <c r="J38" i="24"/>
  <c r="J40" s="1"/>
  <c r="E66" i="7"/>
  <c r="E116"/>
  <c r="E118" s="1"/>
  <c r="E55" l="1"/>
  <c r="F20" i="3"/>
  <c r="G113" i="7"/>
  <c r="G15" i="21"/>
  <c r="H15" l="1"/>
  <c r="K113" i="7"/>
  <c r="G114"/>
  <c r="G117" s="1"/>
  <c r="G121" l="1"/>
  <c r="C62" i="34"/>
  <c r="C75" s="1"/>
  <c r="C97" l="1"/>
  <c r="D46"/>
  <c r="D62" s="1"/>
  <c r="D75" s="1"/>
  <c r="D97" l="1"/>
  <c r="B79" s="1"/>
  <c r="G74"/>
  <c r="E46"/>
  <c r="E62" s="1"/>
  <c r="E79" s="1"/>
  <c r="E81" s="1"/>
  <c r="E60" l="1"/>
  <c r="F22" i="3"/>
  <c r="F57" s="1"/>
  <c r="F58" s="1"/>
  <c r="G15" i="57"/>
  <c r="G22" s="1"/>
  <c r="G17" i="21"/>
  <c r="G52" s="1"/>
  <c r="M54" s="1"/>
  <c r="M56" s="1"/>
  <c r="G76" i="34"/>
  <c r="K76" s="1"/>
  <c r="M49" i="21" l="1"/>
  <c r="J49" s="1"/>
  <c r="M50"/>
  <c r="J50" s="1"/>
  <c r="E23" i="57"/>
  <c r="D24"/>
  <c r="F33" s="1"/>
  <c r="F81" i="34" s="1"/>
  <c r="G77"/>
  <c r="G80" s="1"/>
  <c r="H17" i="21"/>
  <c r="G84" i="34" l="1"/>
  <c r="H52" i="21"/>
  <c r="G29" i="57"/>
  <c r="E30" s="1"/>
  <c r="D31" s="1"/>
  <c r="G86" i="34" l="1"/>
  <c r="G46"/>
  <c r="G123" i="7"/>
  <c r="G87" i="10"/>
  <c r="G45" i="12"/>
  <c r="G88" i="11"/>
  <c r="G45" i="13"/>
  <c r="M60" i="21"/>
  <c r="G45" i="8"/>
  <c r="G48" i="11"/>
  <c r="G85" i="12"/>
  <c r="G85" i="13"/>
  <c r="G85" i="8"/>
  <c r="G47" i="10"/>
</calcChain>
</file>

<file path=xl/sharedStrings.xml><?xml version="1.0" encoding="utf-8"?>
<sst xmlns="http://schemas.openxmlformats.org/spreadsheetml/2006/main" count="2609" uniqueCount="1154">
  <si>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</si>
  <si>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</si>
  <si>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</si>
  <si>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Outstanding Indebtedness, January 1:</t>
  </si>
  <si>
    <t>From the League of Municipalities' Budget Tips (Special City and County Highway Fund):</t>
  </si>
  <si>
    <t>Attest:_____________________,</t>
  </si>
  <si>
    <t>7. Added four single pages for no tax levy fund page.</t>
  </si>
  <si>
    <t xml:space="preserve">Cities can use the city.xls, city1.xls, city2.xls, city3.xls or city4.xls files.   You must choose a form that meets the needs for the number of funds.  If you don't need all the funds, just leave the pages blank and number the completed pages sequentially. </t>
  </si>
  <si>
    <t>Allocation of Motor, Recreational, 16/20M Vehicle Tax &amp; Slider</t>
  </si>
  <si>
    <t>Funds</t>
  </si>
  <si>
    <t>Budget Authority</t>
  </si>
  <si>
    <t xml:space="preserve">expenditure amounts should reflect the amended </t>
  </si>
  <si>
    <t>expenditure amounts.</t>
  </si>
  <si>
    <t>Neighborhood Revitalization Rebate</t>
  </si>
  <si>
    <t>Miscellaneous</t>
  </si>
  <si>
    <t>11. Added Neighborhood Revitalization, LAVTR, City and County Revenue Sharing, and Slider to the input page and to the General Fund page. Added NR to all tax levy fund pages.</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</si>
  <si>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</si>
  <si>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</si>
  <si>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</si>
  <si>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Enter City Name (City of)</t>
  </si>
  <si>
    <t>Enter County Name followed by "County"</t>
  </si>
  <si>
    <t>Cash Balance Jan 1</t>
  </si>
  <si>
    <t>***If you are merely leasing/renting with no intent to purchase, do not list--such transactions are not lease-purchases.</t>
  </si>
  <si>
    <t>Employee Benefits</t>
  </si>
  <si>
    <t xml:space="preserve">Employee Benefits </t>
  </si>
  <si>
    <t>21. Added four single no levy fund pages and 4 non-budgeted pages.</t>
  </si>
  <si>
    <t>22. Added question on Certificate page about the ordinance.</t>
  </si>
  <si>
    <t>23. Added note to the non-budgeted fund pages to ensure the amounts agree.</t>
  </si>
  <si>
    <t>24. Added to instructions about non-appropriated balances being limited to 5%.</t>
  </si>
  <si>
    <t>25. Added warning "Exceeds 5%" on all fund pages for the non-appropriated balance.</t>
  </si>
  <si>
    <t>26. Added Neighborhood Revitalization table and added links to all tax levy fund pages.</t>
  </si>
  <si>
    <t>27. Added to the instructions about neighborhood revitalization.</t>
  </si>
  <si>
    <t>28. Added to all budgeted fund pages the budget authority for the actual year, budget violation, and cash violation.</t>
  </si>
  <si>
    <t>29. Added instruction on the addition for item 29.</t>
  </si>
  <si>
    <t>33. Added 'excluding oil, gas, and mobile homes' to lines 8 and 14 on Clerks budget info on tab inputoth.</t>
  </si>
  <si>
    <t>30. Added block on the certificate page for the page number of the neighborhood revit.</t>
  </si>
  <si>
    <t>31. Change Certificate page total mill rate from 0 to blank.</t>
  </si>
  <si>
    <t>32. Expanded on the preparation of budget note 11a for instructions for the Notice of Budget Hearing.</t>
  </si>
  <si>
    <t>The following were changed to this spreadsheet on 5/08/08</t>
  </si>
  <si>
    <t>1. Instruction sheet #9a last line changed from 'shown be shown' to 'should be shown'.</t>
  </si>
  <si>
    <t>2. Changed the Transfers tab footer from 'Page No. 5' to 'Page No. 4'.</t>
  </si>
  <si>
    <r>
      <t>3. Changed on all Non-Budgeted Funds forms from 'Only the actual budget year shown' to '</t>
    </r>
    <r>
      <rPr>
        <i/>
        <sz val="12"/>
        <rFont val="Times New Roman"/>
        <family val="1"/>
      </rPr>
      <t>Only the actual budget year for YYYY is to be shown</t>
    </r>
    <r>
      <rPr>
        <sz val="12"/>
        <rFont val="Times New Roman"/>
        <family val="1"/>
      </rPr>
      <t>'.</t>
    </r>
  </si>
  <si>
    <t>4. Budget Summary change line from 'Proposed Budget Expenditures' to read 'Proposed Budget YYYY Expenditures'.</t>
  </si>
  <si>
    <t>5.Changed Legend line #32 from 'note 10' to read 'note 11a'.</t>
  </si>
  <si>
    <t>6. All the above pages revision date were changed.</t>
  </si>
  <si>
    <t>The following were changed to this spreadsheet on 6/30/08</t>
  </si>
  <si>
    <t>1. Changed the link on Non-BudD to have the correct fund names picked up from inputpryr.</t>
  </si>
  <si>
    <t>Debt Service</t>
  </si>
  <si>
    <t>(Note: Should agree with general sub-totals.)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</si>
  <si>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</si>
  <si>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</si>
  <si>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</si>
  <si>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</si>
  <si>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</si>
  <si>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</si>
  <si>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made the estimate rebate round the figures to whole dollars.</t>
  </si>
  <si>
    <t xml:space="preserve">7. Instruction page have changed all reference for Bond &amp; Interest to Debt Service. </t>
  </si>
  <si>
    <t>8. Added to the instruction page lines 10a - 10c to provide a little more insight for the Neighborhood Revitalization rebate.</t>
  </si>
  <si>
    <r>
      <t>3a. Made the total expenditures block for the actual and current year to turn '</t>
    </r>
    <r>
      <rPr>
        <sz val="12"/>
        <color indexed="10"/>
        <rFont val="Times New Roman"/>
        <family val="1"/>
      </rPr>
      <t>Red</t>
    </r>
    <r>
      <rPr>
        <sz val="12"/>
        <rFont val="Times New Roman"/>
        <family val="1"/>
      </rPr>
      <t>' if violation occurs.</t>
    </r>
  </si>
  <si>
    <t>4. All tax levy fund pages abbreviated the non-appropriated, total expenditures/non-appropriated, and delinquency computation rate.</t>
  </si>
  <si>
    <t>4. Changed foot note to reflect the changes made on 7/1/08 to the above tabs.</t>
  </si>
  <si>
    <t>9. Added 2b to explain how to delete delinquency rate from tax levy fund pages.</t>
  </si>
  <si>
    <t>10. Changed the Bond &amp; Interest tab (B&amp;I) to Debt Service tab (DebtService).</t>
  </si>
  <si>
    <t>11. Changed the revised date on all pages changed.</t>
  </si>
  <si>
    <t>The following were changed to this spreadsheet on 8/21/08</t>
  </si>
  <si>
    <t xml:space="preserve">Ad Valorem Tax </t>
  </si>
  <si>
    <t>The General fund has a detail page (gendetail) which can be used to disclose more insight of the expenditures by a department.  The expenditures categories can be changed or additional lines can be added if needed.  If used, ensure the amounts agree with the General fund page amounts.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</si>
  <si>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</si>
  <si>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7/01/08</t>
  </si>
  <si>
    <t>1. Added instructions to 9f for the NonBudA to NonBudD tabs explaining about negative cash balance.</t>
  </si>
  <si>
    <t>2. Changed the formula for unencumbered cash balances for NonBudA to NonBudD to show a negative balance.</t>
  </si>
  <si>
    <t>3. Added box under unencumbered cash balance for NonBudA to NonBudD to reflect a negative ending cash balance.</t>
  </si>
  <si>
    <t xml:space="preserve">General Instructions </t>
  </si>
  <si>
    <t>Input sheet for City2.XLS budget form</t>
  </si>
  <si>
    <t>Fund Names:</t>
  </si>
  <si>
    <t>Statute</t>
  </si>
  <si>
    <t>General</t>
  </si>
  <si>
    <t>Fund name for all funds with a tax levy:</t>
  </si>
  <si>
    <t>Total</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</si>
  <si>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</si>
  <si>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</si>
  <si>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</si>
  <si>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</si>
  <si>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</si>
  <si>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</si>
  <si>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</si>
  <si>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</si>
  <si>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</si>
  <si>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</si>
  <si>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</si>
  <si>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</si>
  <si>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</si>
  <si>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</si>
  <si>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</si>
  <si>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</si>
  <si>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</si>
  <si>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</si>
  <si>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</si>
  <si>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</si>
  <si>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</si>
  <si>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</si>
  <si>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</si>
  <si>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</si>
  <si>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</si>
  <si>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</si>
  <si>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</si>
  <si>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</si>
  <si>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</si>
  <si>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</si>
  <si>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</si>
  <si>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</si>
  <si>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</si>
  <si>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</si>
  <si>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</si>
  <si>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</si>
  <si>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</si>
  <si>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</si>
  <si>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</si>
  <si>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</si>
  <si>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</si>
  <si>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</si>
  <si>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</si>
  <si>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</si>
  <si>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</si>
  <si>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</si>
  <si>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</si>
  <si>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</si>
  <si>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</si>
  <si>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</si>
  <si>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</si>
  <si>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</si>
  <si>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</si>
  <si>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</si>
  <si>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</si>
  <si>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</si>
  <si>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</si>
  <si>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</si>
  <si>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</si>
  <si>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</si>
  <si>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</si>
  <si>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</si>
  <si>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</si>
  <si>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</si>
  <si>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</si>
  <si>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</si>
  <si>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</si>
  <si>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</si>
  <si>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</si>
  <si>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</si>
  <si>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</si>
  <si>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</si>
  <si>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</si>
  <si>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</si>
  <si>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</si>
  <si>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</si>
  <si>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</si>
  <si>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</si>
  <si>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</si>
  <si>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</si>
  <si>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</si>
  <si>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</si>
  <si>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</si>
  <si>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</si>
  <si>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</si>
  <si>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</si>
  <si>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</si>
  <si>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To print the spreadsheets, you can either print one sheet at a time or all of the sheets at once.</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</si>
  <si>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</si>
  <si>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</si>
  <si>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</si>
  <si>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</si>
  <si>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</si>
  <si>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</si>
  <si>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</si>
  <si>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</si>
  <si>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</si>
  <si>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</si>
  <si>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</si>
  <si>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</si>
  <si>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</si>
  <si>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</si>
  <si>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</si>
  <si>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</si>
  <si>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</si>
  <si>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</si>
  <si>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</si>
  <si>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</si>
  <si>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</si>
  <si>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</si>
  <si>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</si>
  <si>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</si>
  <si>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</si>
  <si>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</si>
  <si>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</si>
  <si>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</si>
  <si>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</si>
  <si>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</si>
  <si>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</si>
  <si>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</si>
  <si>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</si>
  <si>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</si>
  <si>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</si>
  <si>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</si>
  <si>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</si>
  <si>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</si>
  <si>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</si>
  <si>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</si>
  <si>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</si>
  <si>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</si>
  <si>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</si>
  <si>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</si>
  <si>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</si>
  <si>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</si>
  <si>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</si>
  <si>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</si>
  <si>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</si>
  <si>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</si>
  <si>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</si>
  <si>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</si>
  <si>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</si>
  <si>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</si>
  <si>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</si>
  <si>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</si>
  <si>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</si>
  <si>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</si>
  <si>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</si>
  <si>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</si>
  <si>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</si>
  <si>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</si>
  <si>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</si>
  <si>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</si>
  <si>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 xml:space="preserve">Enter information  in all areas that are green if they apply to the budget you are preparing. </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</si>
  <si>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</si>
  <si>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</si>
  <si>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</si>
  <si>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</si>
  <si>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</si>
  <si>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</si>
  <si>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</si>
  <si>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</si>
  <si>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</si>
  <si>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</si>
  <si>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ATTEST: /s/ _________________</t>
  </si>
  <si>
    <t>City Clerk</t>
  </si>
  <si>
    <t>(SEAL)</t>
  </si>
  <si>
    <t>(Must be published and publication attached to budget)</t>
  </si>
  <si>
    <t xml:space="preserve">Mayor                    </t>
  </si>
  <si>
    <t>Current</t>
  </si>
  <si>
    <t>Proposed</t>
  </si>
  <si>
    <t>City 2 Spreadsheet Instructions</t>
  </si>
  <si>
    <t>Address:</t>
  </si>
  <si>
    <r>
      <t>1a. On line 2- 'Enter City Name' - In the green area, please start with "</t>
    </r>
    <r>
      <rPr>
        <b/>
        <sz val="12"/>
        <rFont val="Times New Roman"/>
        <family val="1"/>
      </rPr>
      <t>City of</t>
    </r>
    <r>
      <rPr>
        <sz val="12"/>
        <rFont val="Times New Roman"/>
        <family val="1"/>
      </rPr>
      <t xml:space="preserve">" then the name of the city. The green area will expand, so do not worry if the name would appear as not to fit the green area. </t>
    </r>
  </si>
  <si>
    <t>NON-BUDGETED FUNDS (A)</t>
  </si>
  <si>
    <t>(1) Fund Name:</t>
  </si>
  <si>
    <t>(2) Fund Name:</t>
  </si>
  <si>
    <t>(3) Fund Name:</t>
  </si>
  <si>
    <t>(4) Fund Name:</t>
  </si>
  <si>
    <t>(5) Fund Name:</t>
  </si>
  <si>
    <t xml:space="preserve">Unencumbered </t>
  </si>
  <si>
    <t>Cash Balance Dec 31</t>
  </si>
  <si>
    <t>NON-BUDGETED FUNDS (B)</t>
  </si>
  <si>
    <t>NON-BUDGETED FUNDS (C)</t>
  </si>
  <si>
    <t>NON-BUDGETED FUNDS (D)</t>
  </si>
  <si>
    <t>Territory Added: (Current Year Only)</t>
  </si>
  <si>
    <t>Neighborhood Revitalization</t>
  </si>
  <si>
    <t>16\20 M Vehicle Tax</t>
  </si>
  <si>
    <t>LAVTR</t>
  </si>
  <si>
    <t>City and County Revenue Sharing</t>
  </si>
  <si>
    <t xml:space="preserve">   </t>
  </si>
  <si>
    <t>Enter year being budgeted (YYYY)</t>
  </si>
  <si>
    <t>10-113</t>
  </si>
  <si>
    <t xml:space="preserve">  G.O. Bonds</t>
  </si>
  <si>
    <t xml:space="preserve">  Revenue Bonds</t>
  </si>
  <si>
    <t xml:space="preserve">  Other</t>
  </si>
  <si>
    <t xml:space="preserve">  Lease Purchase Principal</t>
  </si>
  <si>
    <t>Other (non-tax levy) fund names:</t>
  </si>
  <si>
    <t xml:space="preserve">City Official Title: </t>
  </si>
  <si>
    <t>Salaries &amp; Wages</t>
  </si>
  <si>
    <t>County Transfers Gas</t>
  </si>
  <si>
    <t>Ad Valorem</t>
  </si>
  <si>
    <t>Tax</t>
  </si>
  <si>
    <t>Beginning Amount</t>
  </si>
  <si>
    <t xml:space="preserve">of </t>
  </si>
  <si>
    <t>Outstanding</t>
  </si>
  <si>
    <t>Retirement</t>
  </si>
  <si>
    <t xml:space="preserve">Total Other </t>
  </si>
  <si>
    <t>Transfers</t>
  </si>
  <si>
    <t>Amount for</t>
  </si>
  <si>
    <t>Authorized by</t>
  </si>
  <si>
    <t>From:</t>
  </si>
  <si>
    <t>To:</t>
  </si>
  <si>
    <t xml:space="preserve"> Statute</t>
  </si>
  <si>
    <t>Adjustments</t>
  </si>
  <si>
    <t>Adjusted Totals</t>
  </si>
  <si>
    <t>Budgeted Fund</t>
  </si>
  <si>
    <t>adopt an ordinance to exceed this limit, publish the ordinance, and</t>
  </si>
  <si>
    <t>attach a copy of the published ordinance to this budget.</t>
  </si>
  <si>
    <t>Non-Budgeted Funds-C</t>
  </si>
  <si>
    <t>Non-Budgeted Funds-D</t>
  </si>
  <si>
    <t>Non-Budgeted Funds-B</t>
  </si>
  <si>
    <t>Non-Budgeted Funds-A</t>
  </si>
  <si>
    <t>Estimate</t>
  </si>
  <si>
    <t xml:space="preserve">Section Two.  After careful public deliberations, the governing body has determined that </t>
  </si>
  <si>
    <t xml:space="preserve">in order to maintain the public services that are essential for the citizens of this city, it will be </t>
  </si>
  <si>
    <t>budget.</t>
  </si>
  <si>
    <t>Single Non Tax Levy:</t>
  </si>
  <si>
    <t>Non-Budgeted (A):</t>
  </si>
  <si>
    <t>Non-Budgeted (B):</t>
  </si>
  <si>
    <t>Non-Budgeted (C):</t>
  </si>
  <si>
    <t>Non-Budgeted (D):</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</si>
  <si>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</si>
  <si>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</si>
  <si>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</si>
  <si>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</si>
  <si>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</si>
  <si>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</si>
  <si>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</si>
  <si>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</si>
  <si>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</si>
  <si>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</si>
  <si>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</si>
  <si>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Read these instructions carefully.  If after reviewing them you still have questions, call Municipal Services at 785-296-2311 or e-mail : armunis@da.ks.gov</t>
  </si>
  <si>
    <t>When the page numbers are entered/changed on the fund pages, the Certificate page will also be changed.</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</si>
  <si>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</si>
  <si>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</si>
  <si>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The blue areas indicated where the information comes from to complete the section input.</t>
  </si>
  <si>
    <t>1b.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</si>
  <si>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</si>
  <si>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</si>
  <si>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</si>
  <si>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</si>
  <si>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</si>
  <si>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</si>
  <si>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</si>
  <si>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</si>
  <si>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Budget Summary</t>
  </si>
  <si>
    <t>Is an Ordinance required  to be passed, published, and attached to the budget?</t>
  </si>
  <si>
    <t>**</t>
  </si>
  <si>
    <t>**Note: The two bold yellow figures should agree.</t>
  </si>
  <si>
    <t>**Note: These two block figures should agree.</t>
  </si>
  <si>
    <t>14. Added to instruction line 9c about the miscellaneous receipt for the proposed year takes into account the ad valorem taxes for the 10% Rule.</t>
  </si>
  <si>
    <t>13. Added instruction lines 9j to 9l for additional edits for budget authority.</t>
  </si>
  <si>
    <t>12. Changed instruction line 9a to reflect General Fund Detail (GenDetail) is linked to the General Fund (general) and that detail 'Page Total' amounts should agree to 'Sub-Total' on the General Fund page.</t>
  </si>
  <si>
    <t>7a. Added instruction line 4a to explain about no-fund warrants and temporary notes can be added to the debt service on the Computation to Determine Levy Limit.</t>
  </si>
  <si>
    <t>7b. Added instruction line 9d to explain more about the debt service fund page can included for debts.</t>
  </si>
  <si>
    <t>15. Added to instruction line 6 for using chartered ordinance number in place of statute reference.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</si>
  <si>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</si>
  <si>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</si>
  <si>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</si>
  <si>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</si>
  <si>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</si>
  <si>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</si>
  <si>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56 change from Budget Summary to Budget Certificate.</t>
  </si>
  <si>
    <t>The following were changed to this spreadsheet on 3/19/09</t>
  </si>
  <si>
    <t>1. Certificate page Bond &amp; Interest to Debt Service</t>
  </si>
  <si>
    <t>The following were changed to this spreadsheet on7/16/09</t>
  </si>
  <si>
    <t>1. Mvalloc tab, change table reference for each cell from 'D' to 'E'</t>
  </si>
  <si>
    <t>Valuation Factor:</t>
  </si>
  <si>
    <t>Neighborhood Revitalization Subj to Rebate:</t>
  </si>
  <si>
    <t>Neighborhood Revitalization factor:</t>
  </si>
  <si>
    <t>The following were changed to this spreadsheet on 10/2/09</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</si>
  <si>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</si>
  <si>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</si>
  <si>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</si>
  <si>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</si>
  <si>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</si>
  <si>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</si>
  <si>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</si>
  <si>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</si>
  <si>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</si>
  <si>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</si>
  <si>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</si>
  <si>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</si>
  <si>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</si>
  <si>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</si>
  <si>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</si>
  <si>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</si>
  <si>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</si>
  <si>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</si>
  <si>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</si>
  <si>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</si>
  <si>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</si>
  <si>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</si>
  <si>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</si>
  <si>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</si>
  <si>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</si>
  <si>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</si>
  <si>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</si>
  <si>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</si>
  <si>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</si>
  <si>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</si>
  <si>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</si>
  <si>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</si>
  <si>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</si>
  <si>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</si>
  <si>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</si>
  <si>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</si>
  <si>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</si>
  <si>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</si>
  <si>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</si>
  <si>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</si>
  <si>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</si>
  <si>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</si>
  <si>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</si>
  <si>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Page 1 - Total</t>
  </si>
  <si>
    <t>Page 1 -Total</t>
  </si>
  <si>
    <t>Page 2 -Total</t>
  </si>
  <si>
    <t xml:space="preserve">Grand Total </t>
  </si>
  <si>
    <t xml:space="preserve">           General Fund - Detail Page 1</t>
  </si>
  <si>
    <t xml:space="preserve">           General Fund - Detail Page 2</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</si>
  <si>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</si>
  <si>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</si>
  <si>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</si>
  <si>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</si>
  <si>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</si>
  <si>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</si>
  <si>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</si>
  <si>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</si>
  <si>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InputOth tab changed line A21 from Bond &amp; Interest to Debt Service</t>
  </si>
  <si>
    <t>10. Gen tab added eight additional detail lines and linked to the detail page</t>
  </si>
  <si>
    <t>11.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</si>
  <si>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</si>
  <si>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</si>
  <si>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</si>
  <si>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</si>
  <si>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</si>
  <si>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</si>
  <si>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</si>
  <si>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</si>
  <si>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</si>
  <si>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The following were changed to this spreadsheet on 12/08/09</t>
  </si>
  <si>
    <t>1. Instruction tab, added step 3 for 'inputBudSum'</t>
  </si>
  <si>
    <t>2. Added tab 'inputBudSum'</t>
  </si>
  <si>
    <t>3. Changed Budget Summary replacing the green areas for date/time/location so info comes from inputBudSum tab</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</si>
  <si>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</si>
  <si>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</si>
  <si>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</si>
  <si>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</si>
  <si>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</si>
  <si>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</si>
  <si>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</si>
  <si>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</si>
  <si>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</si>
  <si>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</si>
  <si>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</si>
  <si>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</si>
  <si>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</si>
  <si>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</si>
  <si>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</si>
  <si>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</si>
  <si>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</si>
  <si>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</si>
  <si>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</si>
  <si>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</si>
  <si>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</si>
  <si>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</si>
  <si>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</si>
  <si>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</si>
  <si>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</si>
  <si>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</si>
  <si>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</si>
  <si>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</si>
  <si>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</si>
  <si>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</si>
  <si>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</si>
  <si>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</si>
  <si>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</si>
  <si>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</si>
  <si>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</si>
  <si>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</si>
  <si>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</si>
  <si>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</si>
  <si>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</si>
  <si>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</si>
  <si>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</si>
  <si>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</si>
  <si>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</si>
  <si>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</si>
  <si>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</si>
  <si>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</si>
  <si>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</si>
  <si>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</si>
  <si>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</si>
  <si>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</si>
  <si>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</si>
  <si>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</si>
  <si>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</si>
  <si>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</si>
  <si>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</si>
  <si>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</si>
  <si>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</si>
  <si>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</si>
  <si>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</si>
  <si>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</si>
  <si>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</si>
  <si>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</si>
  <si>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</si>
  <si>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</si>
  <si>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</si>
  <si>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</si>
  <si>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</si>
  <si>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</si>
  <si>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</si>
  <si>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</si>
  <si>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</si>
  <si>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</si>
  <si>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</si>
  <si>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</si>
  <si>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</si>
  <si>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</si>
  <si>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</si>
  <si>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</si>
  <si>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</si>
  <si>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</si>
  <si>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</si>
  <si>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</si>
  <si>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</si>
  <si>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</si>
  <si>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</si>
  <si>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</si>
  <si>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</si>
  <si>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</si>
  <si>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</si>
  <si>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</si>
  <si>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</si>
  <si>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</si>
  <si>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</si>
  <si>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</si>
  <si>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</si>
  <si>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</si>
  <si>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</si>
  <si>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</si>
  <si>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</si>
  <si>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</si>
  <si>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</si>
  <si>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</si>
  <si>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</si>
  <si>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</si>
  <si>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</si>
  <si>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</si>
  <si>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</si>
  <si>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</si>
  <si>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</si>
  <si>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</si>
  <si>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</si>
  <si>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</si>
  <si>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</si>
  <si>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</si>
  <si>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</si>
  <si>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</si>
  <si>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</si>
  <si>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</si>
  <si>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</si>
  <si>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</si>
  <si>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</si>
  <si>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</si>
  <si>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</si>
  <si>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</si>
  <si>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</si>
  <si>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</si>
  <si>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</si>
  <si>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</si>
  <si>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</si>
  <si>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</si>
  <si>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</si>
  <si>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</si>
  <si>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</si>
  <si>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</si>
  <si>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</si>
  <si>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</si>
  <si>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</si>
  <si>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</si>
  <si>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</si>
  <si>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</si>
  <si>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</si>
  <si>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</si>
  <si>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</si>
  <si>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</si>
  <si>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</si>
  <si>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</si>
  <si>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</si>
  <si>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</si>
  <si>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</si>
  <si>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</si>
  <si>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</si>
  <si>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</si>
  <si>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</si>
  <si>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</si>
  <si>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</si>
  <si>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</si>
  <si>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</si>
  <si>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</si>
  <si>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</si>
  <si>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</si>
  <si>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</si>
  <si>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</si>
  <si>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</si>
  <si>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</si>
  <si>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</si>
  <si>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</si>
  <si>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</si>
  <si>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</si>
  <si>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</si>
  <si>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</si>
  <si>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</si>
  <si>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</si>
  <si>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</si>
  <si>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</si>
  <si>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</si>
  <si>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</si>
  <si>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</si>
  <si>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</si>
  <si>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</si>
  <si>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</si>
  <si>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</si>
  <si>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</si>
  <si>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</si>
  <si>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</si>
  <si>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</si>
  <si>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</si>
  <si>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</si>
  <si>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</si>
  <si>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</si>
  <si>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</si>
  <si>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</si>
  <si>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</si>
  <si>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</si>
  <si>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</si>
  <si>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</si>
  <si>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</si>
  <si>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</si>
  <si>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</si>
  <si>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</si>
  <si>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</si>
  <si>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</si>
  <si>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</si>
  <si>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</si>
  <si>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</si>
  <si>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</si>
  <si>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</si>
  <si>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</si>
  <si>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</si>
  <si>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</si>
  <si>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</si>
  <si>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</si>
  <si>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</si>
  <si>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</si>
  <si>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</si>
  <si>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budget year is linked to the Budget Summary. </t>
    </r>
    <r>
      <rPr>
        <b/>
        <sz val="12"/>
        <rFont val="Times New Roman"/>
        <family val="1"/>
      </rPr>
      <t>If the city does not have any debt, then on the first line enter 'none'.</t>
    </r>
  </si>
  <si>
    <r>
      <t xml:space="preserve">9.  Statement of Conditional Lease, Lease-Purchases and Certificate of Participation (lpform) must be completed for all transactions which the city intends to own the equipment at the end of the lease period.   Principal Balance Due for the actual year is linked to the Budget Summary page. </t>
    </r>
    <r>
      <rPr>
        <b/>
        <sz val="12"/>
        <rFont val="Times New Roman"/>
        <family val="1"/>
      </rPr>
      <t>If the city does not have any leases, then on the first line enter 'none'.</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</si>
  <si>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</si>
  <si>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12a. At the bottom of the page is a green shaded area, enter the page number.</t>
  </si>
  <si>
    <t>answering objections of taxpayers relating to the proposed use of all funds and the amount of ad valorem tax.</t>
  </si>
  <si>
    <t>4. Deleted lines on Budget Summary reference in #3</t>
  </si>
  <si>
    <t>the Neighborhood Revitalization Rebate table.</t>
  </si>
  <si>
    <t>The following were changed to this spreadsheet on 12/28/09</t>
  </si>
  <si>
    <t xml:space="preserve">7a. Transfers total are at the bottom of the schedule which are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</si>
  <si>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</si>
  <si>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t>7c. TransferStatutes tab provides statute reference for transfers which are not already identified.</t>
  </si>
  <si>
    <t>*Note:</t>
  </si>
  <si>
    <t>Expenditure</t>
  </si>
  <si>
    <t>Receipt</t>
  </si>
  <si>
    <t xml:space="preserve">Fund Transferred </t>
  </si>
  <si>
    <t>Fund Transferred</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</si>
  <si>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</si>
  <si>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</si>
  <si>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</si>
  <si>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</si>
  <si>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</si>
  <si>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</si>
  <si>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Delinquent Comp Rate:</t>
  </si>
  <si>
    <t>Non-Appropriated Balance</t>
  </si>
  <si>
    <t>Total Expenditure/Non-Appr Balance</t>
  </si>
  <si>
    <r>
      <t xml:space="preserve"> Subtotal detail (</t>
    </r>
    <r>
      <rPr>
        <sz val="12"/>
        <color indexed="10"/>
        <rFont val="Times New Roman"/>
        <family val="1"/>
      </rPr>
      <t>S</t>
    </r>
    <r>
      <rPr>
        <sz val="12"/>
        <color indexed="10"/>
        <rFont val="Times New Roman"/>
        <family val="1"/>
      </rPr>
      <t>hould agree with detail</t>
    </r>
    <r>
      <rPr>
        <sz val="12"/>
        <rFont val="Times New Roman"/>
        <family val="1"/>
      </rPr>
      <t>)</t>
    </r>
  </si>
  <si>
    <t/>
  </si>
  <si>
    <t>for Expenditures</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</si>
  <si>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</si>
  <si>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</si>
  <si>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</si>
  <si>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</si>
  <si>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</si>
  <si>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</si>
  <si>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</si>
  <si>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</si>
  <si>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</si>
  <si>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</si>
  <si>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</si>
  <si>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</si>
  <si>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</si>
  <si>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</si>
  <si>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</si>
  <si>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</si>
  <si>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</si>
  <si>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</si>
  <si>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</si>
  <si>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</si>
  <si>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</si>
  <si>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</si>
  <si>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</si>
  <si>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</si>
  <si>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</si>
  <si>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</si>
  <si>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</si>
  <si>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</si>
  <si>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</si>
  <si>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</si>
  <si>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</si>
  <si>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</si>
  <si>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</si>
  <si>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</si>
  <si>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</si>
  <si>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</si>
  <si>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</si>
  <si>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</si>
  <si>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</si>
  <si>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</si>
  <si>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</si>
  <si>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</si>
  <si>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</si>
  <si>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</si>
  <si>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</si>
  <si>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</si>
  <si>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</si>
  <si>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</si>
  <si>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</si>
  <si>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</si>
  <si>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</si>
  <si>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</si>
  <si>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</si>
  <si>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</si>
  <si>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</si>
  <si>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</si>
  <si>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</si>
  <si>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</si>
  <si>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</si>
  <si>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</si>
  <si>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</si>
  <si>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</si>
  <si>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</si>
  <si>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</si>
  <si>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</si>
  <si>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</si>
  <si>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</si>
  <si>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</si>
  <si>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</si>
  <si>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</si>
  <si>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</si>
  <si>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</si>
  <si>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</si>
  <si>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</si>
  <si>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</si>
  <si>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 </t>
    </r>
    <r>
      <rPr>
        <b/>
        <sz val="12"/>
        <rFont val="Times New Roman"/>
        <family val="1"/>
      </rPr>
      <t/>
    </r>
  </si>
  <si>
    <t xml:space="preserve">2. The information entered into the Input Other (inputOth) worksheet is obtained from the County Clerk, County Treasurer, League of Municipalities "Budget Tips", and the budget from two years ago(the year for actual year column on current budget).  After the information has been entered, please verify the data is correct. </t>
  </si>
  <si>
    <t>1. All pages removed the revision date</t>
  </si>
  <si>
    <t>2. All tax levy fund pages reduced the columns and revised the bottom of pages for see tabs</t>
  </si>
  <si>
    <t>3. Instruction tab added lines 4c (cert-rec), 11b (fund-rec), 11c (signature), 11d (last year mill rate), 11e (desired mill rate), 10a(project carryover), 10b (Desired Carryover), and 14 (protection)</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</si>
  <si>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</si>
  <si>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</si>
  <si>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</si>
  <si>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</si>
  <si>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</si>
  <si>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</si>
  <si>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The following were changed to this spreadsheet on 8/29/10</t>
  </si>
  <si>
    <t>The estimated value of one mill would be:</t>
  </si>
  <si>
    <t>Change in Ad Valorem Tax Revenue:</t>
  </si>
  <si>
    <t>What Mill Rate Would Be Desired?</t>
  </si>
  <si>
    <t>Official Title:</t>
  </si>
  <si>
    <t>City Clerk, City Treasurer, Mayor</t>
  </si>
  <si>
    <t>Compensating Use Tax</t>
  </si>
  <si>
    <t>Local Sales Tax</t>
  </si>
  <si>
    <t>Franchise Tax</t>
  </si>
  <si>
    <t>Licenses</t>
  </si>
  <si>
    <t>Desired Carryover Amount:</t>
  </si>
  <si>
    <t>Estimated Mill Rate Impact:</t>
  </si>
  <si>
    <t xml:space="preserve">Totals </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</si>
  <si>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</si>
  <si>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</si>
  <si>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</si>
  <si>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</si>
  <si>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</si>
  <si>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</si>
  <si>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</si>
  <si>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</si>
  <si>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</si>
  <si>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</si>
  <si>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</si>
  <si>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Does miscellanous exceed 10% Total Exp</t>
  </si>
  <si>
    <t>Does miscellaneous exceed 10% Total Expenditures</t>
  </si>
  <si>
    <t>The following were changed to this spreadsheet on 4/8/11</t>
  </si>
  <si>
    <t xml:space="preserve">1. Mvalloc tab cells c19, d19, and e19 changed formula from InputPrYrE31 to E30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</si>
  <si>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</si>
  <si>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</si>
  <si>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</si>
  <si>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</si>
  <si>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</si>
  <si>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</si>
  <si>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</si>
  <si>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</si>
  <si>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</si>
  <si>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</si>
  <si>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another tax levy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</si>
  <si>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</si>
  <si>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</si>
  <si>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</si>
  <si>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</si>
  <si>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</si>
  <si>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</si>
  <si>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</si>
  <si>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</si>
  <si>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</si>
  <si>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</si>
  <si>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</si>
  <si>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</si>
  <si>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</si>
  <si>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Added four more no tax levy fund pages</t>
  </si>
  <si>
    <t>29. Inputoth tab changed Actual Delinquency tax from -2 to -3</t>
  </si>
  <si>
    <t>The following were changed to this spreadsheet on 4/19/11</t>
  </si>
  <si>
    <t>1. Summ tab changed proposed year expenditure column to 'Budget Authority for Expenditures'</t>
  </si>
  <si>
    <t>The following were changed to this spreadsheet on 6/17/11</t>
  </si>
  <si>
    <t>1.Tabs levy page 9 to 13 changed cell reference for current ad valorem taxes</t>
  </si>
  <si>
    <t>2. Tab levy page 11 cell D7 change current budget authority reference</t>
  </si>
  <si>
    <t>3. Tab Cert corrected cells for the ad valorem column to link correctly with the fund pages</t>
  </si>
  <si>
    <t>The following were changed to this spreadsheet on 6/23/11</t>
  </si>
  <si>
    <t>1. Tabs no levy pages 19-21, changes to fund name and budget authority links</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</si>
  <si>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</si>
  <si>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</si>
  <si>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</si>
  <si>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</si>
  <si>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</si>
  <si>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</si>
  <si>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</si>
  <si>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</si>
  <si>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</si>
  <si>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</si>
  <si>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</si>
  <si>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</si>
  <si>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</si>
  <si>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</si>
  <si>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</si>
  <si>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</si>
  <si>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</si>
  <si>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</si>
  <si>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</si>
  <si>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</si>
  <si>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</si>
  <si>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</si>
  <si>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</si>
  <si>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</si>
  <si>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</si>
  <si>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</si>
  <si>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</si>
  <si>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</si>
  <si>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</si>
  <si>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</si>
  <si>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</si>
  <si>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</si>
  <si>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</si>
  <si>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</si>
  <si>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</si>
  <si>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Added KSA 14-568 to the transfer tab</t>
  </si>
  <si>
    <t>35. Certificate tab added a place for the email address of the assisted by</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</si>
  <si>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</si>
  <si>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</si>
  <si>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</si>
  <si>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</si>
  <si>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</si>
  <si>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</si>
  <si>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 xml:space="preserve"> Debt</t>
  </si>
  <si>
    <t>Type of</t>
  </si>
  <si>
    <t xml:space="preserve"> Purchased</t>
  </si>
  <si>
    <t>Item</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</si>
  <si>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</si>
  <si>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</si>
  <si>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Library</t>
  </si>
  <si>
    <t>12-1220</t>
  </si>
  <si>
    <t>Delinquency % used in this budget will be shown on all fund pages with a tax levy**</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</si>
  <si>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</si>
  <si>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</si>
  <si>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</si>
  <si>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</si>
  <si>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</si>
  <si>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</si>
  <si>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</si>
  <si>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</si>
  <si>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</si>
  <si>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</si>
  <si>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</si>
  <si>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</si>
  <si>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</si>
  <si>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</si>
  <si>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t>Expenditures Must Be Changed By:</t>
  </si>
  <si>
    <t>Mill Rate Comparison</t>
  </si>
  <si>
    <t>Expenditures Must Be Changed by: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</si>
  <si>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</si>
  <si>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</si>
  <si>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</si>
  <si>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</si>
  <si>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</si>
  <si>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</si>
  <si>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</si>
  <si>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</si>
  <si>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</si>
  <si>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</si>
  <si>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</si>
  <si>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</si>
  <si>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</si>
  <si>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</si>
  <si>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</si>
  <si>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</si>
  <si>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</si>
  <si>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</si>
  <si>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</si>
  <si>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</si>
  <si>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</si>
  <si>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</si>
  <si>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</si>
  <si>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</si>
  <si>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</si>
  <si>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</si>
  <si>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</si>
  <si>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</si>
  <si>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</si>
  <si>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</si>
  <si>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</si>
  <si>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</si>
  <si>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</si>
  <si>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</si>
  <si>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</si>
  <si>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</si>
  <si>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</si>
  <si>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</si>
  <si>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</si>
  <si>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</si>
  <si>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</si>
  <si>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</si>
  <si>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</si>
  <si>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</si>
  <si>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</si>
  <si>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</si>
  <si>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</si>
  <si>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</si>
  <si>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</si>
  <si>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</si>
  <si>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</si>
  <si>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</si>
  <si>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________________________   _________________________</t>
  </si>
  <si>
    <t>________________________  __________________________</t>
  </si>
  <si>
    <t>Email:</t>
  </si>
  <si>
    <t>Allocation of MVT, RVT, 16/20M Veh Tax</t>
  </si>
  <si>
    <t xml:space="preserve">Budget Tax Levy </t>
  </si>
  <si>
    <t xml:space="preserve">Prior Year </t>
  </si>
  <si>
    <t xml:space="preserve">Current Year </t>
  </si>
  <si>
    <t xml:space="preserve">Proposed Budget </t>
  </si>
  <si>
    <t>City 2 spreadsheets has General Fund page (general), Debt Service and Library tax levy fund page (DebtSvs-Library), 10 tax levy pages (levy page9 to levy page13), Special Highway page (Sp Hiway), 15 no levy fund pages (nolevypage15 to nolevypage21 with one under the Sp Hiway tab), 4 single no levy pages (SinNoLevy18-SinNolevy21), and 20 non-budgeted fund pages (NonBudA to NonBudD).</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</si>
  <si>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</si>
  <si>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</si>
  <si>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</si>
  <si>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</si>
  <si>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</si>
  <si>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</si>
  <si>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</si>
  <si>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</si>
  <si>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</si>
  <si>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</si>
  <si>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</si>
  <si>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</si>
  <si>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</si>
  <si>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</si>
  <si>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</si>
  <si>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</si>
  <si>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</si>
  <si>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</si>
  <si>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</si>
  <si>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</si>
  <si>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</si>
  <si>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</si>
  <si>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</si>
  <si>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</si>
  <si>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r>
      <t>12b. The table '</t>
    </r>
    <r>
      <rPr>
        <i/>
        <sz val="12"/>
        <rFont val="Times New Roman"/>
        <family val="1"/>
      </rPr>
      <t>Estimated Value Of One Mill</t>
    </r>
    <r>
      <rPr>
        <sz val="12"/>
        <rFont val="Times New Roman"/>
        <family val="1"/>
      </rPr>
      <t xml:space="preserve">' to show what 1 mill rate would generate in dollars for the municipality.  </t>
    </r>
  </si>
  <si>
    <r>
      <t>12c.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</si>
  <si>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</si>
  <si>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</si>
  <si>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12f.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</si>
  <si>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</si>
  <si>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</si>
  <si>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</si>
  <si>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</si>
  <si>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34. Certificate tab added a place for the email address of the assisted by</t>
  </si>
  <si>
    <t>35. Cert tab, link general page number to the general tab page number</t>
  </si>
  <si>
    <t>36. General tab, link receipt page number to expenditure page number</t>
  </si>
  <si>
    <t>37. GenDetail tab, link general receipt page number to detail page numbers</t>
  </si>
  <si>
    <t>11a. General Fund page and General Fund Detail page number are linked.   If the municipality has a Library Fund, the Library Grant page becomes number 7 and the General Fund page would be numbered 8, otherwise the General would be 7.</t>
  </si>
  <si>
    <t>5. The information for the Computation to Determine Limit Page (computation) comes from data on the Input Pages (inputpryr and inputOth) and Debt Service Page (DebtSvs-Library). If there is incorrect information on the Computation Page, please correct the source of the information from either the Input Pages or Debt Service Page. If you can not correct the error, please call us for assistance.</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</si>
  <si>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</si>
  <si>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</si>
  <si>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showing new table on Certificate page for Library tab</t>
  </si>
  <si>
    <t xml:space="preserve">peter.haxton@library.ks.gov </t>
  </si>
  <si>
    <t>The following were changed to this spreadsheet on 2/22/12</t>
  </si>
  <si>
    <t>1. Library Grant tab, updated State Library e-mail contact address</t>
  </si>
  <si>
    <t>The following were changed to this spreadsheet on 4/10/12</t>
  </si>
  <si>
    <t>1. Corrected addition computation in column D, inputPrYr tab</t>
  </si>
  <si>
    <t xml:space="preserve">Ad Valorem </t>
  </si>
  <si>
    <t xml:space="preserve">Recreational Vehicle Tax </t>
  </si>
  <si>
    <t xml:space="preserve">16/20M Vehicle Tax </t>
  </si>
  <si>
    <t>1.  Corrected the Library Grant Tab.  Added the line item Ad Valorem Tax under the first test, and corrected the links for the taxes on the Library Fund Page</t>
  </si>
  <si>
    <t>The following were changed to this spreadsheet on 6/13/12</t>
  </si>
  <si>
    <t>The following were changed to this spreadsheet on 7/11/12</t>
  </si>
  <si>
    <t xml:space="preserve">1.  Corrected the Debt Service/Library Fund Page.  Established the link (cell d47)  for current year for Ad Valorem taxes to the imput page for the Library Fund.  </t>
  </si>
  <si>
    <t>Transient Guest Tax</t>
  </si>
  <si>
    <t>Pet Licenses</t>
  </si>
  <si>
    <t>Liquor &amp; Beer Licenses</t>
  </si>
  <si>
    <t>Permits &amp; Licenses</t>
  </si>
  <si>
    <t>Cemetery</t>
  </si>
  <si>
    <t>General Admin</t>
  </si>
  <si>
    <t>Contractual Services</t>
  </si>
  <si>
    <t>Commodities</t>
  </si>
  <si>
    <t>Capital Outlay</t>
  </si>
  <si>
    <t>Tourism</t>
  </si>
  <si>
    <t>Fire</t>
  </si>
  <si>
    <t>Street Maintenance</t>
  </si>
  <si>
    <t>Animal Control</t>
  </si>
  <si>
    <t>Emergency Management</t>
  </si>
  <si>
    <t>Special Assessment</t>
  </si>
  <si>
    <t>Transfer from Electric</t>
  </si>
  <si>
    <t>Transfer from Water/Sewer</t>
  </si>
  <si>
    <t>Transfer from Capital Outlay</t>
  </si>
  <si>
    <t>Airport</t>
  </si>
  <si>
    <t>Park</t>
  </si>
  <si>
    <t>Law Enforcement</t>
  </si>
  <si>
    <t xml:space="preserve">Recreation </t>
  </si>
  <si>
    <t>State Aid</t>
  </si>
  <si>
    <t>SEK</t>
  </si>
  <si>
    <t>Special Parks &amp; Rec</t>
  </si>
  <si>
    <t>Electric</t>
  </si>
  <si>
    <t>Water</t>
  </si>
  <si>
    <t>Gas</t>
  </si>
  <si>
    <t>Refuse</t>
  </si>
  <si>
    <t>Combined Utility</t>
  </si>
  <si>
    <t>Economic Development</t>
  </si>
  <si>
    <t>Parkside # 1</t>
  </si>
  <si>
    <t>Parkside # 2</t>
  </si>
  <si>
    <t>Park Plaza North</t>
  </si>
  <si>
    <t>Rental of Property</t>
  </si>
  <si>
    <t>Gas Sales</t>
  </si>
  <si>
    <t>Permits</t>
  </si>
  <si>
    <t>State Reimbursement</t>
  </si>
  <si>
    <t>Receipts: Country Club</t>
  </si>
  <si>
    <t>Personal Service</t>
  </si>
  <si>
    <t>Admissions</t>
  </si>
  <si>
    <t>Tournament Fees</t>
  </si>
  <si>
    <t>Sponsor Fees</t>
  </si>
  <si>
    <t>Enrollment</t>
  </si>
  <si>
    <t>Concession Stand</t>
  </si>
  <si>
    <t>Contractual Service</t>
  </si>
  <si>
    <t>Fines</t>
  </si>
  <si>
    <t>Personal Services</t>
  </si>
  <si>
    <t>FICA</t>
  </si>
  <si>
    <t>KPERS</t>
  </si>
  <si>
    <t>BCBS</t>
  </si>
  <si>
    <t>Transfer from Water</t>
  </si>
  <si>
    <t>Transfer from Gas</t>
  </si>
  <si>
    <t>Intergovernmental Revenue</t>
  </si>
  <si>
    <t>Materials/Resources</t>
  </si>
  <si>
    <t>Grants</t>
  </si>
  <si>
    <t>Books</t>
  </si>
  <si>
    <t>Supplies</t>
  </si>
  <si>
    <t>Liquor Tax</t>
  </si>
  <si>
    <t>Franchise Fee</t>
  </si>
  <si>
    <t>Electric Sales</t>
  </si>
  <si>
    <t>Taps</t>
  </si>
  <si>
    <t>Electric Production</t>
  </si>
  <si>
    <t>Electric Distribution</t>
  </si>
  <si>
    <t>Electric Administration</t>
  </si>
  <si>
    <t>Transfer to Combined Utility</t>
  </si>
  <si>
    <t>Transfer to Employee Benefit</t>
  </si>
  <si>
    <t>Transfer to Bond &amp; Interest</t>
  </si>
  <si>
    <t>Water Sales</t>
  </si>
  <si>
    <t>Sewer Sales</t>
  </si>
  <si>
    <t>Water Taps</t>
  </si>
  <si>
    <t>Sewer Taps</t>
  </si>
  <si>
    <t>State Water Tax</t>
  </si>
  <si>
    <t>Water Production</t>
  </si>
  <si>
    <t>Water Distribution</t>
  </si>
  <si>
    <t>Pollution Control</t>
  </si>
  <si>
    <t>Water Administration</t>
  </si>
  <si>
    <t>Taps &amp; Connections</t>
  </si>
  <si>
    <t>Gas Distribution</t>
  </si>
  <si>
    <t>Gas Administration</t>
  </si>
  <si>
    <t>Transfer to Economic Development</t>
  </si>
  <si>
    <t>Transfer to Employee Benefits</t>
  </si>
  <si>
    <t>Refuse Service</t>
  </si>
  <si>
    <t>Refunds</t>
  </si>
  <si>
    <t>Loan Repayment</t>
  </si>
  <si>
    <t>City Sales Tax</t>
  </si>
  <si>
    <t>Anderson County Bond Payment</t>
  </si>
  <si>
    <t xml:space="preserve">Transfer from Electric </t>
  </si>
  <si>
    <t>Transfer from Water &amp; Sewer</t>
  </si>
  <si>
    <t>Debt Services</t>
  </si>
  <si>
    <t>Receipts from County</t>
  </si>
  <si>
    <t>HUD Subsidy</t>
  </si>
  <si>
    <t>Deposits</t>
  </si>
  <si>
    <t>Transfer from Park Plaza North</t>
  </si>
  <si>
    <t>Contracutal Services</t>
  </si>
  <si>
    <t>Gifts &amp; Memorials</t>
  </si>
  <si>
    <t>Recreation Center</t>
  </si>
  <si>
    <t>Memberships</t>
  </si>
  <si>
    <t>Greater KC Foundation</t>
  </si>
  <si>
    <t>City of Garnett</t>
  </si>
  <si>
    <t>Anderson County</t>
  </si>
  <si>
    <t>Cash Transfer</t>
  </si>
  <si>
    <t>Transfer to Parkside # 1</t>
  </si>
  <si>
    <t>Kristina L. Kinney</t>
  </si>
  <si>
    <t>Library Refunding</t>
  </si>
  <si>
    <t>Ball Complex Refunding</t>
  </si>
  <si>
    <t>Swimming Pool</t>
  </si>
  <si>
    <t>Utility Refunding</t>
  </si>
  <si>
    <t>2008 Refunding Issue</t>
  </si>
  <si>
    <t>Combined Utility-EKAE</t>
  </si>
  <si>
    <t>Housing # 1</t>
  </si>
  <si>
    <t>Housing # 2</t>
  </si>
  <si>
    <t>Housing # 3</t>
  </si>
  <si>
    <t>KDHE - Sewer</t>
  </si>
  <si>
    <t>KDHE - Water line</t>
  </si>
  <si>
    <t>KDHE - Water Tower</t>
  </si>
  <si>
    <t>Combined Utility-Sewer</t>
  </si>
  <si>
    <t>4.25-5.25</t>
  </si>
  <si>
    <t>2-2.5</t>
  </si>
  <si>
    <t>4-1 10-1</t>
  </si>
  <si>
    <t>2-1 8-1</t>
  </si>
  <si>
    <t>Pitney Bowes Postage Machine</t>
  </si>
  <si>
    <t>Trash Truck</t>
  </si>
  <si>
    <t>Fire Truck</t>
  </si>
  <si>
    <t>Skid Steer</t>
  </si>
  <si>
    <t>Electric Line Truck</t>
  </si>
  <si>
    <t>Transfer from Parkside # 2</t>
  </si>
  <si>
    <t>6:00 p.m.</t>
  </si>
  <si>
    <t>Water/Sewer</t>
  </si>
  <si>
    <t>Employee Benefit</t>
  </si>
  <si>
    <t>12-825d</t>
  </si>
  <si>
    <t>12-16, 102</t>
  </si>
  <si>
    <t>Commodity Tax</t>
  </si>
  <si>
    <t>Camping</t>
  </si>
  <si>
    <t xml:space="preserve">Pole Rental </t>
  </si>
  <si>
    <t>Transfer to Capital Outlay (Street)</t>
  </si>
  <si>
    <t>Community Development</t>
  </si>
  <si>
    <t>Reimb. - Kansas Guide</t>
  </si>
  <si>
    <t>Transfer from General</t>
  </si>
  <si>
    <t>Transfer from Refuse</t>
  </si>
  <si>
    <t>Trnasfer to General</t>
  </si>
  <si>
    <t>Enrollment Serv</t>
  </si>
  <si>
    <t>October 8, 2013</t>
  </si>
  <si>
    <t xml:space="preserve">General </t>
  </si>
  <si>
    <t>12-16,102</t>
  </si>
  <si>
    <t>12-1, 118</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</si>
</sst>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409]mmmm\ d\,\ yyyy;@"/>
    <numFmt numFmtId="174" formatCode="[$-409]h:mm\ AM/PM;@"/>
    <numFmt numFmtId="175" formatCode="&quot;$&quot;#,##0"/>
    <numFmt numFmtId="176" formatCode="&quot;$&quot;#,##0.00"/>
    <numFmt numFmtId="177" formatCode="#,###"/>
    <numFmt numFmtId="178" formatCode="0.0%"/>
    <numFmt numFmtId="179" formatCode="#,##0.000_);[Red]\(#,##0.000\)"/>
  </numFmts>
  <fonts count="59">
    <font>
      <sz val="12"/>
      <name val="Courier"/>
    </font>
    <font>
      <b/>
      <sz val="12"/>
      <name val="Courier"/>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8"/>
      <name val="Courier"/>
      <family val="3"/>
    </font>
    <font>
      <u/>
      <sz val="12"/>
      <color indexed="12"/>
      <name val="Courier"/>
      <family val="3"/>
    </font>
    <font>
      <sz val="8"/>
      <name val="Times New Roman"/>
      <family val="1"/>
    </font>
    <font>
      <b/>
      <u/>
      <sz val="12"/>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sz val="12"/>
      <color indexed="8"/>
      <name val="Times New Roman"/>
      <family val="1"/>
    </font>
    <font>
      <b/>
      <sz val="14"/>
      <name val="Times New Roman"/>
      <family val="1"/>
    </font>
    <font>
      <b/>
      <sz val="12"/>
      <color indexed="8"/>
      <name val="Times New Roman"/>
      <family val="1"/>
    </font>
    <font>
      <b/>
      <sz val="11"/>
      <name val="Times New Roman"/>
      <family val="1"/>
    </font>
    <font>
      <sz val="11"/>
      <color indexed="8"/>
      <name val="Times New Roman"/>
      <family val="1"/>
    </font>
    <font>
      <b/>
      <sz val="11"/>
      <color indexed="8"/>
      <name val="Times New Roman"/>
      <family val="1"/>
    </font>
    <font>
      <b/>
      <u/>
      <sz val="8"/>
      <color indexed="10"/>
      <name val="Times New Roman"/>
      <family val="1"/>
    </font>
    <font>
      <sz val="12"/>
      <name val="Courier"/>
      <family val="3"/>
    </font>
    <font>
      <sz val="12"/>
      <name val="Courier New"/>
      <family val="3"/>
    </font>
    <font>
      <b/>
      <u/>
      <sz val="12"/>
      <name val="Courier"/>
      <family val="3"/>
    </font>
    <font>
      <b/>
      <sz val="12"/>
      <name val="Courier"/>
      <family val="3"/>
    </font>
    <font>
      <i/>
      <sz val="12"/>
      <name val="Courier"/>
      <family val="3"/>
    </font>
    <font>
      <i/>
      <u/>
      <sz val="12"/>
      <name val="Courier"/>
      <family val="3"/>
    </font>
    <font>
      <sz val="12"/>
      <name val="Courier New"/>
      <family val="3"/>
    </font>
    <font>
      <b/>
      <u/>
      <sz val="8"/>
      <name val="Times New Roman"/>
      <family val="1"/>
    </font>
    <font>
      <sz val="9"/>
      <color indexed="10"/>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sz val="10"/>
      <name val="Times New Roman"/>
      <family val="1"/>
    </font>
    <font>
      <b/>
      <u/>
      <sz val="10"/>
      <name val="Times New Roman"/>
      <family val="1"/>
    </font>
    <font>
      <b/>
      <sz val="10"/>
      <name val="Times New Roman"/>
      <family val="1"/>
    </font>
    <font>
      <sz val="10"/>
      <color indexed="10"/>
      <name val="Times New Roman"/>
      <family val="1"/>
    </font>
    <font>
      <sz val="10"/>
      <name val="Courier"/>
      <family val="3"/>
    </font>
    <font>
      <u/>
      <sz val="12"/>
      <color indexed="10"/>
      <name val="Times New Roman"/>
      <family val="1"/>
    </font>
    <font>
      <sz val="11"/>
      <color theme="1"/>
      <name val="Calibri"/>
      <family val="2"/>
      <scheme val="minor"/>
    </font>
    <font>
      <u/>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0"/>
      <color rgb="FFFF0000"/>
      <name val="Times New Roman"/>
      <family val="1"/>
    </font>
    <font>
      <sz val="12"/>
      <color rgb="FFFF0000"/>
      <name val="Times New Roman"/>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b/>
      <u/>
      <sz val="12"/>
      <color rgb="FFFF0000"/>
      <name val="Times New Roman"/>
      <family val="1"/>
    </font>
  </fonts>
  <fills count="19">
    <fill>
      <patternFill patternType="none"/>
    </fill>
    <fill>
      <patternFill patternType="gray125"/>
    </fill>
    <fill>
      <patternFill patternType="solid">
        <fgColor indexed="11"/>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13"/>
        <bgColor indexed="64"/>
      </patternFill>
    </fill>
    <fill>
      <patternFill patternType="solid">
        <fgColor indexed="34"/>
        <bgColor indexed="64"/>
      </patternFill>
    </fill>
    <fill>
      <patternFill patternType="solid">
        <fgColor rgb="FFFFFF99"/>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314">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7"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8" fillId="0" borderId="0"/>
    <xf numFmtId="0" fontId="28" fillId="0" borderId="0"/>
    <xf numFmtId="0" fontId="28" fillId="0" borderId="0"/>
    <xf numFmtId="0" fontId="2" fillId="0" borderId="0"/>
    <xf numFmtId="0" fontId="2"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8" fillId="0" borderId="0"/>
    <xf numFmtId="0" fontId="28"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33" fillId="0" borderId="0"/>
    <xf numFmtId="0" fontId="28"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8" fillId="0" borderId="0"/>
    <xf numFmtId="0" fontId="28" fillId="0" borderId="0"/>
    <xf numFmtId="0" fontId="27"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8" fillId="0" borderId="0"/>
    <xf numFmtId="0" fontId="28" fillId="0" borderId="0"/>
    <xf numFmtId="0" fontId="28"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8"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8" fillId="0" borderId="0"/>
    <xf numFmtId="0" fontId="28"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7"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cellStyleXfs>
  <cellXfs count="860">
    <xf numFmtId="0" fontId="0" fillId="0" borderId="0" xfId="0"/>
    <xf numFmtId="0" fontId="4" fillId="0" borderId="0" xfId="0" applyFont="1"/>
    <xf numFmtId="0" fontId="4" fillId="0" borderId="0" xfId="0" applyFont="1" applyProtection="1">
      <protection locked="0"/>
    </xf>
    <xf numFmtId="0" fontId="4" fillId="2" borderId="1" xfId="0" applyFont="1" applyFill="1" applyBorder="1" applyProtection="1">
      <protection locked="0"/>
    </xf>
    <xf numFmtId="0" fontId="4" fillId="3" borderId="2" xfId="0" applyFont="1" applyFill="1" applyBorder="1" applyProtection="1"/>
    <xf numFmtId="0" fontId="4" fillId="3" borderId="0" xfId="0" applyFont="1" applyFill="1" applyProtection="1"/>
    <xf numFmtId="0" fontId="4" fillId="3" borderId="0" xfId="0" applyFont="1" applyFill="1" applyAlignment="1" applyProtection="1">
      <alignment horizontal="right"/>
    </xf>
    <xf numFmtId="37" fontId="4" fillId="3" borderId="0" xfId="0" applyNumberFormat="1" applyFont="1" applyFill="1" applyAlignment="1" applyProtection="1">
      <alignment horizontal="right"/>
    </xf>
    <xf numFmtId="0" fontId="4" fillId="3" borderId="0" xfId="0" applyFont="1" applyFill="1" applyAlignment="1" applyProtection="1">
      <alignment horizontal="centerContinuous"/>
    </xf>
    <xf numFmtId="0" fontId="4" fillId="3" borderId="3" xfId="0" applyFont="1" applyFill="1" applyBorder="1" applyProtection="1"/>
    <xf numFmtId="37" fontId="4" fillId="3" borderId="0" xfId="0" applyNumberFormat="1" applyFont="1" applyFill="1" applyProtection="1"/>
    <xf numFmtId="0" fontId="3" fillId="3" borderId="0" xfId="313" applyFont="1" applyFill="1" applyAlignment="1" applyProtection="1">
      <alignment horizontal="centerContinuous"/>
    </xf>
    <xf numFmtId="0" fontId="4" fillId="3" borderId="3" xfId="0" applyFont="1" applyFill="1" applyBorder="1" applyAlignment="1" applyProtection="1">
      <alignment horizontal="center"/>
    </xf>
    <xf numFmtId="0" fontId="4" fillId="3" borderId="4" xfId="0" applyFont="1" applyFill="1" applyBorder="1" applyAlignment="1" applyProtection="1">
      <alignment horizontal="center"/>
    </xf>
    <xf numFmtId="0" fontId="4" fillId="3" borderId="5" xfId="0" applyFont="1" applyFill="1" applyBorder="1" applyAlignment="1" applyProtection="1">
      <alignment horizontal="center"/>
    </xf>
    <xf numFmtId="14" fontId="4" fillId="3" borderId="5" xfId="0" quotePrefix="1" applyNumberFormat="1" applyFont="1" applyFill="1" applyBorder="1" applyAlignment="1" applyProtection="1">
      <alignment horizontal="center"/>
    </xf>
    <xf numFmtId="0" fontId="4" fillId="3" borderId="2" xfId="0" applyFont="1" applyFill="1" applyBorder="1" applyAlignment="1" applyProtection="1">
      <alignment horizontal="fill"/>
    </xf>
    <xf numFmtId="0" fontId="3" fillId="3" borderId="0" xfId="0" applyFont="1" applyFill="1" applyAlignment="1" applyProtection="1">
      <alignment horizontal="left"/>
    </xf>
    <xf numFmtId="0" fontId="7" fillId="3" borderId="5" xfId="0" applyFont="1" applyFill="1" applyBorder="1" applyAlignment="1" applyProtection="1">
      <alignment horizontal="center"/>
    </xf>
    <xf numFmtId="0" fontId="4" fillId="3" borderId="0" xfId="0" applyFont="1" applyFill="1" applyAlignment="1" applyProtection="1">
      <alignment horizontal="center"/>
    </xf>
    <xf numFmtId="0" fontId="4" fillId="3" borderId="0" xfId="0" applyNumberFormat="1" applyFont="1" applyFill="1" applyAlignment="1" applyProtection="1">
      <alignment horizontal="right"/>
    </xf>
    <xf numFmtId="2" fontId="4" fillId="2" borderId="1" xfId="0" applyNumberFormat="1" applyFont="1" applyFill="1" applyBorder="1" applyAlignment="1" applyProtection="1">
      <alignment horizontal="center"/>
      <protection locked="0"/>
    </xf>
    <xf numFmtId="3" fontId="4" fillId="2" borderId="1"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0" fontId="4" fillId="0" borderId="0" xfId="0" applyFont="1" applyAlignment="1">
      <alignment vertical="justify" wrapText="1"/>
    </xf>
    <xf numFmtId="0" fontId="4" fillId="0" borderId="0" xfId="0" applyFont="1" applyAlignment="1">
      <alignment horizontal="left" vertical="justify" wrapText="1"/>
    </xf>
    <xf numFmtId="0" fontId="4" fillId="0" borderId="0" xfId="0" applyFont="1" applyAlignment="1">
      <alignment horizontal="left" vertical="justify"/>
    </xf>
    <xf numFmtId="3" fontId="3" fillId="4" borderId="6" xfId="0" applyNumberFormat="1" applyFont="1" applyFill="1" applyBorder="1" applyAlignment="1" applyProtection="1">
      <alignment horizontal="center"/>
    </xf>
    <xf numFmtId="14" fontId="4" fillId="2" borderId="1" xfId="0" applyNumberFormat="1" applyFont="1" applyFill="1" applyBorder="1" applyAlignment="1" applyProtection="1">
      <alignment horizontal="center"/>
      <protection locked="0"/>
    </xf>
    <xf numFmtId="0" fontId="4" fillId="5" borderId="0" xfId="312" applyFont="1" applyFill="1" applyProtection="1"/>
    <xf numFmtId="0" fontId="4" fillId="5" borderId="0" xfId="0" applyFont="1" applyFill="1" applyProtection="1"/>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6" fillId="0" borderId="0" xfId="0" applyFont="1" applyAlignment="1">
      <alignment vertical="center" wrapText="1"/>
    </xf>
    <xf numFmtId="0" fontId="4" fillId="6"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0" borderId="0" xfId="0" applyFont="1" applyFill="1" applyAlignment="1">
      <alignment vertical="center" wrapText="1"/>
    </xf>
    <xf numFmtId="0" fontId="4" fillId="7"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37" fontId="4" fillId="6" borderId="2" xfId="0" applyNumberFormat="1" applyFont="1" applyFill="1" applyBorder="1" applyAlignment="1" applyProtection="1">
      <alignment horizontal="left" vertical="center"/>
      <protection locked="0"/>
    </xf>
    <xf numFmtId="0" fontId="4" fillId="6" borderId="2" xfId="0" applyFont="1" applyFill="1" applyBorder="1" applyAlignment="1" applyProtection="1">
      <alignment vertical="center"/>
    </xf>
    <xf numFmtId="37" fontId="4" fillId="6" borderId="7" xfId="0" applyNumberFormat="1" applyFont="1" applyFill="1" applyBorder="1" applyAlignment="1" applyProtection="1">
      <alignment horizontal="left" vertical="center"/>
      <protection locked="0"/>
    </xf>
    <xf numFmtId="0" fontId="4" fillId="6" borderId="7"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0" fontId="3" fillId="8" borderId="0" xfId="0" applyFont="1" applyFill="1" applyAlignment="1" applyProtection="1">
      <alignment vertical="center"/>
    </xf>
    <xf numFmtId="0" fontId="4" fillId="8" borderId="0" xfId="0" applyFont="1" applyFill="1" applyAlignment="1" applyProtection="1">
      <alignment vertical="center"/>
    </xf>
    <xf numFmtId="37" fontId="3" fillId="9" borderId="0" xfId="0" applyNumberFormat="1" applyFont="1" applyFill="1" applyAlignment="1" applyProtection="1">
      <alignment horizontal="left" vertical="center"/>
    </xf>
    <xf numFmtId="0" fontId="4" fillId="9" borderId="0" xfId="0" applyFont="1" applyFill="1" applyAlignment="1" applyProtection="1">
      <alignment vertical="center"/>
    </xf>
    <xf numFmtId="0" fontId="4" fillId="7" borderId="3"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7" fontId="4" fillId="7" borderId="5"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2" borderId="5"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0" fontId="0" fillId="3" borderId="0" xfId="0" applyFill="1" applyAlignment="1">
      <alignment vertical="center"/>
    </xf>
    <xf numFmtId="0" fontId="4" fillId="2" borderId="1" xfId="0" applyFont="1" applyFill="1" applyBorder="1" applyAlignment="1" applyProtection="1">
      <alignment vertical="center"/>
      <protection locked="0"/>
    </xf>
    <xf numFmtId="37" fontId="4" fillId="3" borderId="2" xfId="0" applyNumberFormat="1" applyFont="1" applyFill="1" applyBorder="1" applyAlignment="1" applyProtection="1">
      <alignment horizontal="left" vertical="center"/>
    </xf>
    <xf numFmtId="0" fontId="4" fillId="3" borderId="2" xfId="0" applyFont="1" applyFill="1" applyBorder="1" applyAlignment="1" applyProtection="1">
      <alignment vertical="center"/>
    </xf>
    <xf numFmtId="0" fontId="4" fillId="3" borderId="7" xfId="0" applyFont="1" applyFill="1" applyBorder="1" applyAlignment="1" applyProtection="1">
      <alignment vertical="center"/>
    </xf>
    <xf numFmtId="37" fontId="4" fillId="3" borderId="9" xfId="0" applyNumberFormat="1" applyFont="1" applyFill="1" applyBorder="1" applyAlignment="1" applyProtection="1">
      <alignment vertical="center"/>
    </xf>
    <xf numFmtId="37" fontId="4" fillId="4" borderId="9" xfId="0" applyNumberFormat="1"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164" fontId="4" fillId="2" borderId="1" xfId="0" applyNumberFormat="1" applyFont="1" applyFill="1" applyBorder="1" applyAlignment="1" applyProtection="1">
      <alignment vertical="center"/>
      <protection locked="0"/>
    </xf>
    <xf numFmtId="164" fontId="4" fillId="3" borderId="1" xfId="0" applyNumberFormat="1" applyFont="1" applyFill="1" applyBorder="1" applyAlignment="1" applyProtection="1">
      <alignment vertical="center"/>
      <protection locked="0"/>
    </xf>
    <xf numFmtId="164" fontId="4" fillId="3" borderId="2" xfId="0" applyNumberFormat="1" applyFont="1" applyFill="1" applyBorder="1" applyAlignment="1" applyProtection="1">
      <alignment vertical="center"/>
      <protection locked="0"/>
    </xf>
    <xf numFmtId="0" fontId="4" fillId="3" borderId="8" xfId="0" applyFont="1" applyFill="1" applyBorder="1" applyAlignment="1" applyProtection="1">
      <alignment vertical="center"/>
    </xf>
    <xf numFmtId="3" fontId="4" fillId="4" borderId="1" xfId="0" applyNumberFormat="1" applyFont="1" applyFill="1" applyBorder="1" applyAlignment="1" applyProtection="1">
      <alignment vertical="center"/>
    </xf>
    <xf numFmtId="164" fontId="4" fillId="3" borderId="5" xfId="0" applyNumberFormat="1" applyFont="1" applyFill="1" applyBorder="1" applyAlignment="1" applyProtection="1">
      <alignment vertical="center"/>
      <protection locked="0"/>
    </xf>
    <xf numFmtId="3" fontId="4" fillId="3" borderId="0" xfId="0" applyNumberFormat="1" applyFont="1" applyFill="1" applyBorder="1" applyAlignment="1" applyProtection="1">
      <alignment vertical="center"/>
      <protection locked="0"/>
    </xf>
    <xf numFmtId="37" fontId="4" fillId="8" borderId="0" xfId="0" applyNumberFormat="1" applyFont="1" applyFill="1" applyAlignment="1" applyProtection="1">
      <alignment horizontal="center" vertical="center"/>
    </xf>
    <xf numFmtId="0" fontId="4" fillId="8" borderId="2" xfId="0" applyFont="1" applyFill="1" applyBorder="1" applyAlignment="1">
      <alignment horizontal="center" vertical="center"/>
    </xf>
    <xf numFmtId="37" fontId="4" fillId="3" borderId="1" xfId="0" applyNumberFormat="1" applyFont="1" applyFill="1" applyBorder="1" applyAlignment="1" applyProtection="1">
      <alignment vertical="center"/>
    </xf>
    <xf numFmtId="164" fontId="4" fillId="4" borderId="1" xfId="0" applyNumberFormat="1" applyFont="1" applyFill="1" applyBorder="1" applyAlignment="1" applyProtection="1">
      <alignment vertical="center"/>
    </xf>
    <xf numFmtId="37" fontId="4" fillId="7" borderId="2" xfId="0" applyNumberFormat="1" applyFont="1" applyFill="1" applyBorder="1" applyAlignment="1" applyProtection="1">
      <alignment horizontal="left" vertical="center"/>
    </xf>
    <xf numFmtId="0" fontId="4" fillId="7" borderId="2" xfId="0" applyFont="1" applyFill="1" applyBorder="1" applyAlignment="1" applyProtection="1">
      <alignment vertical="center"/>
    </xf>
    <xf numFmtId="37" fontId="4" fillId="7" borderId="7" xfId="0" applyNumberFormat="1" applyFont="1" applyFill="1" applyBorder="1" applyAlignment="1" applyProtection="1">
      <alignment horizontal="left" vertical="center"/>
    </xf>
    <xf numFmtId="0" fontId="4" fillId="7" borderId="7" xfId="0" applyFont="1" applyFill="1" applyBorder="1" applyAlignment="1" applyProtection="1">
      <alignment vertical="center"/>
    </xf>
    <xf numFmtId="0" fontId="4" fillId="3" borderId="9" xfId="0" applyFont="1" applyFill="1" applyBorder="1" applyAlignment="1" applyProtection="1">
      <alignment vertical="center"/>
    </xf>
    <xf numFmtId="37" fontId="12" fillId="8" borderId="0" xfId="0" applyNumberFormat="1" applyFont="1" applyFill="1" applyAlignment="1" applyProtection="1">
      <alignment horizontal="left" vertical="center"/>
    </xf>
    <xf numFmtId="0" fontId="5" fillId="7" borderId="0" xfId="0" applyFont="1" applyFill="1" applyAlignment="1" applyProtection="1">
      <alignment vertical="center"/>
    </xf>
    <xf numFmtId="0" fontId="5" fillId="3" borderId="0" xfId="0" applyFont="1" applyFill="1" applyAlignment="1" applyProtection="1">
      <alignment horizontal="center" vertical="center"/>
    </xf>
    <xf numFmtId="3" fontId="4" fillId="3" borderId="0" xfId="0" applyNumberFormat="1" applyFont="1" applyFill="1" applyAlignment="1" applyProtection="1">
      <alignment vertical="center"/>
    </xf>
    <xf numFmtId="0" fontId="4" fillId="3" borderId="0" xfId="0" applyFont="1" applyFill="1" applyAlignment="1" applyProtection="1">
      <alignment vertical="center"/>
      <protection locked="0"/>
    </xf>
    <xf numFmtId="0" fontId="4" fillId="3"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protection locked="0"/>
    </xf>
    <xf numFmtId="0" fontId="4" fillId="8" borderId="2" xfId="0" applyFont="1" applyFill="1" applyBorder="1" applyAlignment="1" applyProtection="1">
      <alignment vertical="center"/>
    </xf>
    <xf numFmtId="0" fontId="4" fillId="3" borderId="8" xfId="0" applyFont="1" applyFill="1" applyBorder="1" applyAlignment="1" applyProtection="1">
      <alignment vertical="center"/>
      <protection locked="0"/>
    </xf>
    <xf numFmtId="3" fontId="4" fillId="6" borderId="1" xfId="0" applyNumberFormat="1" applyFont="1" applyFill="1" applyBorder="1" applyAlignment="1" applyProtection="1">
      <alignment vertical="center"/>
      <protection locked="0"/>
    </xf>
    <xf numFmtId="0" fontId="4" fillId="8" borderId="7" xfId="0" applyFont="1" applyFill="1" applyBorder="1" applyAlignment="1" applyProtection="1">
      <alignment vertical="center"/>
    </xf>
    <xf numFmtId="0" fontId="4" fillId="3" borderId="9" xfId="0" applyFont="1" applyFill="1" applyBorder="1" applyAlignment="1" applyProtection="1">
      <alignment vertical="center"/>
      <protection locked="0"/>
    </xf>
    <xf numFmtId="0" fontId="0" fillId="0" borderId="0" xfId="0" applyAlignment="1">
      <alignment vertical="center"/>
    </xf>
    <xf numFmtId="37" fontId="4" fillId="3" borderId="7" xfId="0" applyNumberFormat="1" applyFont="1" applyFill="1" applyBorder="1" applyAlignment="1" applyProtection="1">
      <alignment horizontal="left" vertical="center"/>
    </xf>
    <xf numFmtId="37" fontId="4" fillId="6" borderId="1" xfId="0" applyNumberFormat="1" applyFont="1" applyFill="1" applyBorder="1" applyAlignment="1" applyProtection="1">
      <alignment vertical="center"/>
      <protection locked="0"/>
    </xf>
    <xf numFmtId="37" fontId="3" fillId="3" borderId="7"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171" fontId="4" fillId="6" borderId="2" xfId="0" applyNumberFormat="1" applyFont="1" applyFill="1" applyBorder="1" applyAlignment="1" applyProtection="1">
      <alignment vertical="center"/>
      <protection locked="0"/>
    </xf>
    <xf numFmtId="171" fontId="4" fillId="6" borderId="7" xfId="0" applyNumberFormat="1" applyFont="1" applyFill="1" applyBorder="1" applyAlignment="1" applyProtection="1">
      <alignment vertical="center"/>
      <protection locked="0"/>
    </xf>
    <xf numFmtId="0" fontId="4" fillId="3" borderId="10" xfId="0" applyFont="1" applyFill="1" applyBorder="1" applyAlignment="1" applyProtection="1">
      <alignment vertical="center"/>
    </xf>
    <xf numFmtId="171" fontId="4" fillId="6" borderId="10"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2" xfId="0" applyFill="1" applyBorder="1" applyAlignment="1" applyProtection="1">
      <alignment vertical="center"/>
    </xf>
    <xf numFmtId="37" fontId="3" fillId="8" borderId="0" xfId="0" applyNumberFormat="1" applyFont="1" applyFill="1" applyAlignment="1" applyProtection="1">
      <alignment horizontal="left" vertical="center"/>
    </xf>
    <xf numFmtId="3" fontId="4" fillId="8" borderId="0" xfId="0" applyNumberFormat="1" applyFont="1" applyFill="1" applyAlignment="1" applyProtection="1">
      <alignment vertical="center"/>
    </xf>
    <xf numFmtId="3" fontId="4" fillId="3" borderId="8" xfId="0" applyNumberFormat="1" applyFont="1" applyFill="1" applyBorder="1" applyAlignment="1" applyProtection="1">
      <alignment vertical="center"/>
    </xf>
    <xf numFmtId="3" fontId="4" fillId="3" borderId="9" xfId="0" applyNumberFormat="1" applyFont="1" applyFill="1" applyBorder="1" applyAlignment="1" applyProtection="1">
      <alignment vertical="center"/>
    </xf>
    <xf numFmtId="0" fontId="3" fillId="8" borderId="0" xfId="0" applyFont="1" applyFill="1" applyAlignment="1">
      <alignment vertical="center"/>
    </xf>
    <xf numFmtId="0" fontId="1" fillId="8" borderId="0" xfId="0" applyFont="1" applyFill="1" applyAlignment="1">
      <alignment vertical="center"/>
    </xf>
    <xf numFmtId="0" fontId="0" fillId="8" borderId="0" xfId="0" applyFill="1" applyAlignment="1" applyProtection="1">
      <alignment vertical="center"/>
      <protection locked="0"/>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0" fontId="0" fillId="5" borderId="0" xfId="0" applyFill="1" applyAlignment="1">
      <alignment vertical="center"/>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15" fillId="3" borderId="0" xfId="0" applyFont="1" applyFill="1" applyAlignment="1">
      <alignment vertical="center"/>
    </xf>
    <xf numFmtId="0" fontId="18" fillId="3" borderId="0" xfId="0" applyFont="1" applyFill="1" applyAlignment="1">
      <alignment vertical="center"/>
    </xf>
    <xf numFmtId="37" fontId="4" fillId="3" borderId="1"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37" fontId="4" fillId="3" borderId="11" xfId="0" applyNumberFormat="1" applyFont="1" applyFill="1" applyBorder="1" applyAlignment="1" applyProtection="1">
      <alignment horizontal="centerContinuous" vertical="center"/>
    </xf>
    <xf numFmtId="0" fontId="4" fillId="3" borderId="7"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37" fontId="4" fillId="3" borderId="2" xfId="0" applyNumberFormat="1" applyFont="1" applyFill="1" applyBorder="1" applyAlignment="1" applyProtection="1">
      <alignment horizontal="fill" vertical="center"/>
    </xf>
    <xf numFmtId="37" fontId="4" fillId="3" borderId="3"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0" fontId="4" fillId="3" borderId="4" xfId="0" applyFont="1" applyFill="1" applyBorder="1" applyAlignment="1">
      <alignment horizontal="center" vertical="center"/>
    </xf>
    <xf numFmtId="37" fontId="3" fillId="3" borderId="2"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lignment horizontal="center" vertical="center"/>
    </xf>
    <xf numFmtId="37" fontId="4" fillId="3" borderId="11" xfId="0" applyNumberFormat="1" applyFont="1" applyFill="1" applyBorder="1" applyAlignment="1" applyProtection="1">
      <alignment horizontal="left" vertical="center"/>
    </xf>
    <xf numFmtId="37" fontId="4" fillId="3" borderId="1" xfId="0" applyNumberFormat="1" applyFont="1" applyFill="1" applyBorder="1" applyAlignment="1" applyProtection="1">
      <alignment horizontal="center" vertical="center"/>
    </xf>
    <xf numFmtId="0" fontId="4" fillId="3" borderId="3" xfId="0" applyFont="1" applyFill="1" applyBorder="1" applyAlignment="1" applyProtection="1">
      <alignment vertical="center"/>
    </xf>
    <xf numFmtId="0" fontId="4" fillId="3" borderId="4" xfId="0" applyFont="1" applyFill="1" applyBorder="1" applyAlignment="1" applyProtection="1">
      <alignment vertical="center"/>
    </xf>
    <xf numFmtId="37" fontId="12" fillId="3" borderId="11" xfId="0" applyNumberFormat="1" applyFont="1" applyFill="1" applyBorder="1" applyAlignment="1" applyProtection="1">
      <alignment horizontal="left" vertical="center"/>
    </xf>
    <xf numFmtId="37" fontId="12" fillId="3" borderId="9" xfId="0" applyNumberFormat="1"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5"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vertical="center"/>
    </xf>
    <xf numFmtId="0" fontId="4" fillId="3" borderId="9" xfId="0" applyFont="1" applyFill="1" applyBorder="1" applyAlignment="1" applyProtection="1">
      <alignment horizontal="center" vertical="center"/>
    </xf>
    <xf numFmtId="37" fontId="4" fillId="3" borderId="9" xfId="0" applyNumberFormat="1"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 xfId="0" applyNumberFormat="1" applyFont="1" applyFill="1" applyBorder="1" applyAlignment="1" applyProtection="1">
      <alignment vertical="center"/>
    </xf>
    <xf numFmtId="0" fontId="0" fillId="10" borderId="1" xfId="0" applyFill="1" applyBorder="1" applyAlignment="1" applyProtection="1">
      <alignment vertical="center"/>
    </xf>
    <xf numFmtId="0" fontId="15" fillId="10" borderId="9" xfId="0" applyFont="1" applyFill="1" applyBorder="1" applyAlignment="1" applyProtection="1">
      <alignment horizontal="center"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4" fillId="3" borderId="0" xfId="0" quotePrefix="1" applyFont="1" applyFill="1" applyAlignment="1">
      <alignment horizontal="right" vertical="center"/>
    </xf>
    <xf numFmtId="3" fontId="4" fillId="3" borderId="0" xfId="0" applyNumberFormat="1" applyFont="1" applyFill="1" applyAlignment="1">
      <alignment vertical="center"/>
    </xf>
    <xf numFmtId="3" fontId="4" fillId="3" borderId="0" xfId="0" quotePrefix="1" applyNumberFormat="1" applyFont="1" applyFill="1" applyAlignment="1">
      <alignment vertical="center"/>
    </xf>
    <xf numFmtId="3" fontId="4" fillId="3" borderId="2" xfId="0" applyNumberFormat="1" applyFont="1" applyFill="1" applyBorder="1" applyAlignment="1">
      <alignment vertical="center"/>
    </xf>
    <xf numFmtId="3" fontId="4" fillId="3" borderId="7" xfId="0" applyNumberFormat="1" applyFont="1" applyFill="1" applyBorder="1" applyAlignment="1" applyProtection="1">
      <alignment horizontal="right" vertical="center"/>
    </xf>
    <xf numFmtId="0" fontId="3" fillId="3" borderId="0" xfId="0" applyFont="1" applyFill="1" applyAlignment="1">
      <alignment vertical="center"/>
    </xf>
    <xf numFmtId="3" fontId="4" fillId="3" borderId="7" xfId="0" applyNumberFormat="1" applyFont="1" applyFill="1" applyBorder="1" applyAlignment="1">
      <alignment vertical="center"/>
    </xf>
    <xf numFmtId="3" fontId="4" fillId="3" borderId="2" xfId="0" applyNumberFormat="1" applyFont="1" applyFill="1" applyBorder="1" applyAlignment="1" applyProtection="1">
      <alignment vertical="center"/>
    </xf>
    <xf numFmtId="3" fontId="4" fillId="3" borderId="0" xfId="0" applyNumberFormat="1" applyFont="1" applyFill="1" applyBorder="1" applyAlignment="1">
      <alignment vertical="center"/>
    </xf>
    <xf numFmtId="0" fontId="4" fillId="3" borderId="0" xfId="0" quotePrefix="1" applyFont="1" applyFill="1" applyAlignment="1">
      <alignment vertical="center"/>
    </xf>
    <xf numFmtId="0" fontId="4" fillId="3" borderId="0" xfId="0" applyFont="1" applyFill="1" applyAlignment="1">
      <alignment horizontal="right" vertical="center"/>
    </xf>
    <xf numFmtId="3" fontId="4" fillId="3" borderId="7" xfId="0" applyNumberFormat="1" applyFont="1" applyFill="1" applyBorder="1" applyAlignment="1" applyProtection="1">
      <alignment vertical="center"/>
    </xf>
    <xf numFmtId="3" fontId="4" fillId="3" borderId="10" xfId="0" applyNumberFormat="1" applyFont="1" applyFill="1" applyBorder="1" applyAlignment="1">
      <alignment vertical="center"/>
    </xf>
    <xf numFmtId="0" fontId="4" fillId="3" borderId="10" xfId="0" applyFont="1" applyFill="1" applyBorder="1" applyAlignment="1">
      <alignment vertical="center"/>
    </xf>
    <xf numFmtId="0" fontId="4" fillId="3" borderId="0" xfId="0" applyFont="1" applyFill="1" applyBorder="1" applyAlignment="1">
      <alignment vertical="center"/>
    </xf>
    <xf numFmtId="167" fontId="4" fillId="3" borderId="2" xfId="0" applyNumberFormat="1" applyFont="1" applyFill="1" applyBorder="1" applyAlignment="1">
      <alignment vertical="center"/>
    </xf>
    <xf numFmtId="0" fontId="4" fillId="3" borderId="0" xfId="0" quotePrefix="1" applyFont="1" applyFill="1" applyBorder="1" applyAlignment="1">
      <alignment vertical="center"/>
    </xf>
    <xf numFmtId="3" fontId="4" fillId="3" borderId="14" xfId="0" applyNumberFormat="1" applyFont="1" applyFill="1" applyBorder="1" applyAlignment="1">
      <alignment vertical="center"/>
    </xf>
    <xf numFmtId="3" fontId="4" fillId="3" borderId="2" xfId="1" applyNumberFormat="1" applyFont="1" applyFill="1" applyBorder="1" applyAlignment="1" applyProtection="1">
      <alignment vertical="center"/>
    </xf>
    <xf numFmtId="0" fontId="6" fillId="0" borderId="0" xfId="0" applyFont="1" applyAlignment="1">
      <alignment vertical="center"/>
    </xf>
    <xf numFmtId="37" fontId="4" fillId="3" borderId="0" xfId="0" applyNumberFormat="1" applyFont="1" applyFill="1" applyAlignment="1" applyProtection="1">
      <alignment vertical="center"/>
    </xf>
    <xf numFmtId="0" fontId="4" fillId="3" borderId="2" xfId="0" applyFont="1" applyFill="1" applyBorder="1" applyAlignment="1" applyProtection="1">
      <alignment horizontal="centerContinuous" vertical="center"/>
    </xf>
    <xf numFmtId="0" fontId="4" fillId="3" borderId="3"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2" xfId="0" applyNumberFormat="1" applyFont="1" applyFill="1" applyBorder="1" applyAlignment="1" applyProtection="1">
      <alignment vertical="center"/>
    </xf>
    <xf numFmtId="165" fontId="4" fillId="4" borderId="2" xfId="0" applyNumberFormat="1"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6" borderId="5" xfId="0" applyFont="1" applyFill="1" applyBorder="1" applyAlignment="1" applyProtection="1">
      <alignment vertical="center"/>
      <protection locked="0"/>
    </xf>
    <xf numFmtId="170" fontId="4" fillId="6" borderId="5" xfId="1" applyNumberFormat="1" applyFont="1" applyFill="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1" xfId="0" applyFont="1" applyFill="1" applyBorder="1" applyAlignment="1" applyProtection="1">
      <alignment vertical="center"/>
      <protection locked="0"/>
    </xf>
    <xf numFmtId="170" fontId="4" fillId="6" borderId="1" xfId="1"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xf>
    <xf numFmtId="0" fontId="4" fillId="3" borderId="0" xfId="0" applyFont="1" applyFill="1" applyAlignment="1" applyProtection="1">
      <alignment horizontal="center" vertical="center"/>
      <protection locked="0"/>
    </xf>
    <xf numFmtId="37" fontId="3" fillId="3" borderId="1" xfId="0" applyNumberFormat="1" applyFont="1" applyFill="1" applyBorder="1" applyAlignment="1" applyProtection="1">
      <alignment horizontal="center" vertical="center"/>
    </xf>
    <xf numFmtId="0" fontId="4" fillId="6" borderId="1" xfId="0" applyFont="1" applyFill="1" applyBorder="1" applyAlignment="1" applyProtection="1">
      <alignment horizontal="center" vertical="center"/>
      <protection locked="0"/>
    </xf>
    <xf numFmtId="1" fontId="4" fillId="3" borderId="0" xfId="0" applyNumberFormat="1" applyFont="1" applyFill="1" applyBorder="1" applyAlignment="1" applyProtection="1">
      <alignment horizontal="right" vertical="center"/>
    </xf>
    <xf numFmtId="0" fontId="3" fillId="3" borderId="0" xfId="313" applyFont="1" applyFill="1" applyAlignment="1" applyProtection="1">
      <alignment horizontal="centerContinuous" vertical="center"/>
    </xf>
    <xf numFmtId="0" fontId="4" fillId="3" borderId="2"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 fontId="4" fillId="3" borderId="16"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2" fontId="4" fillId="3" borderId="1" xfId="0" applyNumberFormat="1" applyFont="1" applyFill="1" applyBorder="1" applyAlignment="1" applyProtection="1">
      <alignment vertical="center"/>
    </xf>
    <xf numFmtId="3" fontId="4" fillId="3" borderId="1" xfId="0" applyNumberFormat="1" applyFont="1" applyFill="1" applyBorder="1" applyAlignment="1" applyProtection="1">
      <alignment vertical="center"/>
    </xf>
    <xf numFmtId="2" fontId="4" fillId="2" borderId="1" xfId="0" applyNumberFormat="1" applyFont="1" applyFill="1" applyBorder="1" applyAlignment="1" applyProtection="1">
      <alignment horizontal="center" vertical="center"/>
      <protection locked="0"/>
    </xf>
    <xf numFmtId="3" fontId="4" fillId="2" borderId="1"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169" fontId="4" fillId="2" borderId="1" xfId="0" applyNumberFormat="1" applyFont="1" applyFill="1" applyBorder="1" applyAlignment="1" applyProtection="1">
      <alignment horizontal="center" vertical="center"/>
      <protection locked="0"/>
    </xf>
    <xf numFmtId="0" fontId="3" fillId="3" borderId="1" xfId="0" applyFont="1" applyFill="1" applyBorder="1" applyAlignment="1" applyProtection="1">
      <alignment horizontal="left" vertical="center"/>
    </xf>
    <xf numFmtId="168" fontId="3" fillId="3" borderId="1" xfId="0" applyNumberFormat="1" applyFont="1" applyFill="1" applyBorder="1" applyAlignment="1" applyProtection="1">
      <alignment horizontal="center" vertical="center"/>
    </xf>
    <xf numFmtId="2" fontId="3" fillId="3" borderId="1"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horizontal="center" vertical="center"/>
    </xf>
    <xf numFmtId="169" fontId="3" fillId="3" borderId="1" xfId="0" applyNumberFormat="1" applyFont="1" applyFill="1" applyBorder="1" applyAlignment="1" applyProtection="1">
      <alignment horizontal="center" vertical="center"/>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 fontId="3" fillId="3" borderId="1"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3" fillId="3"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1" xfId="0" applyFont="1" applyFill="1" applyBorder="1" applyAlignment="1" applyProtection="1">
      <alignment horizontal="left" vertical="center"/>
    </xf>
    <xf numFmtId="37" fontId="4" fillId="2" borderId="11" xfId="0" applyNumberFormat="1" applyFont="1" applyFill="1" applyBorder="1" applyAlignment="1" applyProtection="1">
      <alignment vertical="center"/>
      <protection locked="0"/>
    </xf>
    <xf numFmtId="37" fontId="4" fillId="2" borderId="9" xfId="0" applyNumberFormat="1" applyFont="1" applyFill="1" applyBorder="1" applyAlignment="1" applyProtection="1">
      <alignment vertical="center"/>
      <protection locked="0"/>
    </xf>
    <xf numFmtId="3" fontId="4" fillId="3" borderId="11" xfId="0" applyNumberFormat="1" applyFont="1" applyFill="1" applyBorder="1" applyAlignment="1" applyProtection="1">
      <alignment vertical="center"/>
    </xf>
    <xf numFmtId="0" fontId="4" fillId="3" borderId="16" xfId="0" applyFont="1" applyFill="1" applyBorder="1" applyAlignment="1" applyProtection="1">
      <alignment horizontal="left" vertical="center"/>
    </xf>
    <xf numFmtId="3" fontId="4" fillId="2" borderId="11" xfId="0" applyNumberFormat="1" applyFont="1" applyFill="1" applyBorder="1" applyAlignment="1" applyProtection="1">
      <alignment vertical="center"/>
      <protection locked="0"/>
    </xf>
    <xf numFmtId="3" fontId="4" fillId="2" borderId="9" xfId="0" applyNumberFormat="1" applyFont="1" applyFill="1" applyBorder="1" applyAlignment="1" applyProtection="1">
      <alignment vertical="center"/>
      <protection locked="0"/>
    </xf>
    <xf numFmtId="37" fontId="4" fillId="3" borderId="1"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vertical="center"/>
      <protection locked="0"/>
    </xf>
    <xf numFmtId="0" fontId="4" fillId="2" borderId="11" xfId="0" applyFont="1" applyFill="1" applyBorder="1" applyAlignment="1" applyProtection="1">
      <alignment horizontal="left" vertical="center"/>
      <protection locked="0"/>
    </xf>
    <xf numFmtId="37" fontId="15" fillId="10" borderId="11" xfId="0" applyNumberFormat="1" applyFont="1" applyFill="1" applyBorder="1" applyAlignment="1" applyProtection="1">
      <alignment horizontal="center" vertical="center"/>
    </xf>
    <xf numFmtId="37" fontId="15" fillId="10" borderId="9" xfId="0" applyNumberFormat="1" applyFont="1" applyFill="1" applyBorder="1" applyAlignment="1" applyProtection="1">
      <alignment horizontal="center" vertical="center"/>
    </xf>
    <xf numFmtId="37" fontId="3" fillId="3" borderId="11" xfId="0" applyNumberFormat="1" applyFont="1" applyFill="1" applyBorder="1" applyAlignment="1" applyProtection="1">
      <alignment horizontal="left" vertical="center"/>
    </xf>
    <xf numFmtId="37" fontId="3" fillId="4" borderId="1" xfId="0" applyNumberFormat="1" applyFont="1" applyFill="1" applyBorder="1" applyAlignment="1" applyProtection="1">
      <alignment vertical="center"/>
    </xf>
    <xf numFmtId="3" fontId="3" fillId="4" borderId="1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3" fillId="3" borderId="0" xfId="0" applyFont="1" applyFill="1" applyAlignment="1" applyProtection="1">
      <alignment horizontal="left" vertical="center"/>
    </xf>
    <xf numFmtId="0" fontId="3" fillId="3" borderId="11" xfId="0" applyFont="1" applyFill="1" applyBorder="1" applyAlignment="1" applyProtection="1">
      <alignment horizontal="left" vertical="center"/>
    </xf>
    <xf numFmtId="3" fontId="4" fillId="4" borderId="11" xfId="0" applyNumberFormat="1" applyFont="1" applyFill="1" applyBorder="1" applyAlignment="1" applyProtection="1">
      <alignment vertical="center"/>
    </xf>
    <xf numFmtId="3" fontId="4" fillId="0" borderId="0" xfId="0" applyNumberFormat="1" applyFont="1" applyFill="1" applyBorder="1" applyAlignment="1" applyProtection="1">
      <alignment vertical="center"/>
      <protection locked="0"/>
    </xf>
    <xf numFmtId="0" fontId="4" fillId="4" borderId="11" xfId="0" applyFont="1" applyFill="1" applyBorder="1" applyAlignment="1" applyProtection="1">
      <alignment vertical="center"/>
    </xf>
    <xf numFmtId="0" fontId="4" fillId="2" borderId="11" xfId="0" applyFont="1" applyFill="1" applyBorder="1" applyAlignment="1" applyProtection="1">
      <alignment vertical="center"/>
      <protection locked="0"/>
    </xf>
    <xf numFmtId="0" fontId="4" fillId="3" borderId="11" xfId="0" applyFont="1" applyFill="1" applyBorder="1" applyAlignment="1" applyProtection="1">
      <alignment vertical="center"/>
    </xf>
    <xf numFmtId="37" fontId="4" fillId="4" borderId="1" xfId="0" applyNumberFormat="1" applyFont="1" applyFill="1" applyBorder="1" applyAlignment="1" applyProtection="1">
      <alignment vertical="center"/>
    </xf>
    <xf numFmtId="0" fontId="15" fillId="0" borderId="0" xfId="0" applyFont="1" applyAlignment="1" applyProtection="1">
      <alignment vertical="center"/>
    </xf>
    <xf numFmtId="0" fontId="13" fillId="3" borderId="0" xfId="0" applyFont="1" applyFill="1" applyAlignment="1" applyProtection="1">
      <alignment horizontal="center" vertical="center"/>
    </xf>
    <xf numFmtId="0" fontId="4" fillId="3" borderId="0" xfId="0" applyFont="1" applyFill="1" applyAlignment="1" applyProtection="1">
      <alignment horizontal="fill" vertical="center"/>
    </xf>
    <xf numFmtId="1" fontId="4" fillId="3" borderId="3" xfId="0" applyNumberFormat="1" applyFont="1" applyFill="1" applyBorder="1" applyAlignment="1" applyProtection="1">
      <alignment horizontal="center" vertical="center"/>
    </xf>
    <xf numFmtId="0" fontId="4" fillId="6"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6" borderId="0" xfId="0" applyFont="1" applyFill="1" applyAlignment="1" applyProtection="1">
      <alignment horizontal="left" vertical="center"/>
      <protection locked="0"/>
    </xf>
    <xf numFmtId="37" fontId="3" fillId="4" borderId="6" xfId="0" applyNumberFormat="1" applyFont="1" applyFill="1" applyBorder="1" applyAlignment="1" applyProtection="1">
      <alignment vertical="center"/>
    </xf>
    <xf numFmtId="0" fontId="15" fillId="3" borderId="0" xfId="0" applyFont="1" applyFill="1" applyAlignment="1" applyProtection="1">
      <alignment vertical="center"/>
    </xf>
    <xf numFmtId="37" fontId="4" fillId="3" borderId="16" xfId="0" applyNumberFormat="1" applyFont="1" applyFill="1" applyBorder="1" applyAlignment="1" applyProtection="1">
      <alignment horizontal="left" vertical="center"/>
    </xf>
    <xf numFmtId="3" fontId="4" fillId="3" borderId="1" xfId="0" applyNumberFormat="1" applyFont="1" applyFill="1" applyBorder="1" applyAlignment="1" applyProtection="1">
      <alignment horizontal="fill" vertical="center"/>
    </xf>
    <xf numFmtId="3" fontId="4" fillId="11" borderId="1"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4" fillId="0" borderId="0" xfId="0" applyNumberFormat="1" applyFont="1" applyAlignment="1" applyProtection="1">
      <alignment horizontal="fill" vertical="center"/>
      <protection locked="0"/>
    </xf>
    <xf numFmtId="0" fontId="4" fillId="6" borderId="11" xfId="0" applyFont="1" applyFill="1" applyBorder="1" applyAlignment="1" applyProtection="1">
      <alignment vertical="center"/>
      <protection locked="0"/>
    </xf>
    <xf numFmtId="3" fontId="4" fillId="3" borderId="1" xfId="0" applyNumberFormat="1"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3" fontId="4" fillId="3" borderId="2" xfId="0" applyNumberFormat="1" applyFont="1" applyFill="1" applyBorder="1" applyAlignment="1" applyProtection="1">
      <alignment horizontal="fill" vertical="center"/>
    </xf>
    <xf numFmtId="0" fontId="4" fillId="3" borderId="15" xfId="0" applyFont="1" applyFill="1" applyBorder="1" applyAlignment="1" applyProtection="1">
      <alignment vertical="center"/>
    </xf>
    <xf numFmtId="166" fontId="4" fillId="3" borderId="2" xfId="0" applyNumberFormat="1" applyFont="1" applyFill="1" applyBorder="1" applyAlignment="1" applyProtection="1">
      <alignment vertical="center"/>
    </xf>
    <xf numFmtId="37" fontId="4" fillId="3" borderId="2" xfId="0" quotePrefix="1"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left" vertical="center"/>
      <protection locked="0"/>
    </xf>
    <xf numFmtId="37" fontId="15" fillId="10" borderId="1" xfId="0" applyNumberFormat="1" applyFont="1" applyFill="1" applyBorder="1" applyAlignment="1" applyProtection="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2" fillId="3" borderId="0" xfId="0" applyFont="1" applyFill="1" applyAlignment="1">
      <alignment horizontal="center" vertical="center"/>
    </xf>
    <xf numFmtId="0" fontId="4" fillId="3" borderId="9" xfId="0" applyFont="1" applyFill="1" applyBorder="1" applyAlignment="1">
      <alignment horizontal="center" vertical="center"/>
    </xf>
    <xf numFmtId="0" fontId="11" fillId="3" borderId="3" xfId="0" applyFont="1" applyFill="1" applyBorder="1" applyAlignment="1">
      <alignment vertical="center"/>
    </xf>
    <xf numFmtId="0" fontId="11" fillId="3" borderId="9" xfId="0" applyFont="1" applyFill="1" applyBorder="1" applyAlignment="1">
      <alignment horizontal="center" vertical="center"/>
    </xf>
    <xf numFmtId="0" fontId="11" fillId="3" borderId="13" xfId="0" applyFont="1" applyFill="1" applyBorder="1" applyAlignment="1">
      <alignment vertical="center"/>
    </xf>
    <xf numFmtId="0" fontId="11" fillId="3" borderId="1" xfId="0" applyFont="1" applyFill="1" applyBorder="1" applyAlignment="1">
      <alignment horizontal="center" vertical="center"/>
    </xf>
    <xf numFmtId="0" fontId="4" fillId="3" borderId="9" xfId="0" applyFont="1" applyFill="1" applyBorder="1" applyAlignment="1">
      <alignment vertical="center"/>
    </xf>
    <xf numFmtId="0" fontId="4" fillId="3" borderId="1" xfId="0" applyFont="1" applyFill="1" applyBorder="1" applyAlignment="1">
      <alignment horizontal="center" vertical="center"/>
    </xf>
    <xf numFmtId="0" fontId="11" fillId="3" borderId="16" xfId="0" applyFont="1" applyFill="1" applyBorder="1" applyAlignment="1">
      <alignment vertical="center"/>
    </xf>
    <xf numFmtId="3" fontId="11" fillId="6" borderId="1" xfId="0" applyNumberFormat="1" applyFont="1" applyFill="1" applyBorder="1" applyAlignment="1" applyProtection="1">
      <alignment horizontal="center" vertical="center"/>
      <protection locked="0"/>
    </xf>
    <xf numFmtId="0" fontId="11" fillId="3" borderId="2" xfId="0" applyFont="1" applyFill="1" applyBorder="1" applyAlignment="1">
      <alignment vertical="center"/>
    </xf>
    <xf numFmtId="3" fontId="11" fillId="4" borderId="1" xfId="0" applyNumberFormat="1" applyFont="1" applyFill="1" applyBorder="1" applyAlignment="1">
      <alignment horizontal="center" vertical="center"/>
    </xf>
    <xf numFmtId="0" fontId="11" fillId="3" borderId="0" xfId="0" applyFont="1" applyFill="1" applyAlignment="1">
      <alignment vertical="center"/>
    </xf>
    <xf numFmtId="3" fontId="11" fillId="3" borderId="0" xfId="0" applyNumberFormat="1" applyFont="1" applyFill="1" applyAlignment="1">
      <alignment horizontal="center" vertical="center"/>
    </xf>
    <xf numFmtId="0" fontId="11" fillId="3" borderId="0" xfId="0" applyFont="1" applyFill="1" applyAlignment="1">
      <alignment horizontal="center" vertical="center"/>
    </xf>
    <xf numFmtId="0" fontId="11" fillId="6" borderId="1" xfId="0" applyFont="1" applyFill="1" applyBorder="1" applyAlignment="1" applyProtection="1">
      <alignment vertical="center"/>
      <protection locked="0"/>
    </xf>
    <xf numFmtId="0" fontId="11" fillId="6" borderId="13" xfId="0" applyFont="1" applyFill="1" applyBorder="1" applyAlignment="1" applyProtection="1">
      <alignment vertical="center"/>
      <protection locked="0"/>
    </xf>
    <xf numFmtId="0" fontId="11" fillId="6" borderId="0" xfId="0" applyFont="1" applyFill="1" applyAlignment="1" applyProtection="1">
      <alignment vertical="center"/>
      <protection locked="0"/>
    </xf>
    <xf numFmtId="0" fontId="11" fillId="6" borderId="9" xfId="0" applyFont="1" applyFill="1" applyBorder="1" applyAlignment="1" applyProtection="1">
      <alignment vertical="center"/>
      <protection locked="0"/>
    </xf>
    <xf numFmtId="0" fontId="11" fillId="6" borderId="5" xfId="0" applyFont="1" applyFill="1" applyBorder="1" applyAlignment="1" applyProtection="1">
      <alignment vertical="center"/>
      <protection locked="0"/>
    </xf>
    <xf numFmtId="0" fontId="11" fillId="6" borderId="12" xfId="0" applyFont="1" applyFill="1" applyBorder="1" applyAlignment="1" applyProtection="1">
      <alignment vertical="center"/>
      <protection locked="0"/>
    </xf>
    <xf numFmtId="3" fontId="17" fillId="10" borderId="1" xfId="0" applyNumberFormat="1" applyFont="1" applyFill="1" applyBorder="1" applyAlignment="1">
      <alignment horizontal="center" vertical="center"/>
    </xf>
    <xf numFmtId="3" fontId="4" fillId="0" borderId="0" xfId="0" applyNumberFormat="1" applyFont="1" applyAlignment="1">
      <alignment vertical="center"/>
    </xf>
    <xf numFmtId="0" fontId="4" fillId="4" borderId="0" xfId="0" applyFont="1" applyFill="1" applyAlignment="1">
      <alignment vertical="center"/>
    </xf>
    <xf numFmtId="0" fontId="4" fillId="0" borderId="0" xfId="0" applyFont="1" applyAlignment="1">
      <alignment horizontal="centerContinuous" vertical="center"/>
    </xf>
    <xf numFmtId="1" fontId="4" fillId="3" borderId="11" xfId="0" applyNumberFormat="1" applyFont="1" applyFill="1" applyBorder="1" applyAlignment="1" applyProtection="1">
      <alignment horizontal="centerContinuous" vertical="center"/>
    </xf>
    <xf numFmtId="164" fontId="4" fillId="3" borderId="1" xfId="0" applyNumberFormat="1" applyFont="1" applyFill="1" applyBorder="1" applyAlignment="1" applyProtection="1">
      <alignment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2"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wrapText="1"/>
    </xf>
    <xf numFmtId="0" fontId="4" fillId="3" borderId="13"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3" fontId="4" fillId="6" borderId="1" xfId="0" applyNumberFormat="1" applyFont="1" applyFill="1" applyBorder="1" applyAlignment="1" applyProtection="1">
      <alignment horizontal="center" vertical="center"/>
      <protection locked="0"/>
    </xf>
    <xf numFmtId="172" fontId="4" fillId="3" borderId="1" xfId="0" applyNumberFormat="1" applyFont="1" applyFill="1" applyBorder="1" applyAlignment="1" applyProtection="1">
      <alignment horizontal="center" vertical="center"/>
    </xf>
    <xf numFmtId="3" fontId="4" fillId="6" borderId="3" xfId="0" applyNumberFormat="1" applyFont="1" applyFill="1" applyBorder="1" applyAlignment="1" applyProtection="1">
      <alignment horizontal="center" vertical="center"/>
      <protection locked="0"/>
    </xf>
    <xf numFmtId="3" fontId="4" fillId="3" borderId="6" xfId="0" applyNumberFormat="1" applyFont="1" applyFill="1" applyBorder="1" applyAlignment="1" applyProtection="1">
      <alignment horizontal="center" vertical="center"/>
    </xf>
    <xf numFmtId="172" fontId="4" fillId="3" borderId="6" xfId="0" applyNumberFormat="1" applyFont="1" applyFill="1" applyBorder="1" applyAlignment="1" applyProtection="1">
      <alignment horizontal="center" vertical="center"/>
    </xf>
    <xf numFmtId="172" fontId="4" fillId="3" borderId="2" xfId="0" applyNumberFormat="1" applyFont="1" applyFill="1" applyBorder="1" applyAlignment="1" applyProtection="1">
      <alignment horizontal="center" vertical="center"/>
    </xf>
    <xf numFmtId="172" fontId="4" fillId="3" borderId="0" xfId="0" applyNumberFormat="1" applyFont="1" applyFill="1" applyBorder="1" applyAlignment="1" applyProtection="1">
      <alignment horizontal="center" vertical="center"/>
    </xf>
    <xf numFmtId="3" fontId="4" fillId="3" borderId="2" xfId="0" applyNumberFormat="1" applyFont="1" applyFill="1" applyBorder="1" applyAlignment="1">
      <alignment horizontal="center" vertical="center"/>
    </xf>
    <xf numFmtId="0" fontId="0" fillId="3" borderId="0" xfId="0" applyFill="1" applyAlignment="1">
      <alignment horizontal="center" vertical="center"/>
    </xf>
    <xf numFmtId="172" fontId="4" fillId="3" borderId="2" xfId="0" applyNumberFormat="1" applyFont="1" applyFill="1" applyBorder="1" applyAlignment="1">
      <alignment horizontal="center" vertical="center"/>
    </xf>
    <xf numFmtId="171" fontId="4" fillId="3" borderId="0" xfId="0" applyNumberFormat="1" applyFont="1" applyFill="1" applyBorder="1" applyAlignment="1" applyProtection="1">
      <alignment vertical="center"/>
    </xf>
    <xf numFmtId="0" fontId="5" fillId="0" borderId="0" xfId="0" applyFont="1" applyAlignment="1">
      <alignment vertical="center"/>
    </xf>
    <xf numFmtId="3" fontId="26" fillId="10" borderId="0" xfId="0" applyNumberFormat="1" applyFont="1" applyFill="1" applyAlignment="1">
      <alignment horizontal="center" vertical="center"/>
    </xf>
    <xf numFmtId="37" fontId="3" fillId="12" borderId="1" xfId="0" applyNumberFormat="1" applyFont="1" applyFill="1" applyBorder="1" applyAlignment="1" applyProtection="1">
      <alignment vertical="center"/>
    </xf>
    <xf numFmtId="37" fontId="4" fillId="12" borderId="1" xfId="0" applyNumberFormat="1" applyFont="1" applyFill="1" applyBorder="1" applyAlignment="1" applyProtection="1">
      <alignment vertical="center"/>
    </xf>
    <xf numFmtId="0" fontId="4" fillId="0" borderId="0" xfId="301" applyFont="1" applyAlignment="1">
      <alignment vertical="center"/>
    </xf>
    <xf numFmtId="0" fontId="4" fillId="0" borderId="0" xfId="81" applyFont="1" applyAlignment="1">
      <alignment vertical="center" wrapText="1"/>
    </xf>
    <xf numFmtId="0" fontId="4" fillId="6" borderId="2" xfId="0" applyFont="1" applyFill="1" applyBorder="1" applyAlignment="1" applyProtection="1">
      <alignment vertical="center"/>
      <protection locked="0"/>
    </xf>
    <xf numFmtId="0" fontId="4" fillId="6" borderId="7" xfId="0" applyFont="1" applyFill="1" applyBorder="1" applyAlignment="1" applyProtection="1">
      <alignment vertical="center"/>
      <protection locked="0"/>
    </xf>
    <xf numFmtId="0" fontId="28" fillId="0" borderId="0" xfId="303"/>
    <xf numFmtId="0" fontId="4" fillId="0" borderId="0" xfId="303" applyFont="1" applyAlignment="1">
      <alignment horizontal="left" vertical="center"/>
    </xf>
    <xf numFmtId="173" fontId="11" fillId="0" borderId="0" xfId="303" applyNumberFormat="1" applyFont="1" applyAlignment="1">
      <alignment horizontal="left" vertical="center"/>
    </xf>
    <xf numFmtId="49" fontId="4" fillId="0" borderId="0" xfId="303" applyNumberFormat="1" applyFont="1" applyAlignment="1">
      <alignment horizontal="left" vertical="center"/>
    </xf>
    <xf numFmtId="0" fontId="11" fillId="0" borderId="0" xfId="303" applyFont="1" applyAlignment="1">
      <alignment horizontal="left" vertical="center"/>
    </xf>
    <xf numFmtId="174" fontId="11" fillId="0" borderId="0" xfId="303" applyNumberFormat="1" applyFont="1" applyAlignment="1">
      <alignment horizontal="left" vertical="center"/>
    </xf>
    <xf numFmtId="0" fontId="27" fillId="0" borderId="0" xfId="120" applyFont="1" applyFill="1"/>
    <xf numFmtId="0" fontId="27" fillId="0" borderId="0" xfId="120" applyFont="1"/>
    <xf numFmtId="0" fontId="29" fillId="0" borderId="0" xfId="0" applyFont="1" applyAlignment="1">
      <alignment horizontal="center"/>
    </xf>
    <xf numFmtId="0" fontId="27" fillId="0" borderId="0" xfId="0" applyFont="1"/>
    <xf numFmtId="0" fontId="30" fillId="0" borderId="0" xfId="0" applyFont="1"/>
    <xf numFmtId="0" fontId="30" fillId="0" borderId="0" xfId="0" applyFont="1" applyAlignment="1"/>
    <xf numFmtId="0" fontId="27" fillId="0" borderId="0" xfId="0" quotePrefix="1" applyFont="1"/>
    <xf numFmtId="0" fontId="27" fillId="0" borderId="0" xfId="0" applyFont="1" applyAlignment="1"/>
    <xf numFmtId="0" fontId="0" fillId="0" borderId="0" xfId="0" applyAlignment="1"/>
    <xf numFmtId="0" fontId="30" fillId="0" borderId="0" xfId="0" applyFont="1" applyAlignment="1">
      <alignment horizontal="center"/>
    </xf>
    <xf numFmtId="0" fontId="4" fillId="0" borderId="0" xfId="52" applyFont="1" applyAlignment="1">
      <alignment vertical="center"/>
    </xf>
    <xf numFmtId="0" fontId="5" fillId="0" borderId="0" xfId="56" applyFont="1" applyAlignment="1">
      <alignment vertical="center"/>
    </xf>
    <xf numFmtId="0" fontId="4" fillId="0" borderId="0" xfId="195" applyFont="1" applyAlignment="1">
      <alignment vertical="center" wrapText="1"/>
    </xf>
    <xf numFmtId="0" fontId="4" fillId="0" borderId="0" xfId="64" applyFont="1" applyAlignment="1">
      <alignment vertical="center" wrapText="1"/>
    </xf>
    <xf numFmtId="0" fontId="4" fillId="0" borderId="0" xfId="73" applyFont="1" applyAlignment="1">
      <alignment vertical="center" wrapText="1"/>
    </xf>
    <xf numFmtId="0" fontId="4" fillId="3" borderId="0" xfId="0" applyFont="1" applyFill="1"/>
    <xf numFmtId="0" fontId="47"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2" borderId="1" xfId="0" applyNumberFormat="1" applyFont="1" applyFill="1" applyBorder="1" applyAlignment="1" applyProtection="1">
      <alignment horizontal="center" vertical="center"/>
      <protection locked="0"/>
    </xf>
    <xf numFmtId="3" fontId="11" fillId="4" borderId="5" xfId="0" applyNumberFormat="1" applyFont="1" applyFill="1" applyBorder="1" applyAlignment="1">
      <alignment horizontal="center" vertical="center"/>
    </xf>
    <xf numFmtId="3" fontId="4" fillId="11" borderId="11" xfId="0" applyNumberFormat="1" applyFont="1" applyFill="1" applyBorder="1" applyAlignment="1" applyProtection="1">
      <alignment vertical="center"/>
    </xf>
    <xf numFmtId="37" fontId="13" fillId="3" borderId="1"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horizontal="fill" vertical="center"/>
    </xf>
    <xf numFmtId="37" fontId="15" fillId="6" borderId="1" xfId="0" applyNumberFormat="1" applyFont="1" applyFill="1" applyBorder="1" applyAlignment="1" applyProtection="1">
      <alignment horizontal="center" vertical="center"/>
    </xf>
    <xf numFmtId="49" fontId="4" fillId="2" borderId="1" xfId="0" applyNumberFormat="1" applyFont="1" applyFill="1" applyBorder="1" applyAlignment="1" applyProtection="1">
      <alignment horizontal="center" vertical="center"/>
      <protection locked="0"/>
    </xf>
    <xf numFmtId="0" fontId="4" fillId="3" borderId="0" xfId="25" applyFont="1" applyFill="1" applyAlignment="1" applyProtection="1">
      <alignment horizontal="right" vertical="center"/>
    </xf>
    <xf numFmtId="0" fontId="2" fillId="0" borderId="0" xfId="21"/>
    <xf numFmtId="0" fontId="4" fillId="3" borderId="0" xfId="21" applyFont="1" applyFill="1" applyAlignment="1" applyProtection="1">
      <alignment vertical="center"/>
    </xf>
    <xf numFmtId="0" fontId="4" fillId="0" borderId="0" xfId="21" applyFont="1" applyAlignment="1" applyProtection="1">
      <alignment vertical="center"/>
      <protection locked="0"/>
    </xf>
    <xf numFmtId="37" fontId="4" fillId="3" borderId="0" xfId="21" applyNumberFormat="1" applyFont="1" applyFill="1" applyAlignment="1" applyProtection="1">
      <alignment horizontal="left" vertical="center"/>
    </xf>
    <xf numFmtId="0" fontId="3" fillId="3" borderId="0" xfId="21" applyFont="1" applyFill="1" applyAlignment="1" applyProtection="1">
      <alignment vertical="center"/>
    </xf>
    <xf numFmtId="3" fontId="4" fillId="2" borderId="1" xfId="21" applyNumberFormat="1" applyFont="1" applyFill="1" applyBorder="1" applyAlignment="1" applyProtection="1">
      <alignment vertical="center"/>
      <protection locked="0"/>
    </xf>
    <xf numFmtId="3" fontId="4" fillId="4" borderId="1" xfId="21" applyNumberFormat="1" applyFont="1" applyFill="1" applyBorder="1" applyAlignment="1" applyProtection="1">
      <alignment vertical="center"/>
    </xf>
    <xf numFmtId="0" fontId="4" fillId="3" borderId="0" xfId="21" applyFont="1" applyFill="1" applyAlignment="1" applyProtection="1">
      <alignment vertical="center"/>
      <protection locked="0"/>
    </xf>
    <xf numFmtId="0" fontId="2" fillId="0" borderId="0" xfId="21" applyAlignment="1">
      <alignment vertical="center"/>
    </xf>
    <xf numFmtId="1" fontId="4" fillId="3" borderId="0" xfId="21" applyNumberFormat="1" applyFont="1" applyFill="1" applyBorder="1" applyAlignment="1" applyProtection="1">
      <alignment horizontal="right" vertical="center"/>
    </xf>
    <xf numFmtId="37" fontId="4" fillId="3" borderId="0" xfId="21" quotePrefix="1" applyNumberFormat="1" applyFont="1" applyFill="1" applyAlignment="1" applyProtection="1">
      <alignment horizontal="right" vertical="center"/>
    </xf>
    <xf numFmtId="37" fontId="4" fillId="3" borderId="11" xfId="21" applyNumberFormat="1" applyFont="1" applyFill="1" applyBorder="1" applyAlignment="1" applyProtection="1">
      <alignment horizontal="left" vertical="center"/>
    </xf>
    <xf numFmtId="3" fontId="4" fillId="3" borderId="1" xfId="21" applyNumberFormat="1" applyFont="1" applyFill="1" applyBorder="1" applyAlignment="1" applyProtection="1">
      <alignment vertical="center"/>
    </xf>
    <xf numFmtId="37" fontId="4" fillId="3" borderId="11" xfId="21" applyNumberFormat="1" applyFont="1" applyFill="1" applyBorder="1" applyAlignment="1" applyProtection="1">
      <alignment vertical="center"/>
    </xf>
    <xf numFmtId="0" fontId="4" fillId="3" borderId="11" xfId="21"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horizontal="right" vertical="center"/>
    </xf>
    <xf numFmtId="37" fontId="4" fillId="3" borderId="0" xfId="21" applyNumberFormat="1" applyFont="1" applyFill="1" applyAlignment="1" applyProtection="1">
      <alignment horizontal="right" vertical="center"/>
    </xf>
    <xf numFmtId="3" fontId="4" fillId="3" borderId="1" xfId="21" applyNumberFormat="1" applyFont="1" applyFill="1" applyBorder="1" applyAlignment="1" applyProtection="1">
      <alignment horizontal="center" vertical="center"/>
    </xf>
    <xf numFmtId="37" fontId="4" fillId="3" borderId="0" xfId="21" applyNumberFormat="1" applyFont="1" applyFill="1" applyAlignment="1" applyProtection="1">
      <alignment horizontal="fill" vertical="center"/>
    </xf>
    <xf numFmtId="37" fontId="4" fillId="3" borderId="16" xfId="21" applyNumberFormat="1" applyFont="1" applyFill="1" applyBorder="1" applyAlignment="1" applyProtection="1">
      <alignment horizontal="left" vertical="center"/>
    </xf>
    <xf numFmtId="37" fontId="3" fillId="3" borderId="11" xfId="21" applyNumberFormat="1" applyFont="1" applyFill="1" applyBorder="1" applyAlignment="1" applyProtection="1">
      <alignment horizontal="left" vertical="center"/>
    </xf>
    <xf numFmtId="3" fontId="4" fillId="3" borderId="0" xfId="21" applyNumberFormat="1" applyFont="1" applyFill="1" applyAlignment="1" applyProtection="1">
      <alignment horizontal="center" vertical="center"/>
    </xf>
    <xf numFmtId="0" fontId="15" fillId="0" borderId="0" xfId="21" applyFont="1" applyAlignment="1" applyProtection="1">
      <alignment vertical="center"/>
    </xf>
    <xf numFmtId="0" fontId="13" fillId="3" borderId="0" xfId="21" applyFont="1" applyFill="1" applyAlignment="1" applyProtection="1">
      <alignment horizontal="center" vertical="center"/>
    </xf>
    <xf numFmtId="37" fontId="4" fillId="2" borderId="11" xfId="21" applyNumberFormat="1" applyFont="1" applyFill="1" applyBorder="1" applyAlignment="1" applyProtection="1">
      <alignment horizontal="left" vertical="center"/>
      <protection locked="0"/>
    </xf>
    <xf numFmtId="3" fontId="3" fillId="4" borderId="1" xfId="21" applyNumberFormat="1" applyFont="1" applyFill="1" applyBorder="1" applyAlignment="1" applyProtection="1">
      <alignment vertical="center"/>
    </xf>
    <xf numFmtId="0" fontId="4" fillId="3" borderId="11" xfId="21" applyFont="1" applyFill="1" applyBorder="1" applyAlignment="1" applyProtection="1">
      <alignment vertical="center"/>
      <protection locked="0"/>
    </xf>
    <xf numFmtId="3" fontId="4" fillId="3" borderId="1" xfId="21" applyNumberFormat="1" applyFont="1" applyFill="1" applyBorder="1" applyAlignment="1" applyProtection="1">
      <alignment horizontal="fill" vertical="center"/>
    </xf>
    <xf numFmtId="37" fontId="4" fillId="6" borderId="0" xfId="21" applyNumberFormat="1" applyFont="1" applyFill="1" applyAlignment="1" applyProtection="1">
      <alignment horizontal="left" vertical="center"/>
      <protection locked="0"/>
    </xf>
    <xf numFmtId="0" fontId="4" fillId="2" borderId="11" xfId="21" applyFont="1" applyFill="1" applyBorder="1" applyAlignment="1" applyProtection="1">
      <alignment horizontal="left" vertical="center"/>
      <protection locked="0"/>
    </xf>
    <xf numFmtId="3" fontId="3" fillId="3" borderId="1" xfId="21" applyNumberFormat="1" applyFont="1" applyFill="1" applyBorder="1" applyAlignment="1" applyProtection="1">
      <alignment vertical="center"/>
    </xf>
    <xf numFmtId="0" fontId="4" fillId="13" borderId="17" xfId="21" applyFont="1" applyFill="1" applyBorder="1" applyAlignment="1" applyProtection="1">
      <alignment vertical="center"/>
      <protection locked="0"/>
    </xf>
    <xf numFmtId="0" fontId="4" fillId="13" borderId="12" xfId="21" applyFont="1" applyFill="1" applyBorder="1" applyAlignment="1" applyProtection="1">
      <alignment vertical="center"/>
      <protection locked="0"/>
    </xf>
    <xf numFmtId="175" fontId="11" fillId="13" borderId="17" xfId="21" applyNumberFormat="1" applyFont="1" applyFill="1" applyBorder="1" applyAlignment="1" applyProtection="1">
      <alignment vertical="center"/>
      <protection locked="0"/>
    </xf>
    <xf numFmtId="175" fontId="11" fillId="13" borderId="16" xfId="21" applyNumberFormat="1" applyFont="1" applyFill="1" applyBorder="1" applyAlignment="1" applyProtection="1">
      <alignment horizontal="center" vertical="center"/>
      <protection locked="0"/>
    </xf>
    <xf numFmtId="175" fontId="11" fillId="13" borderId="17" xfId="21" applyNumberFormat="1" applyFont="1" applyFill="1" applyBorder="1" applyAlignment="1" applyProtection="1">
      <alignment horizontal="center" vertical="center"/>
      <protection locked="0"/>
    </xf>
    <xf numFmtId="0" fontId="11" fillId="13" borderId="0" xfId="21" applyFont="1" applyFill="1" applyBorder="1" applyAlignment="1" applyProtection="1">
      <alignment vertical="center"/>
      <protection locked="0"/>
    </xf>
    <xf numFmtId="0" fontId="11" fillId="13" borderId="0" xfId="21" applyFont="1" applyFill="1" applyBorder="1" applyAlignment="1" applyProtection="1">
      <alignment horizontal="left" vertical="center"/>
      <protection locked="0"/>
    </xf>
    <xf numFmtId="37" fontId="4" fillId="6" borderId="11" xfId="21" applyNumberFormat="1" applyFont="1" applyFill="1" applyBorder="1" applyAlignment="1" applyProtection="1">
      <alignment horizontal="right" vertical="center"/>
      <protection locked="0"/>
    </xf>
    <xf numFmtId="3" fontId="3" fillId="4" borderId="11" xfId="21" applyNumberFormat="1" applyFont="1" applyFill="1" applyBorder="1" applyAlignment="1" applyProtection="1">
      <alignment vertical="center"/>
    </xf>
    <xf numFmtId="3" fontId="4" fillId="3" borderId="11" xfId="21" applyNumberFormat="1" applyFont="1" applyFill="1" applyBorder="1" applyAlignment="1" applyProtection="1">
      <alignment vertical="center"/>
    </xf>
    <xf numFmtId="37" fontId="4" fillId="6" borderId="11" xfId="21" applyNumberFormat="1" applyFont="1" applyFill="1" applyBorder="1" applyAlignment="1" applyProtection="1">
      <alignment vertical="center"/>
      <protection locked="0"/>
    </xf>
    <xf numFmtId="3" fontId="4" fillId="2" borderId="11" xfId="21" applyNumberFormat="1" applyFont="1" applyFill="1" applyBorder="1" applyAlignment="1" applyProtection="1">
      <alignment vertical="center"/>
      <protection locked="0"/>
    </xf>
    <xf numFmtId="3" fontId="3" fillId="3" borderId="11" xfId="21" applyNumberFormat="1" applyFont="1" applyFill="1" applyBorder="1" applyAlignment="1" applyProtection="1">
      <alignment vertical="center"/>
    </xf>
    <xf numFmtId="3" fontId="4" fillId="4" borderId="11" xfId="21" applyNumberFormat="1" applyFont="1" applyFill="1" applyBorder="1" applyAlignment="1" applyProtection="1">
      <alignment vertical="center"/>
    </xf>
    <xf numFmtId="37" fontId="3" fillId="3" borderId="2" xfId="21" applyNumberFormat="1" applyFont="1" applyFill="1" applyBorder="1" applyAlignment="1" applyProtection="1">
      <alignment vertical="center"/>
    </xf>
    <xf numFmtId="37" fontId="3" fillId="3" borderId="0" xfId="21" applyNumberFormat="1" applyFont="1" applyFill="1" applyBorder="1" applyAlignment="1" applyProtection="1">
      <alignment vertical="center"/>
    </xf>
    <xf numFmtId="0" fontId="8" fillId="7" borderId="1" xfId="0" applyFont="1" applyFill="1" applyBorder="1" applyAlignment="1" applyProtection="1">
      <alignment vertical="center" shrinkToFit="1"/>
    </xf>
    <xf numFmtId="37"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center" vertical="center"/>
    </xf>
    <xf numFmtId="0" fontId="35" fillId="0" borderId="0" xfId="0" applyFont="1" applyAlignment="1" applyProtection="1">
      <alignment vertical="center"/>
    </xf>
    <xf numFmtId="0" fontId="36" fillId="0" borderId="0" xfId="0" applyFont="1"/>
    <xf numFmtId="0" fontId="36" fillId="14" borderId="0" xfId="0" applyFont="1" applyFill="1"/>
    <xf numFmtId="0" fontId="36" fillId="13" borderId="0" xfId="0" applyFont="1" applyFill="1"/>
    <xf numFmtId="0" fontId="48" fillId="14" borderId="0" xfId="0" applyFont="1" applyFill="1" applyAlignment="1">
      <alignment horizontal="center" wrapText="1"/>
    </xf>
    <xf numFmtId="0" fontId="48" fillId="13" borderId="0" xfId="0" applyFont="1" applyFill="1"/>
    <xf numFmtId="0" fontId="36" fillId="13" borderId="0" xfId="0" applyFont="1" applyFill="1" applyAlignment="1">
      <alignment horizontal="center"/>
    </xf>
    <xf numFmtId="0" fontId="48" fillId="13" borderId="18" xfId="0" applyFont="1" applyFill="1" applyBorder="1"/>
    <xf numFmtId="0" fontId="36" fillId="13" borderId="19" xfId="0" applyFont="1" applyFill="1" applyBorder="1"/>
    <xf numFmtId="0" fontId="36" fillId="13" borderId="20" xfId="0" applyFont="1" applyFill="1" applyBorder="1"/>
    <xf numFmtId="175" fontId="36" fillId="13" borderId="21" xfId="0" applyNumberFormat="1" applyFont="1" applyFill="1" applyBorder="1"/>
    <xf numFmtId="0" fontId="36" fillId="13" borderId="0" xfId="0" applyFont="1" applyFill="1" applyBorder="1"/>
    <xf numFmtId="175" fontId="36" fillId="13" borderId="2" xfId="0" applyNumberFormat="1" applyFont="1" applyFill="1" applyBorder="1" applyAlignment="1">
      <alignment horizontal="center"/>
    </xf>
    <xf numFmtId="0" fontId="36" fillId="13" borderId="22" xfId="0" applyFont="1" applyFill="1" applyBorder="1"/>
    <xf numFmtId="0" fontId="36" fillId="13" borderId="23" xfId="0" applyFont="1" applyFill="1" applyBorder="1"/>
    <xf numFmtId="0" fontId="36" fillId="13" borderId="24" xfId="0" applyFont="1" applyFill="1" applyBorder="1"/>
    <xf numFmtId="0" fontId="36" fillId="13" borderId="25" xfId="0" applyFont="1" applyFill="1" applyBorder="1"/>
    <xf numFmtId="175" fontId="36" fillId="13" borderId="0" xfId="0" applyNumberFormat="1" applyFont="1" applyFill="1"/>
    <xf numFmtId="0" fontId="36" fillId="13" borderId="18" xfId="0" applyFont="1" applyFill="1" applyBorder="1"/>
    <xf numFmtId="0" fontId="36" fillId="13" borderId="26" xfId="0" applyFont="1" applyFill="1" applyBorder="1"/>
    <xf numFmtId="175" fontId="36" fillId="15" borderId="21" xfId="0" applyNumberFormat="1" applyFont="1" applyFill="1" applyBorder="1" applyAlignment="1" applyProtection="1">
      <alignment horizontal="center"/>
      <protection locked="0"/>
    </xf>
    <xf numFmtId="172" fontId="36" fillId="13" borderId="0" xfId="0" applyNumberFormat="1" applyFont="1" applyFill="1" applyBorder="1" applyAlignment="1">
      <alignment horizontal="center"/>
    </xf>
    <xf numFmtId="0" fontId="49" fillId="0" borderId="0" xfId="0" applyFont="1" applyBorder="1"/>
    <xf numFmtId="0" fontId="36" fillId="0" borderId="0" xfId="0" applyFont="1" applyBorder="1"/>
    <xf numFmtId="0" fontId="48"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0" fontId="36" fillId="13" borderId="27" xfId="0" applyFont="1" applyFill="1" applyBorder="1"/>
    <xf numFmtId="0" fontId="36" fillId="13" borderId="10" xfId="0" applyFont="1" applyFill="1" applyBorder="1"/>
    <xf numFmtId="0" fontId="36" fillId="13" borderId="28" xfId="0" applyFont="1" applyFill="1" applyBorder="1"/>
    <xf numFmtId="5" fontId="36" fillId="13" borderId="24" xfId="0" applyNumberFormat="1" applyFont="1" applyFill="1" applyBorder="1" applyAlignment="1">
      <alignment horizontal="center"/>
    </xf>
    <xf numFmtId="0" fontId="36" fillId="13" borderId="24" xfId="0" applyFont="1" applyFill="1" applyBorder="1" applyAlignment="1">
      <alignment horizontal="center"/>
    </xf>
    <xf numFmtId="172" fontId="36" fillId="13" borderId="24" xfId="0" applyNumberFormat="1" applyFont="1" applyFill="1" applyBorder="1" applyAlignment="1">
      <alignment horizontal="center"/>
    </xf>
    <xf numFmtId="176" fontId="36" fillId="13" borderId="24" xfId="0" applyNumberFormat="1" applyFont="1" applyFill="1" applyBorder="1" applyAlignment="1">
      <alignment horizontal="center"/>
    </xf>
    <xf numFmtId="0" fontId="36" fillId="13" borderId="0" xfId="0" applyFont="1" applyFill="1" applyAlignment="1">
      <alignment horizontal="center" wrapText="1"/>
    </xf>
    <xf numFmtId="0" fontId="48" fillId="13" borderId="18" xfId="0" applyFont="1" applyFill="1" applyBorder="1" applyAlignment="1"/>
    <xf numFmtId="0" fontId="36" fillId="13" borderId="19" xfId="0" applyFont="1" applyFill="1" applyBorder="1" applyAlignment="1"/>
    <xf numFmtId="0" fontId="36" fillId="13" borderId="20" xfId="0" applyFont="1" applyFill="1" applyBorder="1" applyAlignment="1"/>
    <xf numFmtId="0" fontId="36" fillId="13" borderId="26" xfId="0" applyFont="1" applyFill="1" applyBorder="1" applyAlignment="1"/>
    <xf numFmtId="0" fontId="36" fillId="13" borderId="22" xfId="0" applyFont="1" applyFill="1" applyBorder="1" applyAlignment="1"/>
    <xf numFmtId="0" fontId="36" fillId="13" borderId="27" xfId="0" applyFont="1" applyFill="1" applyBorder="1" applyAlignment="1"/>
    <xf numFmtId="0" fontId="36" fillId="13" borderId="10" xfId="0" applyFont="1" applyFill="1" applyBorder="1" applyAlignment="1"/>
    <xf numFmtId="0" fontId="36" fillId="13" borderId="28" xfId="0" applyFont="1" applyFill="1" applyBorder="1" applyAlignment="1"/>
    <xf numFmtId="171" fontId="36" fillId="13" borderId="0" xfId="0" applyNumberFormat="1" applyFont="1" applyFill="1" applyBorder="1" applyAlignment="1">
      <alignment horizontal="center"/>
    </xf>
    <xf numFmtId="0" fontId="36" fillId="13" borderId="23"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2" fontId="36" fillId="15" borderId="2" xfId="0" applyNumberFormat="1" applyFont="1" applyFill="1" applyBorder="1" applyAlignment="1" applyProtection="1">
      <alignment horizontal="center"/>
      <protection locked="0"/>
    </xf>
    <xf numFmtId="176" fontId="36" fillId="13" borderId="0" xfId="0" applyNumberFormat="1" applyFont="1" applyFill="1" applyBorder="1"/>
    <xf numFmtId="0" fontId="36" fillId="16" borderId="0" xfId="0" applyFont="1" applyFill="1"/>
    <xf numFmtId="0" fontId="38" fillId="0" borderId="0" xfId="0" applyFont="1" applyAlignment="1">
      <alignment horizontal="center"/>
    </xf>
    <xf numFmtId="0" fontId="4" fillId="0" borderId="0" xfId="0" applyFont="1" applyAlignment="1">
      <alignment wrapText="1"/>
    </xf>
    <xf numFmtId="0" fontId="39" fillId="0" borderId="0" xfId="7" applyFont="1" applyAlignment="1" applyProtection="1"/>
    <xf numFmtId="3" fontId="4" fillId="3" borderId="5" xfId="0" applyNumberFormat="1"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 fontId="4" fillId="6" borderId="11" xfId="21" applyNumberFormat="1" applyFont="1" applyFill="1" applyBorder="1" applyAlignment="1" applyProtection="1">
      <alignment horizontal="right" vertical="center"/>
      <protection locked="0"/>
    </xf>
    <xf numFmtId="0" fontId="4" fillId="0" borderId="0" xfId="25" applyFont="1" applyAlignment="1">
      <alignment vertical="center" wrapText="1"/>
    </xf>
    <xf numFmtId="0" fontId="20" fillId="0" borderId="0" xfId="0" applyFont="1"/>
    <xf numFmtId="0" fontId="21" fillId="0" borderId="0" xfId="0" applyFont="1" applyAlignment="1">
      <alignment horizontal="center"/>
    </xf>
    <xf numFmtId="0" fontId="3" fillId="0" borderId="0" xfId="0" applyFont="1" applyAlignment="1">
      <alignment wrapText="1"/>
    </xf>
    <xf numFmtId="0" fontId="0"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2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wrapText="1"/>
    </xf>
    <xf numFmtId="0" fontId="24" fillId="0" borderId="0" xfId="0" applyNumberFormat="1" applyFont="1" applyFill="1" applyBorder="1" applyAlignment="1" applyProtection="1">
      <alignment vertical="center"/>
    </xf>
    <xf numFmtId="0" fontId="4" fillId="0" borderId="0" xfId="25" applyFont="1" applyAlignment="1">
      <alignment vertical="center"/>
    </xf>
    <xf numFmtId="0" fontId="50" fillId="0" borderId="0" xfId="0" applyFont="1" applyAlignment="1">
      <alignment wrapText="1"/>
    </xf>
    <xf numFmtId="0" fontId="23" fillId="0" borderId="0" xfId="0" applyFont="1" applyAlignment="1">
      <alignment wrapText="1"/>
    </xf>
    <xf numFmtId="172" fontId="4" fillId="15" borderId="12" xfId="21" applyNumberFormat="1" applyFont="1" applyFill="1" applyBorder="1" applyAlignment="1" applyProtection="1">
      <alignment horizontal="center"/>
      <protection locked="0"/>
    </xf>
    <xf numFmtId="0" fontId="40" fillId="13" borderId="17" xfId="21" applyFont="1" applyFill="1" applyBorder="1" applyProtection="1"/>
    <xf numFmtId="0" fontId="4" fillId="13" borderId="0" xfId="21" applyFont="1" applyFill="1" applyBorder="1" applyProtection="1"/>
    <xf numFmtId="175" fontId="4" fillId="13" borderId="12" xfId="21" applyNumberFormat="1" applyFont="1" applyFill="1" applyBorder="1" applyAlignment="1" applyProtection="1">
      <alignment horizontal="center"/>
    </xf>
    <xf numFmtId="0" fontId="4" fillId="13" borderId="16" xfId="21" applyFont="1" applyFill="1" applyBorder="1" applyProtection="1"/>
    <xf numFmtId="0" fontId="4" fillId="13" borderId="2" xfId="21" applyFont="1" applyFill="1" applyBorder="1" applyProtection="1"/>
    <xf numFmtId="175" fontId="4" fillId="17" borderId="8" xfId="21" applyNumberFormat="1" applyFont="1" applyFill="1" applyBorder="1" applyAlignment="1" applyProtection="1">
      <alignment horizontal="center"/>
    </xf>
    <xf numFmtId="0" fontId="4" fillId="0" borderId="0" xfId="21" applyFont="1" applyFill="1" applyBorder="1" applyProtection="1"/>
    <xf numFmtId="0" fontId="4" fillId="13" borderId="17" xfId="21" applyFont="1" applyFill="1" applyBorder="1" applyProtection="1"/>
    <xf numFmtId="0" fontId="4" fillId="13" borderId="12" xfId="21" applyFont="1" applyFill="1" applyBorder="1" applyProtection="1"/>
    <xf numFmtId="171" fontId="4" fillId="13" borderId="12" xfId="21" applyNumberFormat="1" applyFont="1" applyFill="1" applyBorder="1" applyAlignment="1" applyProtection="1">
      <alignment horizontal="center"/>
    </xf>
    <xf numFmtId="0" fontId="4" fillId="17" borderId="17" xfId="21" applyFont="1" applyFill="1" applyBorder="1" applyProtection="1"/>
    <xf numFmtId="0" fontId="4" fillId="17" borderId="0" xfId="21" applyFont="1" applyFill="1" applyBorder="1" applyProtection="1"/>
    <xf numFmtId="0" fontId="4" fillId="17" borderId="16" xfId="21" applyFont="1" applyFill="1" applyBorder="1" applyProtection="1"/>
    <xf numFmtId="0" fontId="4" fillId="17" borderId="2" xfId="21" applyFont="1" applyFill="1" applyBorder="1" applyProtection="1"/>
    <xf numFmtId="0" fontId="4" fillId="0" borderId="0" xfId="21" applyFont="1" applyProtection="1"/>
    <xf numFmtId="175" fontId="4" fillId="13" borderId="8" xfId="21" applyNumberFormat="1" applyFont="1" applyFill="1" applyBorder="1" applyAlignment="1" applyProtection="1">
      <alignment horizontal="center"/>
    </xf>
    <xf numFmtId="0" fontId="5" fillId="0" borderId="0" xfId="57" applyFont="1" applyAlignment="1">
      <alignment vertical="center"/>
    </xf>
    <xf numFmtId="0" fontId="51" fillId="0" borderId="0" xfId="0" applyFont="1" applyAlignment="1">
      <alignment vertical="center"/>
    </xf>
    <xf numFmtId="0" fontId="52" fillId="0" borderId="0" xfId="0" applyFont="1" applyAlignment="1" applyProtection="1">
      <alignment horizontal="center" vertical="center"/>
      <protection locked="0"/>
    </xf>
    <xf numFmtId="0" fontId="53" fillId="3" borderId="0" xfId="0" applyFont="1" applyFill="1" applyAlignment="1" applyProtection="1">
      <alignment horizontal="center" vertical="center"/>
    </xf>
    <xf numFmtId="37" fontId="4" fillId="3" borderId="29" xfId="0" applyNumberFormat="1" applyFont="1" applyFill="1" applyBorder="1" applyAlignment="1" applyProtection="1">
      <alignment vertical="center"/>
    </xf>
    <xf numFmtId="0" fontId="4" fillId="3" borderId="29" xfId="0" applyFont="1" applyFill="1" applyBorder="1" applyAlignment="1" applyProtection="1">
      <alignment vertical="center"/>
    </xf>
    <xf numFmtId="170" fontId="4" fillId="6" borderId="1" xfId="1" applyNumberFormat="1" applyFont="1" applyFill="1" applyBorder="1" applyAlignment="1" applyProtection="1">
      <alignment vertical="center"/>
      <protection locked="0"/>
    </xf>
    <xf numFmtId="37" fontId="3" fillId="3" borderId="0" xfId="0" applyNumberFormat="1" applyFont="1" applyFill="1" applyBorder="1" applyAlignment="1" applyProtection="1">
      <alignment vertical="center"/>
    </xf>
    <xf numFmtId="0" fontId="4" fillId="2" borderId="11" xfId="14" applyNumberFormat="1" applyFont="1" applyFill="1" applyBorder="1" applyAlignment="1" applyProtection="1">
      <alignment horizontal="left" vertical="center"/>
      <protection locked="0"/>
    </xf>
    <xf numFmtId="0" fontId="4" fillId="2" borderId="11" xfId="25" applyNumberFormat="1" applyFont="1" applyFill="1" applyBorder="1" applyAlignment="1" applyProtection="1">
      <alignment horizontal="left" vertical="center"/>
      <protection locked="0"/>
    </xf>
    <xf numFmtId="0" fontId="4" fillId="13" borderId="0" xfId="21" applyFont="1" applyFill="1" applyBorder="1" applyAlignment="1" applyProtection="1">
      <alignment vertical="center"/>
      <protection locked="0"/>
    </xf>
    <xf numFmtId="0" fontId="4" fillId="13" borderId="0" xfId="21" applyFont="1" applyFill="1" applyBorder="1" applyAlignment="1" applyProtection="1">
      <alignment vertical="center"/>
    </xf>
    <xf numFmtId="0" fontId="40" fillId="13" borderId="0" xfId="21" applyFont="1" applyFill="1" applyBorder="1" applyAlignment="1" applyProtection="1">
      <alignment vertical="center"/>
      <protection locked="0"/>
    </xf>
    <xf numFmtId="175" fontId="40" fillId="15" borderId="1" xfId="21" applyNumberFormat="1" applyFont="1" applyFill="1" applyBorder="1" applyAlignment="1" applyProtection="1">
      <alignment horizontal="center" vertical="center"/>
      <protection locked="0"/>
    </xf>
    <xf numFmtId="0" fontId="4" fillId="13" borderId="17" xfId="21" applyFont="1" applyFill="1" applyBorder="1" applyAlignment="1" applyProtection="1">
      <alignment vertical="center"/>
    </xf>
    <xf numFmtId="0" fontId="4" fillId="13" borderId="12" xfId="21" applyFont="1" applyFill="1" applyBorder="1" applyAlignment="1" applyProtection="1">
      <alignment vertical="center"/>
    </xf>
    <xf numFmtId="175" fontId="40" fillId="13" borderId="17" xfId="21" applyNumberFormat="1" applyFont="1" applyFill="1" applyBorder="1" applyAlignment="1" applyProtection="1">
      <alignment horizontal="center" vertical="center"/>
    </xf>
    <xf numFmtId="0" fontId="40" fillId="13" borderId="0" xfId="21" applyFont="1" applyFill="1" applyBorder="1" applyAlignment="1" applyProtection="1">
      <alignment horizontal="left" vertical="center"/>
    </xf>
    <xf numFmtId="0" fontId="40" fillId="13" borderId="12" xfId="21" applyFont="1" applyFill="1" applyBorder="1" applyAlignment="1" applyProtection="1">
      <alignment vertical="center"/>
    </xf>
    <xf numFmtId="0" fontId="40" fillId="13" borderId="0" xfId="21" applyFont="1" applyFill="1" applyBorder="1" applyAlignment="1" applyProtection="1">
      <alignment vertical="center"/>
    </xf>
    <xf numFmtId="175" fontId="40" fillId="13" borderId="16" xfId="21" applyNumberFormat="1" applyFont="1" applyFill="1" applyBorder="1" applyAlignment="1" applyProtection="1">
      <alignment horizontal="center" vertical="center"/>
    </xf>
    <xf numFmtId="175" fontId="40" fillId="13" borderId="17" xfId="21" applyNumberFormat="1" applyFont="1" applyFill="1" applyBorder="1" applyAlignment="1" applyProtection="1">
      <alignment vertical="center"/>
    </xf>
    <xf numFmtId="0" fontId="42" fillId="17" borderId="2" xfId="21" applyFont="1" applyFill="1" applyBorder="1" applyAlignment="1" applyProtection="1">
      <alignment vertical="center"/>
    </xf>
    <xf numFmtId="0" fontId="40" fillId="17" borderId="8" xfId="21" applyFont="1" applyFill="1" applyBorder="1" applyAlignment="1" applyProtection="1">
      <alignment vertical="center"/>
    </xf>
    <xf numFmtId="0" fontId="4" fillId="17" borderId="8" xfId="21" applyFont="1" applyFill="1" applyBorder="1" applyAlignment="1" applyProtection="1">
      <alignment vertical="center"/>
    </xf>
    <xf numFmtId="0" fontId="40" fillId="13" borderId="17" xfId="21" applyFont="1" applyFill="1" applyBorder="1" applyAlignment="1" applyProtection="1">
      <alignment horizontal="left" vertical="center"/>
    </xf>
    <xf numFmtId="175" fontId="42" fillId="17" borderId="16" xfId="21" applyNumberFormat="1" applyFont="1" applyFill="1" applyBorder="1" applyAlignment="1" applyProtection="1">
      <alignment horizontal="center" vertical="center"/>
    </xf>
    <xf numFmtId="175" fontId="42" fillId="17" borderId="8" xfId="21" applyNumberFormat="1" applyFont="1" applyFill="1" applyBorder="1" applyAlignment="1" applyProtection="1">
      <alignment horizontal="center" vertical="center"/>
      <protection locked="0"/>
    </xf>
    <xf numFmtId="172" fontId="40" fillId="13" borderId="9" xfId="21" applyNumberFormat="1" applyFont="1" applyFill="1" applyBorder="1" applyAlignment="1" applyProtection="1">
      <alignment horizontal="center" vertical="center"/>
      <protection locked="0"/>
    </xf>
    <xf numFmtId="0" fontId="40" fillId="13" borderId="17" xfId="21" applyFont="1" applyFill="1" applyBorder="1" applyAlignment="1" applyProtection="1">
      <alignment vertical="center"/>
    </xf>
    <xf numFmtId="37" fontId="4" fillId="0" borderId="0" xfId="0" applyNumberFormat="1" applyFont="1" applyFill="1" applyBorder="1" applyAlignment="1" applyProtection="1">
      <alignment horizontal="center" vertical="center"/>
    </xf>
    <xf numFmtId="3" fontId="4" fillId="3"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171" fontId="4" fillId="3" borderId="0" xfId="0" applyNumberFormat="1" applyFont="1" applyFill="1" applyBorder="1" applyAlignment="1" applyProtection="1">
      <alignment horizontal="center" vertical="center"/>
    </xf>
    <xf numFmtId="3" fontId="4" fillId="3" borderId="30" xfId="0" applyNumberFormat="1" applyFont="1" applyFill="1" applyBorder="1" applyAlignment="1" applyProtection="1">
      <alignment horizontal="center" vertical="center"/>
    </xf>
    <xf numFmtId="172" fontId="4" fillId="3" borderId="30" xfId="0"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7" fontId="4" fillId="3" borderId="2" xfId="0" applyNumberFormat="1" applyFont="1" applyFill="1" applyBorder="1" applyAlignment="1" applyProtection="1">
      <alignment vertical="center"/>
      <protection locked="0"/>
    </xf>
    <xf numFmtId="37" fontId="4" fillId="3" borderId="3" xfId="14" applyNumberFormat="1" applyFont="1" applyFill="1" applyBorder="1" applyAlignment="1" applyProtection="1">
      <alignment horizontal="center"/>
    </xf>
    <xf numFmtId="37" fontId="4" fillId="3" borderId="5" xfId="14" applyNumberFormat="1" applyFont="1" applyFill="1" applyBorder="1" applyAlignment="1" applyProtection="1">
      <alignment horizontal="center"/>
    </xf>
    <xf numFmtId="3" fontId="4" fillId="12" borderId="6" xfId="0" applyNumberFormat="1" applyFont="1" applyFill="1" applyBorder="1" applyAlignment="1" applyProtection="1">
      <alignment horizontal="center" vertical="center"/>
    </xf>
    <xf numFmtId="37" fontId="7" fillId="3" borderId="3" xfId="0" applyNumberFormat="1" applyFont="1" applyFill="1" applyBorder="1" applyAlignment="1" applyProtection="1">
      <alignment horizontal="center" vertical="center"/>
    </xf>
    <xf numFmtId="1" fontId="7" fillId="3" borderId="3" xfId="0" applyNumberFormat="1" applyFont="1" applyFill="1" applyBorder="1" applyAlignment="1" applyProtection="1">
      <alignment horizontal="center" vertical="center"/>
    </xf>
    <xf numFmtId="0" fontId="3" fillId="3" borderId="2" xfId="0" applyFont="1" applyFill="1" applyBorder="1" applyAlignment="1" applyProtection="1">
      <alignment vertical="center"/>
    </xf>
    <xf numFmtId="0" fontId="48" fillId="13" borderId="26" xfId="0" applyFont="1" applyFill="1" applyBorder="1" applyAlignment="1">
      <alignment horizontal="centerContinuous" vertical="center"/>
    </xf>
    <xf numFmtId="175" fontId="48" fillId="13" borderId="0" xfId="0" applyNumberFormat="1" applyFont="1" applyFill="1" applyBorder="1" applyAlignment="1">
      <alignment horizontal="centerContinuous" vertical="center"/>
    </xf>
    <xf numFmtId="0" fontId="48" fillId="13" borderId="0" xfId="0" applyFont="1" applyFill="1" applyBorder="1" applyAlignment="1">
      <alignment horizontal="centerContinuous" vertical="center"/>
    </xf>
    <xf numFmtId="172" fontId="48" fillId="13" borderId="0" xfId="0" applyNumberFormat="1" applyFont="1" applyFill="1" applyBorder="1" applyAlignment="1" applyProtection="1">
      <alignment horizontal="centerContinuous" vertical="center"/>
      <protection locked="0"/>
    </xf>
    <xf numFmtId="176" fontId="48" fillId="13" borderId="0" xfId="0" applyNumberFormat="1" applyFont="1" applyFill="1" applyBorder="1" applyAlignment="1">
      <alignment horizontal="centerContinuous" vertical="center"/>
    </xf>
    <xf numFmtId="0" fontId="48" fillId="13" borderId="22" xfId="0" applyFont="1" applyFill="1" applyBorder="1" applyAlignment="1">
      <alignment horizontal="centerContinuous" vertical="center"/>
    </xf>
    <xf numFmtId="0" fontId="48" fillId="13" borderId="26" xfId="0" applyFont="1" applyFill="1" applyBorder="1" applyAlignment="1">
      <alignment horizontal="centerContinuous"/>
    </xf>
    <xf numFmtId="175" fontId="48" fillId="13" borderId="0" xfId="0" applyNumberFormat="1" applyFont="1" applyFill="1" applyBorder="1" applyAlignment="1">
      <alignment horizontal="centerContinuous"/>
    </xf>
    <xf numFmtId="0" fontId="48" fillId="13" borderId="0" xfId="0" applyFont="1" applyFill="1" applyBorder="1" applyAlignment="1">
      <alignment horizontal="centerContinuous"/>
    </xf>
    <xf numFmtId="172" fontId="48" fillId="13" borderId="0" xfId="0" applyNumberFormat="1" applyFont="1" applyFill="1" applyBorder="1" applyAlignment="1" applyProtection="1">
      <alignment horizontal="centerContinuous"/>
      <protection locked="0"/>
    </xf>
    <xf numFmtId="176" fontId="48" fillId="13" borderId="0" xfId="0" applyNumberFormat="1" applyFont="1" applyFill="1" applyBorder="1" applyAlignment="1">
      <alignment horizontal="centerContinuous"/>
    </xf>
    <xf numFmtId="0" fontId="48" fillId="13" borderId="22" xfId="0" applyFont="1" applyFill="1" applyBorder="1" applyAlignment="1">
      <alignment horizontal="centerContinuous"/>
    </xf>
    <xf numFmtId="175" fontId="36" fillId="0" borderId="0" xfId="0" applyNumberFormat="1" applyFont="1"/>
    <xf numFmtId="175" fontId="36" fillId="13" borderId="24" xfId="0" applyNumberFormat="1" applyFont="1" applyFill="1" applyBorder="1" applyAlignment="1">
      <alignment horizontal="center"/>
    </xf>
    <xf numFmtId="172" fontId="36" fillId="13" borderId="24" xfId="0" applyNumberFormat="1" applyFont="1" applyFill="1" applyBorder="1" applyAlignment="1" applyProtection="1">
      <alignment horizontal="center"/>
      <protection locked="0"/>
    </xf>
    <xf numFmtId="176" fontId="36" fillId="13" borderId="24" xfId="0" applyNumberFormat="1" applyFont="1" applyFill="1" applyBorder="1"/>
    <xf numFmtId="172" fontId="36" fillId="13" borderId="0" xfId="0" applyNumberFormat="1" applyFont="1" applyFill="1" applyBorder="1" applyAlignment="1" applyProtection="1">
      <alignment horizontal="center"/>
      <protection locked="0"/>
    </xf>
    <xf numFmtId="175" fontId="36" fillId="13" borderId="19" xfId="0" applyNumberFormat="1" applyFont="1" applyFill="1" applyBorder="1" applyAlignment="1">
      <alignment horizontal="center"/>
    </xf>
    <xf numFmtId="0" fontId="36" fillId="13" borderId="19" xfId="0" applyFont="1" applyFill="1" applyBorder="1" applyAlignment="1">
      <alignment horizontal="center"/>
    </xf>
    <xf numFmtId="172" fontId="36" fillId="13" borderId="19" xfId="0" applyNumberFormat="1" applyFont="1" applyFill="1" applyBorder="1" applyAlignment="1" applyProtection="1">
      <alignment horizontal="center"/>
      <protection locked="0"/>
    </xf>
    <xf numFmtId="176" fontId="36" fillId="13" borderId="19" xfId="0" applyNumberFormat="1" applyFont="1" applyFill="1" applyBorder="1"/>
    <xf numFmtId="175" fontId="36" fillId="13" borderId="0" xfId="0" applyNumberFormat="1" applyFont="1" applyFill="1" applyBorder="1" applyAlignment="1" applyProtection="1">
      <alignment horizontal="center"/>
      <protection locked="0"/>
    </xf>
    <xf numFmtId="175" fontId="4" fillId="17" borderId="12" xfId="21" applyNumberFormat="1" applyFont="1" applyFill="1" applyBorder="1" applyAlignment="1" applyProtection="1">
      <alignment horizontal="center"/>
    </xf>
    <xf numFmtId="0" fontId="4" fillId="17" borderId="16" xfId="0" applyFont="1" applyFill="1" applyBorder="1" applyAlignment="1">
      <alignment vertical="center"/>
    </xf>
    <xf numFmtId="0" fontId="4" fillId="17" borderId="2" xfId="0" applyFont="1" applyFill="1" applyBorder="1" applyAlignment="1">
      <alignment vertical="center"/>
    </xf>
    <xf numFmtId="175" fontId="4" fillId="17" borderId="8" xfId="0" applyNumberFormat="1" applyFont="1" applyFill="1" applyBorder="1" applyAlignment="1">
      <alignment horizontal="center" vertical="center"/>
    </xf>
    <xf numFmtId="175" fontId="36" fillId="13" borderId="0" xfId="0" applyNumberFormat="1" applyFont="1" applyFill="1" applyBorder="1" applyAlignment="1">
      <alignment horizontal="center"/>
    </xf>
    <xf numFmtId="176" fontId="36" fillId="13" borderId="0" xfId="0" applyNumberFormat="1" applyFont="1" applyFill="1" applyBorder="1" applyAlignment="1">
      <alignment horizontal="center"/>
    </xf>
    <xf numFmtId="0" fontId="48" fillId="13" borderId="0" xfId="0" applyFont="1" applyFill="1" applyAlignment="1">
      <alignment horizontal="center" wrapText="1"/>
    </xf>
    <xf numFmtId="0" fontId="36" fillId="13" borderId="0" xfId="0" applyFont="1" applyFill="1" applyBorder="1" applyAlignment="1">
      <alignment horizontal="center"/>
    </xf>
    <xf numFmtId="175" fontId="36" fillId="15" borderId="2" xfId="0" applyNumberFormat="1" applyFont="1" applyFill="1" applyBorder="1" applyAlignment="1" applyProtection="1">
      <alignment horizontal="center"/>
      <protection locked="0"/>
    </xf>
    <xf numFmtId="0" fontId="48" fillId="13" borderId="0" xfId="0" applyFont="1" applyFill="1" applyAlignment="1">
      <alignment horizontal="center"/>
    </xf>
    <xf numFmtId="175" fontId="36" fillId="13" borderId="0" xfId="0" applyNumberFormat="1" applyFont="1" applyFill="1" applyAlignment="1">
      <alignment horizontal="center"/>
    </xf>
    <xf numFmtId="0" fontId="36" fillId="13" borderId="0" xfId="0" applyFont="1" applyFill="1" applyBorder="1" applyAlignment="1"/>
    <xf numFmtId="0" fontId="36" fillId="13" borderId="25" xfId="0" applyFont="1" applyFill="1" applyBorder="1" applyAlignment="1"/>
    <xf numFmtId="0" fontId="36" fillId="13" borderId="10" xfId="0" applyFont="1" applyFill="1" applyBorder="1" applyAlignment="1">
      <alignment horizontal="center"/>
    </xf>
    <xf numFmtId="0" fontId="4" fillId="3" borderId="0" xfId="7" applyNumberFormat="1" applyFont="1" applyFill="1" applyBorder="1" applyAlignment="1" applyProtection="1">
      <alignment horizontal="right" vertical="center"/>
    </xf>
    <xf numFmtId="0" fontId="4" fillId="0" borderId="0" xfId="57" applyFont="1" applyAlignment="1">
      <alignment vertical="center"/>
    </xf>
    <xf numFmtId="0" fontId="4" fillId="3" borderId="4" xfId="0" applyFont="1" applyFill="1" applyBorder="1" applyProtection="1"/>
    <xf numFmtId="0" fontId="4" fillId="13" borderId="0" xfId="0" applyFont="1" applyFill="1" applyAlignment="1" applyProtection="1">
      <alignment vertical="center"/>
      <protection locked="0"/>
    </xf>
    <xf numFmtId="10" fontId="4" fillId="2" borderId="1" xfId="0" applyNumberFormat="1" applyFont="1" applyFill="1" applyBorder="1" applyAlignment="1" applyProtection="1">
      <alignment vertical="center"/>
      <protection locked="0"/>
    </xf>
    <xf numFmtId="178" fontId="4" fillId="2" borderId="1" xfId="0" applyNumberFormat="1" applyFont="1" applyFill="1" applyBorder="1" applyAlignment="1" applyProtection="1">
      <alignment vertical="center"/>
      <protection locked="0"/>
    </xf>
    <xf numFmtId="171" fontId="4" fillId="3" borderId="9" xfId="0" applyNumberFormat="1" applyFont="1" applyFill="1" applyBorder="1" applyAlignment="1" applyProtection="1">
      <alignment vertical="center"/>
    </xf>
    <xf numFmtId="0" fontId="54" fillId="0" borderId="0" xfId="0" applyFont="1"/>
    <xf numFmtId="49" fontId="4" fillId="6" borderId="0" xfId="303" applyNumberFormat="1" applyFont="1" applyFill="1" applyAlignment="1" applyProtection="1">
      <alignment horizontal="left" vertical="center"/>
      <protection locked="0"/>
    </xf>
    <xf numFmtId="49" fontId="4" fillId="0" borderId="0" xfId="303" applyNumberFormat="1" applyFont="1" applyFill="1" applyAlignment="1" applyProtection="1">
      <alignment horizontal="left" vertical="center"/>
      <protection locked="0"/>
    </xf>
    <xf numFmtId="0" fontId="4" fillId="6" borderId="0" xfId="303" applyFont="1" applyFill="1" applyAlignment="1" applyProtection="1">
      <alignment horizontal="left" vertical="center"/>
      <protection locked="0"/>
    </xf>
    <xf numFmtId="0" fontId="28" fillId="6" borderId="0" xfId="303" applyFill="1" applyAlignment="1" applyProtection="1">
      <alignment horizontal="left" vertical="center"/>
      <protection locked="0"/>
    </xf>
    <xf numFmtId="0" fontId="55" fillId="0" borderId="0" xfId="303" applyFont="1"/>
    <xf numFmtId="173" fontId="56" fillId="0" borderId="0" xfId="303" applyNumberFormat="1" applyFont="1" applyAlignment="1">
      <alignment horizontal="left" vertical="center"/>
    </xf>
    <xf numFmtId="0" fontId="56" fillId="0" borderId="0" xfId="303" applyNumberFormat="1" applyFont="1" applyAlignment="1">
      <alignment horizontal="left" vertical="center"/>
    </xf>
    <xf numFmtId="1" fontId="56" fillId="0" borderId="0" xfId="303" applyNumberFormat="1" applyFont="1" applyAlignment="1">
      <alignment horizontal="left" vertical="center"/>
    </xf>
    <xf numFmtId="0" fontId="57" fillId="0" borderId="0" xfId="303" applyFont="1" applyAlignment="1">
      <alignment horizontal="left" vertical="center"/>
    </xf>
    <xf numFmtId="49" fontId="4" fillId="3" borderId="0" xfId="0" applyNumberFormat="1" applyFont="1" applyFill="1" applyAlignment="1" applyProtection="1">
      <alignment horizontal="left" vertical="center"/>
    </xf>
    <xf numFmtId="0" fontId="42" fillId="17" borderId="17" xfId="21" applyFont="1" applyFill="1" applyBorder="1" applyAlignment="1" applyProtection="1">
      <alignment vertical="center"/>
      <protection locked="0"/>
    </xf>
    <xf numFmtId="0" fontId="4" fillId="17" borderId="0" xfId="21" applyFont="1" applyFill="1" applyBorder="1" applyAlignment="1" applyProtection="1">
      <alignment vertical="center"/>
      <protection locked="0"/>
    </xf>
    <xf numFmtId="0" fontId="40" fillId="17" borderId="0" xfId="21" applyFont="1" applyFill="1" applyBorder="1" applyAlignment="1" applyProtection="1">
      <alignment vertical="center"/>
      <protection locked="0"/>
    </xf>
    <xf numFmtId="0" fontId="4" fillId="0" borderId="0" xfId="0" applyFont="1" applyBorder="1" applyAlignment="1" applyProtection="1">
      <alignment vertical="center"/>
      <protection locked="0"/>
    </xf>
    <xf numFmtId="0" fontId="40" fillId="13" borderId="16" xfId="0" applyFont="1" applyFill="1" applyBorder="1" applyAlignment="1" applyProtection="1">
      <alignment vertical="center"/>
      <protection locked="0"/>
    </xf>
    <xf numFmtId="0" fontId="40" fillId="13" borderId="2" xfId="0" applyFont="1" applyFill="1" applyBorder="1" applyAlignment="1" applyProtection="1">
      <alignment vertical="center"/>
      <protection locked="0"/>
    </xf>
    <xf numFmtId="0" fontId="4" fillId="13" borderId="2" xfId="0" applyFont="1" applyFill="1" applyBorder="1" applyAlignment="1" applyProtection="1">
      <alignment vertical="center"/>
      <protection locked="0"/>
    </xf>
    <xf numFmtId="0" fontId="4" fillId="17" borderId="8" xfId="0" applyFont="1" applyFill="1" applyBorder="1" applyAlignment="1" applyProtection="1">
      <alignment vertical="center"/>
      <protection locked="0"/>
    </xf>
    <xf numFmtId="172" fontId="40" fillId="13" borderId="17" xfId="0" applyNumberFormat="1" applyFont="1" applyFill="1" applyBorder="1" applyAlignment="1" applyProtection="1">
      <alignment horizontal="center" vertical="center"/>
    </xf>
    <xf numFmtId="0" fontId="40" fillId="13" borderId="0" xfId="0" applyFont="1" applyFill="1" applyBorder="1" applyAlignment="1" applyProtection="1">
      <alignment horizontal="left" vertical="center"/>
    </xf>
    <xf numFmtId="0" fontId="41" fillId="13" borderId="0" xfId="0" applyFont="1" applyFill="1" applyBorder="1" applyAlignment="1" applyProtection="1">
      <alignment horizontal="center" vertical="center"/>
    </xf>
    <xf numFmtId="0" fontId="0" fillId="13" borderId="12" xfId="0" applyFill="1" applyBorder="1" applyAlignment="1" applyProtection="1">
      <alignment vertical="center"/>
    </xf>
    <xf numFmtId="172" fontId="40" fillId="17" borderId="16" xfId="0" applyNumberFormat="1" applyFont="1" applyFill="1" applyBorder="1" applyAlignment="1" applyProtection="1">
      <alignment horizontal="center" vertical="center"/>
    </xf>
    <xf numFmtId="172" fontId="40" fillId="13" borderId="11" xfId="0" applyNumberFormat="1" applyFont="1" applyFill="1" applyBorder="1" applyAlignment="1" applyProtection="1">
      <alignment horizontal="center" vertical="center"/>
    </xf>
    <xf numFmtId="172" fontId="40" fillId="17" borderId="11" xfId="0" applyNumberFormat="1" applyFont="1" applyFill="1" applyBorder="1" applyAlignment="1" applyProtection="1">
      <alignment horizontal="center" vertical="center"/>
    </xf>
    <xf numFmtId="0" fontId="40" fillId="13" borderId="2" xfId="0" applyFont="1" applyFill="1" applyBorder="1" applyAlignment="1" applyProtection="1">
      <alignment horizontal="left" vertical="center"/>
    </xf>
    <xf numFmtId="0" fontId="41" fillId="13" borderId="2" xfId="0" applyFont="1" applyFill="1" applyBorder="1" applyAlignment="1" applyProtection="1">
      <alignment horizontal="center" vertical="center"/>
    </xf>
    <xf numFmtId="0" fontId="0" fillId="13" borderId="8" xfId="0" applyFill="1" applyBorder="1" applyAlignment="1" applyProtection="1">
      <alignment vertical="center"/>
    </xf>
    <xf numFmtId="0" fontId="51" fillId="0" borderId="0" xfId="0" applyFont="1" applyProtection="1">
      <protection locked="0"/>
    </xf>
    <xf numFmtId="175" fontId="11" fillId="17" borderId="16" xfId="21" applyNumberFormat="1" applyFont="1" applyFill="1" applyBorder="1" applyAlignment="1" applyProtection="1">
      <alignment horizontal="center" vertical="center"/>
      <protection locked="0"/>
    </xf>
    <xf numFmtId="0" fontId="11" fillId="17" borderId="2" xfId="21" applyFont="1" applyFill="1" applyBorder="1" applyAlignment="1" applyProtection="1">
      <alignment vertical="center"/>
      <protection locked="0"/>
    </xf>
    <xf numFmtId="0" fontId="4" fillId="17" borderId="8" xfId="21" applyFont="1" applyFill="1" applyBorder="1" applyAlignment="1" applyProtection="1">
      <alignment vertical="center"/>
      <protection locked="0"/>
    </xf>
    <xf numFmtId="0" fontId="4" fillId="13" borderId="12" xfId="0" applyFont="1" applyFill="1" applyBorder="1" applyAlignment="1" applyProtection="1">
      <alignment vertical="center"/>
      <protection locked="0"/>
    </xf>
    <xf numFmtId="3" fontId="4" fillId="10" borderId="6" xfId="21" applyNumberFormat="1" applyFont="1" applyFill="1" applyBorder="1" applyAlignment="1" applyProtection="1">
      <alignment vertical="center"/>
    </xf>
    <xf numFmtId="3" fontId="4" fillId="11" borderId="6" xfId="0" applyNumberFormat="1" applyFont="1" applyFill="1" applyBorder="1" applyAlignment="1" applyProtection="1">
      <alignment vertical="center"/>
    </xf>
    <xf numFmtId="3" fontId="4" fillId="10" borderId="6" xfId="0" applyNumberFormat="1" applyFont="1" applyFill="1" applyBorder="1" applyAlignment="1" applyProtection="1">
      <alignment vertical="center"/>
    </xf>
    <xf numFmtId="0" fontId="40" fillId="13" borderId="17" xfId="0" applyFont="1" applyFill="1" applyBorder="1" applyAlignment="1" applyProtection="1">
      <alignment vertical="center"/>
    </xf>
    <xf numFmtId="0" fontId="4" fillId="13" borderId="0" xfId="0" applyFont="1" applyFill="1" applyBorder="1" applyAlignment="1" applyProtection="1">
      <alignment vertical="center"/>
    </xf>
    <xf numFmtId="0" fontId="40" fillId="13" borderId="0" xfId="0" applyFont="1" applyFill="1" applyBorder="1" applyAlignment="1" applyProtection="1">
      <alignment vertical="center"/>
    </xf>
    <xf numFmtId="175" fontId="40" fillId="13" borderId="12" xfId="0" applyNumberFormat="1" applyFont="1" applyFill="1" applyBorder="1" applyAlignment="1" applyProtection="1">
      <alignment horizontal="center" vertical="center"/>
    </xf>
    <xf numFmtId="0" fontId="40" fillId="13" borderId="17" xfId="0" applyFont="1" applyFill="1" applyBorder="1" applyAlignment="1" applyProtection="1">
      <alignment horizontal="left" vertical="center"/>
    </xf>
    <xf numFmtId="175" fontId="40" fillId="15" borderId="1" xfId="0" applyNumberFormat="1" applyFont="1" applyFill="1" applyBorder="1" applyAlignment="1" applyProtection="1">
      <alignment horizontal="center" vertical="center"/>
      <protection locked="0"/>
    </xf>
    <xf numFmtId="172" fontId="42" fillId="13" borderId="9" xfId="0" applyNumberFormat="1" applyFont="1" applyFill="1" applyBorder="1" applyAlignment="1" applyProtection="1">
      <alignment horizontal="center" vertical="center"/>
    </xf>
    <xf numFmtId="0" fontId="42" fillId="17" borderId="17" xfId="0" applyFont="1" applyFill="1" applyBorder="1" applyAlignment="1" applyProtection="1">
      <alignment vertical="center"/>
    </xf>
    <xf numFmtId="0" fontId="4" fillId="17" borderId="0" xfId="0" applyFont="1" applyFill="1" applyBorder="1" applyAlignment="1" applyProtection="1">
      <alignment vertical="center"/>
    </xf>
    <xf numFmtId="0" fontId="40" fillId="17" borderId="0" xfId="0" applyFont="1" applyFill="1" applyBorder="1" applyAlignment="1" applyProtection="1">
      <alignment vertical="center"/>
    </xf>
    <xf numFmtId="175" fontId="42" fillId="17" borderId="9" xfId="0" applyNumberFormat="1" applyFont="1" applyFill="1" applyBorder="1" applyAlignment="1" applyProtection="1">
      <alignment horizontal="center" vertical="center"/>
    </xf>
    <xf numFmtId="37" fontId="40" fillId="3" borderId="16" xfId="0" applyNumberFormat="1" applyFont="1" applyFill="1" applyBorder="1" applyAlignment="1" applyProtection="1">
      <alignment horizontal="left" vertical="center"/>
    </xf>
    <xf numFmtId="0" fontId="44" fillId="13" borderId="2" xfId="0" applyFont="1" applyFill="1" applyBorder="1" applyAlignment="1">
      <alignment horizontal="left" vertical="center"/>
    </xf>
    <xf numFmtId="175" fontId="42" fillId="17" borderId="8" xfId="0" applyNumberFormat="1" applyFont="1" applyFill="1" applyBorder="1" applyAlignment="1" applyProtection="1">
      <alignment horizontal="center" vertical="center"/>
      <protection locked="0"/>
    </xf>
    <xf numFmtId="0" fontId="4" fillId="13" borderId="17" xfId="0" applyFont="1" applyFill="1" applyBorder="1" applyAlignment="1" applyProtection="1">
      <alignment vertical="center"/>
    </xf>
    <xf numFmtId="0" fontId="4" fillId="13" borderId="12" xfId="0" applyFont="1" applyFill="1" applyBorder="1" applyProtection="1">
      <protection locked="0"/>
    </xf>
    <xf numFmtId="175" fontId="40" fillId="13" borderId="17" xfId="0" applyNumberFormat="1" applyFont="1" applyFill="1" applyBorder="1" applyAlignment="1" applyProtection="1">
      <alignment horizontal="center" vertical="center"/>
    </xf>
    <xf numFmtId="0" fontId="40" fillId="13" borderId="12" xfId="0" applyFont="1" applyFill="1" applyBorder="1" applyAlignment="1" applyProtection="1">
      <alignment vertical="center"/>
    </xf>
    <xf numFmtId="175" fontId="40" fillId="13" borderId="16" xfId="0" applyNumberFormat="1" applyFont="1" applyFill="1" applyBorder="1" applyAlignment="1" applyProtection="1">
      <alignment horizontal="center" vertical="center"/>
    </xf>
    <xf numFmtId="0" fontId="43" fillId="0" borderId="0" xfId="0" applyFont="1" applyAlignment="1" applyProtection="1">
      <alignment horizontal="right" vertical="center"/>
    </xf>
    <xf numFmtId="175" fontId="11" fillId="13" borderId="17" xfId="0" applyNumberFormat="1" applyFont="1" applyFill="1" applyBorder="1" applyAlignment="1" applyProtection="1">
      <alignment horizontal="center" vertical="center"/>
    </xf>
    <xf numFmtId="0" fontId="4" fillId="13" borderId="12" xfId="0" applyFont="1" applyFill="1" applyBorder="1" applyAlignment="1" applyProtection="1">
      <alignment vertical="center"/>
    </xf>
    <xf numFmtId="175" fontId="11" fillId="13" borderId="17" xfId="0" applyNumberFormat="1" applyFont="1" applyFill="1" applyBorder="1" applyAlignment="1" applyProtection="1">
      <alignment vertical="center"/>
    </xf>
    <xf numFmtId="0" fontId="11" fillId="13" borderId="0" xfId="0" applyFont="1" applyFill="1" applyBorder="1" applyAlignment="1" applyProtection="1">
      <alignment vertical="center"/>
    </xf>
    <xf numFmtId="175" fontId="11" fillId="13" borderId="16" xfId="0" applyNumberFormat="1" applyFont="1" applyFill="1" applyBorder="1" applyAlignment="1" applyProtection="1">
      <alignment horizontal="center" vertical="center"/>
    </xf>
    <xf numFmtId="175" fontId="11" fillId="17" borderId="16" xfId="0" applyNumberFormat="1" applyFont="1" applyFill="1" applyBorder="1" applyAlignment="1" applyProtection="1">
      <alignment horizontal="center" vertical="center"/>
    </xf>
    <xf numFmtId="0" fontId="11" fillId="17" borderId="2" xfId="0" applyFont="1" applyFill="1" applyBorder="1" applyAlignment="1" applyProtection="1">
      <alignment vertical="center"/>
    </xf>
    <xf numFmtId="0" fontId="4" fillId="17" borderId="8" xfId="0" applyFont="1" applyFill="1" applyBorder="1" applyAlignment="1" applyProtection="1">
      <alignment vertical="center"/>
    </xf>
    <xf numFmtId="0" fontId="4" fillId="17" borderId="8" xfId="0" applyFont="1" applyFill="1" applyBorder="1" applyProtection="1">
      <protection locked="0"/>
    </xf>
    <xf numFmtId="0" fontId="51" fillId="0" borderId="0" xfId="0" applyFont="1"/>
    <xf numFmtId="0" fontId="4" fillId="13" borderId="0" xfId="14" applyFont="1" applyFill="1"/>
    <xf numFmtId="0" fontId="2" fillId="0" borderId="0" xfId="14"/>
    <xf numFmtId="0" fontId="4" fillId="13" borderId="0" xfId="14" applyFont="1" applyFill="1" applyAlignment="1">
      <alignment vertical="center"/>
    </xf>
    <xf numFmtId="37" fontId="4" fillId="13" borderId="0" xfId="14" applyNumberFormat="1" applyFont="1" applyFill="1" applyAlignment="1">
      <alignment vertical="center"/>
    </xf>
    <xf numFmtId="0" fontId="4" fillId="13" borderId="2" xfId="14" applyFont="1" applyFill="1" applyBorder="1" applyAlignment="1">
      <alignment vertical="center"/>
    </xf>
    <xf numFmtId="0" fontId="4" fillId="13" borderId="0" xfId="14" applyFont="1" applyFill="1" applyAlignment="1">
      <alignment horizontal="center" vertical="center"/>
    </xf>
    <xf numFmtId="0" fontId="5" fillId="13" borderId="0" xfId="14" applyFont="1" applyFill="1" applyAlignment="1">
      <alignment horizontal="center" vertical="center"/>
    </xf>
    <xf numFmtId="175" fontId="4" fillId="13" borderId="0" xfId="14" applyNumberFormat="1" applyFont="1" applyFill="1" applyAlignment="1">
      <alignment vertical="center"/>
    </xf>
    <xf numFmtId="175" fontId="4" fillId="13" borderId="10" xfId="14" applyNumberFormat="1" applyFont="1" applyFill="1" applyBorder="1" applyAlignment="1">
      <alignment vertical="center"/>
    </xf>
    <xf numFmtId="175" fontId="4" fillId="13" borderId="0" xfId="14" applyNumberFormat="1" applyFont="1" applyFill="1" applyBorder="1" applyAlignment="1">
      <alignment vertical="center"/>
    </xf>
    <xf numFmtId="0" fontId="52" fillId="17" borderId="0" xfId="14" applyFont="1" applyFill="1" applyAlignment="1">
      <alignment vertical="center"/>
    </xf>
    <xf numFmtId="0" fontId="52" fillId="13" borderId="0" xfId="14" applyFont="1" applyFill="1" applyAlignment="1">
      <alignment horizontal="center" vertical="center"/>
    </xf>
    <xf numFmtId="172" fontId="4" fillId="13" borderId="0" xfId="14" applyNumberFormat="1" applyFont="1" applyFill="1" applyAlignment="1">
      <alignment horizontal="center" vertical="center"/>
    </xf>
    <xf numFmtId="179" fontId="52" fillId="13" borderId="0" xfId="14" applyNumberFormat="1" applyFont="1" applyFill="1" applyAlignment="1">
      <alignment horizontal="center" vertical="center"/>
    </xf>
    <xf numFmtId="0" fontId="52" fillId="17" borderId="0" xfId="14" applyFont="1" applyFill="1" applyAlignment="1">
      <alignment horizontal="center" vertical="center"/>
    </xf>
    <xf numFmtId="0" fontId="58" fillId="17" borderId="0" xfId="14" applyFont="1" applyFill="1" applyAlignment="1">
      <alignment horizontal="center" vertical="center"/>
    </xf>
    <xf numFmtId="0" fontId="4" fillId="13" borderId="0" xfId="14" applyFont="1" applyFill="1" applyAlignment="1">
      <alignment horizontal="right" vertical="center"/>
    </xf>
    <xf numFmtId="0" fontId="4" fillId="13" borderId="0" xfId="14" applyFont="1" applyFill="1" applyAlignment="1">
      <alignment horizontal="left" vertical="center"/>
    </xf>
    <xf numFmtId="0" fontId="4" fillId="13" borderId="0" xfId="11" applyFont="1" applyFill="1"/>
    <xf numFmtId="0" fontId="2" fillId="13" borderId="0" xfId="14" applyFill="1"/>
    <xf numFmtId="0" fontId="3" fillId="13" borderId="0" xfId="11" applyFont="1" applyFill="1"/>
    <xf numFmtId="0" fontId="2" fillId="13" borderId="0" xfId="11" applyFill="1"/>
    <xf numFmtId="0" fontId="10" fillId="0" borderId="0" xfId="7" applyAlignment="1" applyProtection="1"/>
    <xf numFmtId="175" fontId="40" fillId="13" borderId="17" xfId="0" applyNumberFormat="1" applyFont="1" applyFill="1" applyBorder="1" applyAlignment="1" applyProtection="1">
      <alignment vertical="center"/>
    </xf>
    <xf numFmtId="175" fontId="40" fillId="17" borderId="16" xfId="0" applyNumberFormat="1" applyFont="1" applyFill="1" applyBorder="1" applyAlignment="1" applyProtection="1">
      <alignment horizontal="center" vertical="center"/>
    </xf>
    <xf numFmtId="0" fontId="40" fillId="17" borderId="2" xfId="0" applyFont="1" applyFill="1" applyBorder="1" applyAlignment="1" applyProtection="1">
      <alignment vertical="center"/>
    </xf>
    <xf numFmtId="0" fontId="40" fillId="17" borderId="8" xfId="0" applyFont="1" applyFill="1" applyBorder="1" applyAlignment="1" applyProtection="1">
      <alignment vertical="center"/>
    </xf>
    <xf numFmtId="0" fontId="4" fillId="3" borderId="0" xfId="0" applyFont="1" applyFill="1" applyBorder="1" applyAlignment="1" applyProtection="1">
      <alignment horizontal="center" vertical="center"/>
    </xf>
    <xf numFmtId="37" fontId="4" fillId="3" borderId="0" xfId="0" applyNumberFormat="1" applyFont="1" applyFill="1" applyBorder="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fill" vertical="center"/>
      <protection locked="0"/>
    </xf>
    <xf numFmtId="0" fontId="3" fillId="3" borderId="0" xfId="0" applyFont="1" applyFill="1" applyAlignment="1" applyProtection="1">
      <alignment horizontal="right"/>
    </xf>
    <xf numFmtId="6" fontId="4" fillId="13" borderId="0" xfId="14" applyNumberFormat="1" applyFont="1" applyFill="1" applyBorder="1" applyAlignment="1">
      <alignment horizontal="center" vertic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0" fontId="4" fillId="3" borderId="0" xfId="0"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37" fontId="7" fillId="3" borderId="13" xfId="0" applyNumberFormat="1" applyFont="1" applyFill="1" applyBorder="1" applyAlignment="1" applyProtection="1">
      <alignment horizontal="center" vertical="center"/>
    </xf>
    <xf numFmtId="0" fontId="4" fillId="0" borderId="0" xfId="0" applyFont="1" applyBorder="1" applyAlignment="1">
      <alignment vertical="center"/>
    </xf>
    <xf numFmtId="3" fontId="4" fillId="3" borderId="1" xfId="0" applyNumberFormat="1" applyFont="1" applyFill="1" applyBorder="1" applyAlignment="1" applyProtection="1">
      <alignment horizontal="right" vertical="center"/>
    </xf>
    <xf numFmtId="177" fontId="4" fillId="3" borderId="1" xfId="0" applyNumberFormat="1" applyFont="1" applyFill="1" applyBorder="1" applyAlignment="1" applyProtection="1">
      <alignment horizontal="right" vertical="center"/>
    </xf>
    <xf numFmtId="171" fontId="4" fillId="3" borderId="1" xfId="0" applyNumberFormat="1" applyFont="1" applyFill="1" applyBorder="1" applyAlignment="1" applyProtection="1">
      <alignment horizontal="right" vertical="center"/>
    </xf>
    <xf numFmtId="0" fontId="4" fillId="3" borderId="1" xfId="0" applyFont="1" applyFill="1" applyBorder="1" applyAlignment="1" applyProtection="1">
      <alignment horizontal="right" vertical="center"/>
    </xf>
    <xf numFmtId="3" fontId="4" fillId="3" borderId="29" xfId="0" applyNumberFormat="1" applyFont="1" applyFill="1" applyBorder="1" applyAlignment="1" applyProtection="1">
      <alignment horizontal="right" vertical="center"/>
    </xf>
    <xf numFmtId="0" fontId="4" fillId="3" borderId="29" xfId="0" applyFont="1" applyFill="1" applyBorder="1" applyAlignment="1" applyProtection="1">
      <alignment horizontal="right" vertical="center"/>
    </xf>
    <xf numFmtId="3" fontId="4" fillId="12" borderId="5" xfId="0" applyNumberFormat="1" applyFont="1" applyFill="1" applyBorder="1" applyAlignment="1" applyProtection="1">
      <alignment horizontal="right" vertical="center"/>
    </xf>
    <xf numFmtId="172" fontId="4" fillId="12" borderId="5" xfId="0" applyNumberFormat="1" applyFont="1" applyFill="1" applyBorder="1" applyAlignment="1" applyProtection="1">
      <alignment horizontal="right" vertical="center"/>
    </xf>
    <xf numFmtId="178" fontId="4" fillId="3" borderId="0" xfId="306" applyNumberFormat="1" applyFont="1" applyFill="1" applyAlignment="1" applyProtection="1">
      <alignment horizontal="center" vertical="center"/>
    </xf>
    <xf numFmtId="37" fontId="4" fillId="0" borderId="0" xfId="11" applyNumberFormat="1" applyFont="1" applyFill="1" applyAlignment="1" applyProtection="1">
      <alignment horizontal="left" vertical="center" wrapText="1"/>
    </xf>
    <xf numFmtId="0" fontId="4" fillId="0" borderId="0" xfId="308"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89" applyFont="1" applyAlignment="1">
      <alignment vertical="center" wrapText="1"/>
    </xf>
    <xf numFmtId="0" fontId="4" fillId="0" borderId="0" xfId="296" applyNumberFormat="1" applyFont="1" applyAlignment="1">
      <alignment vertical="center" wrapText="1"/>
    </xf>
    <xf numFmtId="0" fontId="4" fillId="0" borderId="0" xfId="16" applyFont="1" applyAlignment="1">
      <alignment vertical="center" wrapText="1"/>
    </xf>
    <xf numFmtId="0" fontId="4" fillId="0" borderId="0" xfId="47" applyFont="1" applyAlignment="1">
      <alignment vertical="center" wrapText="1"/>
    </xf>
    <xf numFmtId="0" fontId="4" fillId="0" borderId="0" xfId="53" applyFont="1" applyAlignment="1">
      <alignment vertical="center" wrapText="1"/>
    </xf>
    <xf numFmtId="0" fontId="43" fillId="0" borderId="0" xfId="0" applyFont="1" applyAlignment="1" applyProtection="1">
      <alignment vertical="center"/>
    </xf>
    <xf numFmtId="0" fontId="10" fillId="18" borderId="0" xfId="7" applyFill="1" applyAlignment="1" applyProtection="1"/>
    <xf numFmtId="0" fontId="46" fillId="18" borderId="0" xfId="275" applyFill="1"/>
    <xf numFmtId="0" fontId="46" fillId="0" borderId="0" xfId="275"/>
    <xf numFmtId="0" fontId="4" fillId="0" borderId="0" xfId="85" applyFont="1" applyAlignment="1">
      <alignment vertical="center"/>
    </xf>
    <xf numFmtId="0" fontId="4" fillId="0" borderId="0" xfId="57" applyFont="1" applyAlignment="1">
      <alignment vertical="center" wrapText="1"/>
    </xf>
    <xf numFmtId="37" fontId="13" fillId="3" borderId="0" xfId="0" applyNumberFormat="1" applyFont="1" applyFill="1" applyAlignment="1" applyProtection="1">
      <alignment horizontal="center" vertical="center"/>
    </xf>
    <xf numFmtId="0" fontId="14" fillId="0" borderId="0" xfId="0" applyFont="1" applyAlignment="1">
      <alignment horizontal="center" vertical="center"/>
    </xf>
    <xf numFmtId="37" fontId="12" fillId="3" borderId="0" xfId="0" applyNumberFormat="1" applyFont="1" applyFill="1" applyAlignment="1" applyProtection="1">
      <alignment horizontal="left" vertical="center"/>
    </xf>
    <xf numFmtId="0" fontId="0" fillId="0" borderId="0" xfId="0" applyAlignment="1">
      <alignment horizontal="left"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8"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4" fillId="5" borderId="10" xfId="0" applyFont="1" applyFill="1" applyBorder="1" applyAlignment="1">
      <alignment vertical="center" wrapText="1"/>
    </xf>
    <xf numFmtId="0" fontId="0" fillId="0" borderId="10" xfId="0" applyBorder="1" applyAlignment="1">
      <alignment vertical="center" wrapText="1"/>
    </xf>
    <xf numFmtId="0" fontId="3" fillId="7" borderId="0" xfId="0" applyFont="1" applyFill="1" applyBorder="1" applyAlignment="1">
      <alignment horizontal="center" vertical="center"/>
    </xf>
    <xf numFmtId="0" fontId="1" fillId="7" borderId="0" xfId="0" applyFont="1" applyFill="1" applyBorder="1" applyAlignment="1">
      <alignment horizontal="center" vertical="center"/>
    </xf>
    <xf numFmtId="0" fontId="4" fillId="0" borderId="0" xfId="303" applyFont="1" applyAlignment="1">
      <alignment horizontal="left" vertical="center" wrapText="1"/>
    </xf>
    <xf numFmtId="0" fontId="28" fillId="0" borderId="0" xfId="303" applyAlignment="1">
      <alignment horizontal="left" vertical="center" wrapText="1"/>
    </xf>
    <xf numFmtId="0" fontId="12" fillId="0" borderId="0" xfId="303" applyFont="1" applyAlignment="1">
      <alignment horizontal="left" vertical="center"/>
    </xf>
    <xf numFmtId="37" fontId="12" fillId="3" borderId="0" xfId="0" applyNumberFormat="1" applyFont="1" applyFill="1" applyAlignment="1" applyProtection="1">
      <alignment horizontal="center" vertical="center"/>
    </xf>
    <xf numFmtId="0" fontId="30"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7" borderId="3" xfId="0" applyFont="1" applyFill="1" applyBorder="1" applyAlignment="1" applyProtection="1">
      <alignment horizontal="center" vertical="center" wrapText="1" shrinkToFit="1"/>
    </xf>
    <xf numFmtId="0" fontId="0" fillId="0" borderId="5" xfId="0" applyBorder="1" applyAlignment="1" applyProtection="1">
      <alignment horizontal="center" vertical="center" wrapText="1"/>
    </xf>
    <xf numFmtId="0" fontId="6" fillId="3" borderId="0" xfId="0" applyFont="1" applyFill="1" applyAlignment="1">
      <alignment horizontal="center" vertical="center"/>
    </xf>
    <xf numFmtId="37" fontId="3" fillId="3" borderId="0" xfId="0" applyNumberFormat="1" applyFont="1" applyFill="1" applyAlignment="1">
      <alignment horizontal="center" vertical="center"/>
    </xf>
    <xf numFmtId="0" fontId="3" fillId="3" borderId="0" xfId="0" applyFont="1" applyFill="1" applyAlignment="1">
      <alignment horizontal="center" vertical="center"/>
    </xf>
    <xf numFmtId="37" fontId="3" fillId="3" borderId="0" xfId="0" applyNumberFormat="1" applyFont="1" applyFill="1" applyAlignment="1" applyProtection="1">
      <alignment horizontal="center" vertical="center"/>
    </xf>
    <xf numFmtId="37" fontId="4" fillId="3"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3" fillId="3" borderId="0" xfId="0" applyFont="1" applyFill="1" applyAlignment="1" applyProtection="1">
      <alignment horizontal="center" vertical="center"/>
    </xf>
    <xf numFmtId="0" fontId="4" fillId="3" borderId="16" xfId="0" applyFont="1" applyFill="1" applyBorder="1" applyAlignment="1" applyProtection="1">
      <alignment horizontal="center" vertical="center"/>
    </xf>
    <xf numFmtId="0" fontId="0" fillId="0" borderId="8" xfId="0" applyBorder="1" applyAlignment="1" applyProtection="1">
      <alignment vertical="center"/>
    </xf>
    <xf numFmtId="1" fontId="4" fillId="3" borderId="16" xfId="0" applyNumberFormat="1" applyFont="1" applyFill="1" applyBorder="1" applyAlignment="1" applyProtection="1">
      <alignment horizontal="center" vertical="center"/>
    </xf>
    <xf numFmtId="0" fontId="0" fillId="0" borderId="8" xfId="0" applyBorder="1" applyAlignment="1" applyProtection="1">
      <alignment horizontal="center" vertical="center"/>
    </xf>
    <xf numFmtId="0" fontId="12" fillId="13" borderId="0" xfId="307" applyFont="1" applyFill="1" applyAlignment="1">
      <alignment horizontal="center"/>
    </xf>
    <xf numFmtId="0" fontId="2" fillId="13" borderId="0" xfId="14" applyFill="1" applyAlignment="1">
      <alignment horizontal="center"/>
    </xf>
    <xf numFmtId="0" fontId="3" fillId="13" borderId="0" xfId="14" applyFont="1" applyFill="1" applyAlignment="1">
      <alignment horizontal="center" vertical="center"/>
    </xf>
    <xf numFmtId="0" fontId="12" fillId="13" borderId="0" xfId="14" applyFont="1" applyFill="1" applyAlignment="1">
      <alignment horizontal="center" vertical="center"/>
    </xf>
    <xf numFmtId="0" fontId="4" fillId="13" borderId="0" xfId="14" applyFont="1" applyFill="1" applyAlignment="1">
      <alignment vertical="center" wrapText="1"/>
    </xf>
    <xf numFmtId="172" fontId="41" fillId="13" borderId="15" xfId="0" applyNumberFormat="1" applyFont="1" applyFill="1" applyBorder="1" applyAlignment="1" applyProtection="1">
      <alignment horizontal="center"/>
    </xf>
    <xf numFmtId="0" fontId="14" fillId="0" borderId="10" xfId="0" applyFont="1" applyBorder="1" applyAlignment="1"/>
    <xf numFmtId="0" fontId="14" fillId="0" borderId="13" xfId="0" applyFont="1" applyBorder="1" applyAlignment="1"/>
    <xf numFmtId="0" fontId="41" fillId="13" borderId="15" xfId="21" applyFont="1" applyFill="1" applyBorder="1" applyAlignment="1" applyProtection="1">
      <alignment horizontal="center" vertical="center"/>
    </xf>
    <xf numFmtId="0" fontId="41" fillId="13" borderId="10" xfId="21" applyFont="1" applyFill="1" applyBorder="1" applyAlignment="1" applyProtection="1">
      <alignment horizontal="center" vertical="center"/>
    </xf>
    <xf numFmtId="0" fontId="2" fillId="0" borderId="13" xfId="21" applyBorder="1" applyAlignment="1" applyProtection="1">
      <alignment vertical="center"/>
    </xf>
    <xf numFmtId="3" fontId="4" fillId="3" borderId="10" xfId="25" applyNumberFormat="1" applyFont="1" applyFill="1" applyBorder="1" applyAlignment="1" applyProtection="1">
      <alignment horizontal="right" vertical="center"/>
    </xf>
    <xf numFmtId="0" fontId="2" fillId="0" borderId="13" xfId="25" applyBorder="1" applyAlignment="1">
      <alignment horizontal="right" vertical="center"/>
    </xf>
    <xf numFmtId="0" fontId="4" fillId="3" borderId="0" xfId="25" applyFont="1" applyFill="1" applyAlignment="1" applyProtection="1">
      <alignment horizontal="right" vertical="center"/>
    </xf>
    <xf numFmtId="0" fontId="4" fillId="0" borderId="12" xfId="25"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10" xfId="0" applyBorder="1" applyAlignment="1">
      <alignment vertical="center"/>
    </xf>
    <xf numFmtId="0" fontId="0" fillId="0" borderId="13" xfId="0" applyBorder="1" applyAlignment="1">
      <alignmen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34" fillId="13" borderId="15" xfId="21" applyFont="1" applyFill="1" applyBorder="1" applyAlignment="1" applyProtection="1">
      <alignment horizontal="center" vertical="center"/>
      <protection locked="0"/>
    </xf>
    <xf numFmtId="0" fontId="41" fillId="13" borderId="15" xfId="0" applyFont="1" applyFill="1" applyBorder="1" applyAlignment="1" applyProtection="1">
      <alignment horizontal="center" vertical="center"/>
    </xf>
    <xf numFmtId="0" fontId="44" fillId="0" borderId="10" xfId="0" applyFont="1" applyBorder="1" applyAlignment="1">
      <alignment horizontal="center" vertical="center"/>
    </xf>
    <xf numFmtId="0" fontId="0" fillId="0" borderId="13" xfId="0" applyBorder="1" applyAlignment="1"/>
    <xf numFmtId="0" fontId="0" fillId="0" borderId="0" xfId="0" applyBorder="1" applyAlignment="1">
      <alignment horizontal="right" vertical="center"/>
    </xf>
    <xf numFmtId="0" fontId="0" fillId="0" borderId="10" xfId="0" applyBorder="1" applyAlignment="1">
      <alignment horizontal="center" vertical="center"/>
    </xf>
    <xf numFmtId="37" fontId="4" fillId="13" borderId="0" xfId="0" applyNumberFormat="1" applyFont="1" applyFill="1" applyAlignment="1" applyProtection="1">
      <alignment horizontal="center" vertical="center"/>
    </xf>
    <xf numFmtId="37" fontId="4" fillId="13" borderId="0" xfId="46" applyNumberFormat="1" applyFont="1" applyFill="1" applyAlignment="1" applyProtection="1">
      <alignment horizontal="center"/>
    </xf>
    <xf numFmtId="37" fontId="4" fillId="3" borderId="2" xfId="0" applyNumberFormat="1" applyFont="1" applyFill="1" applyBorder="1" applyAlignment="1" applyProtection="1">
      <alignment horizontal="center" vertical="center"/>
      <protection locked="0"/>
    </xf>
    <xf numFmtId="0" fontId="12" fillId="13" borderId="15" xfId="21" applyFont="1" applyFill="1" applyBorder="1" applyAlignment="1" applyProtection="1">
      <alignment horizontal="center"/>
    </xf>
    <xf numFmtId="0" fontId="2" fillId="0" borderId="10" xfId="21" applyBorder="1" applyAlignment="1" applyProtection="1">
      <alignment horizontal="center"/>
    </xf>
    <xf numFmtId="0" fontId="2" fillId="0" borderId="13" xfId="21" applyBorder="1" applyAlignment="1" applyProtection="1">
      <alignment horizontal="center"/>
    </xf>
    <xf numFmtId="0" fontId="12" fillId="13" borderId="10" xfId="21" applyFont="1" applyFill="1" applyBorder="1" applyAlignment="1" applyProtection="1">
      <alignment horizontal="center"/>
    </xf>
    <xf numFmtId="0" fontId="12" fillId="13" borderId="13" xfId="21" applyFont="1" applyFill="1" applyBorder="1" applyAlignment="1" applyProtection="1">
      <alignment horizontal="center"/>
    </xf>
    <xf numFmtId="0" fontId="0" fillId="0" borderId="10" xfId="0" applyBorder="1" applyAlignment="1">
      <alignment horizontal="center"/>
    </xf>
    <xf numFmtId="0" fontId="0" fillId="0" borderId="13" xfId="0" applyBorder="1" applyAlignment="1">
      <alignment horizontal="center"/>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3" fillId="3" borderId="11" xfId="0" applyFont="1" applyFill="1" applyBorder="1" applyAlignment="1">
      <alignment horizontal="center" vertical="center"/>
    </xf>
    <xf numFmtId="0" fontId="3" fillId="3" borderId="9" xfId="0" applyFont="1" applyFill="1" applyBorder="1" applyAlignment="1">
      <alignment horizontal="center" vertical="center"/>
    </xf>
    <xf numFmtId="0" fontId="4" fillId="0" borderId="0" xfId="0" applyFont="1" applyAlignment="1">
      <alignment horizontal="right"/>
    </xf>
    <xf numFmtId="0" fontId="4" fillId="0" borderId="0" xfId="0" applyFont="1" applyAlignment="1">
      <alignment horizontal="left" vertical="justify" wrapText="1"/>
    </xf>
    <xf numFmtId="0" fontId="4" fillId="0" borderId="0" xfId="0" applyFont="1" applyAlignment="1">
      <alignment horizontal="left" vertical="justify"/>
    </xf>
    <xf numFmtId="0" fontId="4" fillId="0" borderId="0" xfId="0" applyFont="1" applyAlignment="1">
      <alignment horizontal="center"/>
    </xf>
    <xf numFmtId="0" fontId="4" fillId="0" borderId="0" xfId="0" applyFont="1" applyAlignment="1">
      <alignment horizontal="center" wrapText="1"/>
    </xf>
    <xf numFmtId="175" fontId="36" fillId="13" borderId="0" xfId="0" applyNumberFormat="1" applyFont="1" applyFill="1" applyBorder="1" applyAlignment="1">
      <alignment horizontal="center"/>
    </xf>
    <xf numFmtId="0" fontId="36" fillId="13" borderId="26" xfId="0" applyFont="1" applyFill="1" applyBorder="1" applyAlignment="1">
      <alignment vertical="top" wrapText="1"/>
    </xf>
    <xf numFmtId="0" fontId="36" fillId="0" borderId="0" xfId="0" applyFont="1" applyAlignment="1">
      <alignment vertical="top" wrapText="1"/>
    </xf>
    <xf numFmtId="0" fontId="36" fillId="0" borderId="22" xfId="0" applyFont="1" applyBorder="1" applyAlignment="1">
      <alignment vertical="top" wrapText="1"/>
    </xf>
    <xf numFmtId="176" fontId="36" fillId="13" borderId="0" xfId="0" applyNumberFormat="1" applyFont="1" applyFill="1" applyBorder="1" applyAlignment="1">
      <alignment horizontal="center"/>
    </xf>
    <xf numFmtId="0" fontId="36" fillId="0" borderId="22" xfId="0" applyFont="1" applyBorder="1" applyAlignment="1">
      <alignment horizontal="center"/>
    </xf>
    <xf numFmtId="171" fontId="36" fillId="15" borderId="2" xfId="0" applyNumberFormat="1" applyFont="1" applyFill="1" applyBorder="1" applyAlignment="1" applyProtection="1">
      <alignment horizontal="center"/>
      <protection locked="0"/>
    </xf>
    <xf numFmtId="176" fontId="36" fillId="0" borderId="22" xfId="0" applyNumberFormat="1" applyFont="1" applyBorder="1" applyAlignment="1">
      <alignment horizontal="center"/>
    </xf>
    <xf numFmtId="0" fontId="48" fillId="13" borderId="19" xfId="0" applyFont="1" applyFill="1" applyBorder="1" applyAlignment="1">
      <alignment horizontal="center" vertical="center"/>
    </xf>
    <xf numFmtId="0" fontId="48" fillId="13" borderId="0" xfId="0" applyFont="1" applyFill="1" applyAlignment="1">
      <alignment horizontal="center" wrapText="1"/>
    </xf>
    <xf numFmtId="0" fontId="36" fillId="13" borderId="0" xfId="0" applyFont="1" applyFill="1" applyBorder="1" applyAlignment="1">
      <alignment horizontal="center"/>
    </xf>
    <xf numFmtId="0" fontId="36" fillId="13" borderId="0" xfId="0" applyFont="1" applyFill="1" applyAlignment="1">
      <alignment wrapText="1"/>
    </xf>
    <xf numFmtId="175" fontId="36" fillId="15" borderId="21" xfId="0" applyNumberFormat="1" applyFont="1" applyFill="1" applyBorder="1" applyAlignment="1" applyProtection="1">
      <alignment horizontal="center"/>
      <protection locked="0"/>
    </xf>
    <xf numFmtId="175" fontId="36" fillId="15" borderId="2" xfId="0" applyNumberFormat="1" applyFont="1" applyFill="1" applyBorder="1" applyAlignment="1" applyProtection="1">
      <alignment horizontal="center"/>
      <protection locked="0"/>
    </xf>
    <xf numFmtId="0" fontId="36" fillId="13" borderId="0" xfId="0" applyFont="1" applyFill="1" applyBorder="1" applyAlignment="1"/>
    <xf numFmtId="0" fontId="36" fillId="0" borderId="0" xfId="0" applyFont="1" applyBorder="1" applyAlignment="1"/>
    <xf numFmtId="0" fontId="36" fillId="13" borderId="24" xfId="0" applyFont="1" applyFill="1" applyBorder="1" applyAlignment="1"/>
    <xf numFmtId="0" fontId="36" fillId="13" borderId="25" xfId="0" applyFont="1" applyFill="1" applyBorder="1" applyAlignment="1"/>
    <xf numFmtId="0" fontId="48" fillId="13" borderId="0" xfId="0" applyFont="1" applyFill="1" applyAlignment="1">
      <alignment horizontal="center"/>
    </xf>
    <xf numFmtId="0" fontId="36" fillId="0" borderId="0" xfId="0" applyFont="1" applyAlignment="1">
      <alignment wrapText="1"/>
    </xf>
    <xf numFmtId="175" fontId="36" fillId="13" borderId="0" xfId="0" applyNumberFormat="1" applyFont="1" applyFill="1" applyAlignment="1"/>
    <xf numFmtId="175" fontId="36" fillId="13" borderId="0" xfId="0" applyNumberFormat="1" applyFont="1" applyFill="1" applyAlignment="1">
      <alignment horizontal="center"/>
    </xf>
    <xf numFmtId="0" fontId="36" fillId="0" borderId="0" xfId="0" applyFont="1" applyAlignment="1">
      <alignment horizontal="center" wrapText="1"/>
    </xf>
    <xf numFmtId="0" fontId="48" fillId="13" borderId="0" xfId="0" applyFont="1" applyFill="1" applyAlignment="1">
      <alignment horizontal="center" vertical="center"/>
    </xf>
    <xf numFmtId="0" fontId="48" fillId="0" borderId="0" xfId="0" applyFont="1" applyAlignment="1">
      <alignment horizontal="center" vertical="center"/>
    </xf>
    <xf numFmtId="5" fontId="36" fillId="13" borderId="2" xfId="0" applyNumberFormat="1" applyFont="1" applyFill="1" applyBorder="1" applyAlignment="1">
      <alignment horizontal="center"/>
    </xf>
    <xf numFmtId="0" fontId="36" fillId="13" borderId="10" xfId="0" applyFont="1" applyFill="1" applyBorder="1" applyAlignment="1">
      <alignment horizontal="center"/>
    </xf>
    <xf numFmtId="0" fontId="36" fillId="0" borderId="19" xfId="0" applyFont="1" applyBorder="1" applyAlignment="1">
      <alignment horizontal="center" vertical="center"/>
    </xf>
    <xf numFmtId="0" fontId="48" fillId="13" borderId="0" xfId="0" applyFont="1" applyFill="1" applyBorder="1" applyAlignment="1">
      <alignment horizontal="center" wrapText="1"/>
    </xf>
    <xf numFmtId="0" fontId="48" fillId="0" borderId="0" xfId="0" applyFont="1" applyAlignment="1">
      <alignment horizontal="center" wrapText="1"/>
    </xf>
    <xf numFmtId="0" fontId="36" fillId="13" borderId="0" xfId="0" applyFont="1" applyFill="1" applyBorder="1" applyAlignment="1">
      <alignment wrapText="1"/>
    </xf>
  </cellXfs>
  <cellStyles count="314">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xfId="16"/>
    <cellStyle name="Normal 11 2" xfId="17"/>
    <cellStyle name="Normal 11 3" xfId="18"/>
    <cellStyle name="Normal 11 4" xfId="19"/>
    <cellStyle name="Normal 12" xfId="20"/>
    <cellStyle name="Normal 12 10" xfId="21"/>
    <cellStyle name="Normal 12 11" xfId="22"/>
    <cellStyle name="Normal 12 12" xfId="23"/>
    <cellStyle name="Normal 12 2" xfId="24"/>
    <cellStyle name="Normal 12 2 2" xfId="25"/>
    <cellStyle name="Normal 12 3" xfId="26"/>
    <cellStyle name="Normal 12 4" xfId="27"/>
    <cellStyle name="Normal 12 5" xfId="28"/>
    <cellStyle name="Normal 12 6" xfId="29"/>
    <cellStyle name="Normal 12 7" xfId="30"/>
    <cellStyle name="Normal 12 8" xfId="31"/>
    <cellStyle name="Normal 12 9" xfId="32"/>
    <cellStyle name="Normal 13" xfId="33"/>
    <cellStyle name="Normal 13 10" xfId="34"/>
    <cellStyle name="Normal 13 11" xfId="35"/>
    <cellStyle name="Normal 13 12" xfId="36"/>
    <cellStyle name="Normal 13 2" xfId="37"/>
    <cellStyle name="Normal 13 2 2" xfId="38"/>
    <cellStyle name="Normal 13 3" xfId="39"/>
    <cellStyle name="Normal 13 4" xfId="40"/>
    <cellStyle name="Normal 13 5" xfId="41"/>
    <cellStyle name="Normal 13 6" xfId="42"/>
    <cellStyle name="Normal 13 7" xfId="43"/>
    <cellStyle name="Normal 13 8" xfId="44"/>
    <cellStyle name="Normal 13 9" xfId="45"/>
    <cellStyle name="Normal 14" xfId="46"/>
    <cellStyle name="Normal 14 2" xfId="47"/>
    <cellStyle name="Normal 14 3" xfId="48"/>
    <cellStyle name="Normal 14 4" xfId="49"/>
    <cellStyle name="Normal 14 5" xfId="50"/>
    <cellStyle name="Normal 14 6" xfId="51"/>
    <cellStyle name="Normal 15" xfId="52"/>
    <cellStyle name="Normal 15 2" xfId="53"/>
    <cellStyle name="Normal 15 3" xfId="54"/>
    <cellStyle name="Normal 15 4" xfId="55"/>
    <cellStyle name="Normal 16" xfId="56"/>
    <cellStyle name="Normal 16 2" xfId="57"/>
    <cellStyle name="Normal 16 3" xfId="58"/>
    <cellStyle name="Normal 16 4" xfId="59"/>
    <cellStyle name="Normal 17" xfId="60"/>
    <cellStyle name="Normal 17 2" xfId="61"/>
    <cellStyle name="Normal 17 3" xfId="62"/>
    <cellStyle name="Normal 17 4" xfId="63"/>
    <cellStyle name="Normal 18" xfId="64"/>
    <cellStyle name="Normal 18 2" xfId="65"/>
    <cellStyle name="Normal 18 2 2" xfId="66"/>
    <cellStyle name="Normal 18 2 3" xfId="67"/>
    <cellStyle name="Normal 18 3" xfId="68"/>
    <cellStyle name="Normal 18 4" xfId="69"/>
    <cellStyle name="Normal 18 5" xfId="70"/>
    <cellStyle name="Normal 18 6" xfId="71"/>
    <cellStyle name="Normal 18 7" xfId="72"/>
    <cellStyle name="Normal 19" xfId="73"/>
    <cellStyle name="Normal 19 2" xfId="74"/>
    <cellStyle name="Normal 19 2 2" xfId="75"/>
    <cellStyle name="Normal 19 2 3" xfId="76"/>
    <cellStyle name="Normal 19 3" xfId="77"/>
    <cellStyle name="Normal 19 4" xfId="78"/>
    <cellStyle name="Normal 19 5" xfId="79"/>
    <cellStyle name="Normal 19 6" xfId="80"/>
    <cellStyle name="Normal 2" xfId="81"/>
    <cellStyle name="Normal 2 10" xfId="82"/>
    <cellStyle name="Normal 2 10 10" xfId="83"/>
    <cellStyle name="Normal 2 10 2" xfId="84"/>
    <cellStyle name="Normal 2 10 2 2" xfId="85"/>
    <cellStyle name="Normal 2 10 3" xfId="86"/>
    <cellStyle name="Normal 2 10 3 2" xfId="87"/>
    <cellStyle name="Normal 2 10 4" xfId="88"/>
    <cellStyle name="Normal 2 10 4 2" xfId="89"/>
    <cellStyle name="Normal 2 10 5" xfId="90"/>
    <cellStyle name="Normal 2 10 5 2" xfId="91"/>
    <cellStyle name="Normal 2 10 6" xfId="92"/>
    <cellStyle name="Normal 2 10 6 2" xfId="93"/>
    <cellStyle name="Normal 2 10 7" xfId="94"/>
    <cellStyle name="Normal 2 10 7 2" xfId="95"/>
    <cellStyle name="Normal 2 10 8" xfId="96"/>
    <cellStyle name="Normal 2 10 8 2" xfId="97"/>
    <cellStyle name="Normal 2 10 9" xfId="98"/>
    <cellStyle name="Normal 2 11" xfId="99"/>
    <cellStyle name="Normal 2 11 10" xfId="100"/>
    <cellStyle name="Normal 2 11 2" xfId="101"/>
    <cellStyle name="Normal 2 11 2 2" xfId="102"/>
    <cellStyle name="Normal 2 11 3" xfId="103"/>
    <cellStyle name="Normal 2 11 3 2" xfId="104"/>
    <cellStyle name="Normal 2 11 4" xfId="105"/>
    <cellStyle name="Normal 2 11 4 2" xfId="106"/>
    <cellStyle name="Normal 2 11 5" xfId="107"/>
    <cellStyle name="Normal 2 11 5 2" xfId="108"/>
    <cellStyle name="Normal 2 11 6" xfId="109"/>
    <cellStyle name="Normal 2 11 6 2" xfId="110"/>
    <cellStyle name="Normal 2 11 7" xfId="111"/>
    <cellStyle name="Normal 2 11 7 2" xfId="112"/>
    <cellStyle name="Normal 2 11 8" xfId="113"/>
    <cellStyle name="Normal 2 11 8 2" xfId="114"/>
    <cellStyle name="Normal 2 11 9" xfId="115"/>
    <cellStyle name="Normal 2 12" xfId="116"/>
    <cellStyle name="Normal 2 13" xfId="117"/>
    <cellStyle name="Normal 2 14" xfId="118"/>
    <cellStyle name="Normal 2 15" xfId="119"/>
    <cellStyle name="Normal 2 2" xfId="120"/>
    <cellStyle name="Normal 2 2 10" xfId="121"/>
    <cellStyle name="Normal 2 2 10 2" xfId="122"/>
    <cellStyle name="Normal 2 2 11" xfId="123"/>
    <cellStyle name="Normal 2 2 11 2" xfId="124"/>
    <cellStyle name="Normal 2 2 12" xfId="125"/>
    <cellStyle name="Normal 2 2 12 2" xfId="126"/>
    <cellStyle name="Normal 2 2 13" xfId="127"/>
    <cellStyle name="Normal 2 2 13 2" xfId="128"/>
    <cellStyle name="Normal 2 2 14" xfId="129"/>
    <cellStyle name="Normal 2 2 14 2" xfId="130"/>
    <cellStyle name="Normal 2 2 15" xfId="131"/>
    <cellStyle name="Normal 2 2 15 2" xfId="132"/>
    <cellStyle name="Normal 2 2 16" xfId="133"/>
    <cellStyle name="Normal 2 2 17" xfId="134"/>
    <cellStyle name="Normal 2 2 18" xfId="135"/>
    <cellStyle name="Normal 2 2 19" xfId="136"/>
    <cellStyle name="Normal 2 2 2" xfId="137"/>
    <cellStyle name="Normal 2 2 2 2" xfId="138"/>
    <cellStyle name="Normal 2 2 2 2 2" xfId="139"/>
    <cellStyle name="Normal 2 2 2 3" xfId="140"/>
    <cellStyle name="Normal 2 2 2 3 2" xfId="141"/>
    <cellStyle name="Normal 2 2 2 4" xfId="142"/>
    <cellStyle name="Normal 2 2 2 4 2" xfId="143"/>
    <cellStyle name="Normal 2 2 2 5" xfId="144"/>
    <cellStyle name="Normal 2 2 2 5 2" xfId="145"/>
    <cellStyle name="Normal 2 2 2 6" xfId="146"/>
    <cellStyle name="Normal 2 2 2 6 2" xfId="147"/>
    <cellStyle name="Normal 2 2 2 7" xfId="148"/>
    <cellStyle name="Normal 2 2 2 8" xfId="149"/>
    <cellStyle name="Normal 2 2 20" xfId="150"/>
    <cellStyle name="Normal 2 2 21" xfId="151"/>
    <cellStyle name="Normal 2 2 3" xfId="152"/>
    <cellStyle name="Normal 2 2 3 2" xfId="153"/>
    <cellStyle name="Normal 2 2 4" xfId="154"/>
    <cellStyle name="Normal 2 2 4 2" xfId="155"/>
    <cellStyle name="Normal 2 2 5" xfId="156"/>
    <cellStyle name="Normal 2 2 5 2" xfId="157"/>
    <cellStyle name="Normal 2 2 6" xfId="158"/>
    <cellStyle name="Normal 2 2 6 2" xfId="159"/>
    <cellStyle name="Normal 2 2 7" xfId="160"/>
    <cellStyle name="Normal 2 2 7 2" xfId="161"/>
    <cellStyle name="Normal 2 2 8" xfId="162"/>
    <cellStyle name="Normal 2 2 8 2" xfId="163"/>
    <cellStyle name="Normal 2 2 9" xfId="164"/>
    <cellStyle name="Normal 2 2 9 2" xfId="165"/>
    <cellStyle name="Normal 2 3" xfId="166"/>
    <cellStyle name="Normal 2 3 10" xfId="167"/>
    <cellStyle name="Normal 2 3 11" xfId="168"/>
    <cellStyle name="Normal 2 3 12" xfId="169"/>
    <cellStyle name="Normal 2 3 13" xfId="170"/>
    <cellStyle name="Normal 2 3 14" xfId="171"/>
    <cellStyle name="Normal 2 3 2" xfId="172"/>
    <cellStyle name="Normal 2 3 2 2" xfId="173"/>
    <cellStyle name="Normal 2 3 3" xfId="174"/>
    <cellStyle name="Normal 2 3 3 2" xfId="175"/>
    <cellStyle name="Normal 2 3 4" xfId="176"/>
    <cellStyle name="Normal 2 3 5" xfId="177"/>
    <cellStyle name="Normal 2 3 6" xfId="178"/>
    <cellStyle name="Normal 2 3 7" xfId="179"/>
    <cellStyle name="Normal 2 3 8" xfId="180"/>
    <cellStyle name="Normal 2 3 9" xfId="181"/>
    <cellStyle name="Normal 2 4" xfId="182"/>
    <cellStyle name="Normal 2 4 10" xfId="183"/>
    <cellStyle name="Normal 2 4 11" xfId="184"/>
    <cellStyle name="Normal 2 4 2" xfId="185"/>
    <cellStyle name="Normal 2 4 2 2" xfId="186"/>
    <cellStyle name="Normal 2 4 3" xfId="187"/>
    <cellStyle name="Normal 2 4 3 2" xfId="188"/>
    <cellStyle name="Normal 2 4 4" xfId="189"/>
    <cellStyle name="Normal 2 4 5" xfId="190"/>
    <cellStyle name="Normal 2 4 6" xfId="191"/>
    <cellStyle name="Normal 2 4 7" xfId="192"/>
    <cellStyle name="Normal 2 4 8" xfId="193"/>
    <cellStyle name="Normal 2 4 9" xfId="194"/>
    <cellStyle name="Normal 2 5" xfId="195"/>
    <cellStyle name="Normal 2 5 10" xfId="196"/>
    <cellStyle name="Normal 2 5 11" xfId="197"/>
    <cellStyle name="Normal 2 5 2" xfId="198"/>
    <cellStyle name="Normal 2 5 2 2" xfId="199"/>
    <cellStyle name="Normal 2 5 3" xfId="200"/>
    <cellStyle name="Normal 2 5 3 2" xfId="201"/>
    <cellStyle name="Normal 2 5 4" xfId="202"/>
    <cellStyle name="Normal 2 5 5" xfId="203"/>
    <cellStyle name="Normal 2 5 6" xfId="204"/>
    <cellStyle name="Normal 2 5 7" xfId="205"/>
    <cellStyle name="Normal 2 5 8" xfId="206"/>
    <cellStyle name="Normal 2 5 9" xfId="207"/>
    <cellStyle name="Normal 2 6" xfId="208"/>
    <cellStyle name="Normal 2 6 10" xfId="209"/>
    <cellStyle name="Normal 2 6 11" xfId="210"/>
    <cellStyle name="Normal 2 6 2" xfId="211"/>
    <cellStyle name="Normal 2 6 2 2" xfId="212"/>
    <cellStyle name="Normal 2 6 3" xfId="213"/>
    <cellStyle name="Normal 2 6 3 2" xfId="214"/>
    <cellStyle name="Normal 2 6 4" xfId="215"/>
    <cellStyle name="Normal 2 6 5" xfId="216"/>
    <cellStyle name="Normal 2 6 6" xfId="217"/>
    <cellStyle name="Normal 2 6 7" xfId="218"/>
    <cellStyle name="Normal 2 6 8" xfId="219"/>
    <cellStyle name="Normal 2 6 9" xfId="220"/>
    <cellStyle name="Normal 2 7" xfId="221"/>
    <cellStyle name="Normal 2 7 10" xfId="222"/>
    <cellStyle name="Normal 2 7 2" xfId="223"/>
    <cellStyle name="Normal 2 7 2 2" xfId="224"/>
    <cellStyle name="Normal 2 7 3" xfId="225"/>
    <cellStyle name="Normal 2 7 3 2" xfId="226"/>
    <cellStyle name="Normal 2 7 4" xfId="227"/>
    <cellStyle name="Normal 2 7 4 2" xfId="228"/>
    <cellStyle name="Normal 2 7 5" xfId="229"/>
    <cellStyle name="Normal 2 7 5 2" xfId="230"/>
    <cellStyle name="Normal 2 7 6" xfId="231"/>
    <cellStyle name="Normal 2 7 6 2" xfId="232"/>
    <cellStyle name="Normal 2 7 7" xfId="233"/>
    <cellStyle name="Normal 2 7 7 2" xfId="234"/>
    <cellStyle name="Normal 2 7 8" xfId="235"/>
    <cellStyle name="Normal 2 7 8 2" xfId="236"/>
    <cellStyle name="Normal 2 7 9" xfId="237"/>
    <cellStyle name="Normal 2 8" xfId="238"/>
    <cellStyle name="Normal 2 8 10" xfId="239"/>
    <cellStyle name="Normal 2 8 2" xfId="240"/>
    <cellStyle name="Normal 2 8 2 2" xfId="241"/>
    <cellStyle name="Normal 2 8 3" xfId="242"/>
    <cellStyle name="Normal 2 8 3 2" xfId="243"/>
    <cellStyle name="Normal 2 8 4" xfId="244"/>
    <cellStyle name="Normal 2 8 4 2" xfId="245"/>
    <cellStyle name="Normal 2 8 5" xfId="246"/>
    <cellStyle name="Normal 2 8 5 2" xfId="247"/>
    <cellStyle name="Normal 2 8 6" xfId="248"/>
    <cellStyle name="Normal 2 8 6 2" xfId="249"/>
    <cellStyle name="Normal 2 8 7" xfId="250"/>
    <cellStyle name="Normal 2 8 7 2" xfId="251"/>
    <cellStyle name="Normal 2 8 8" xfId="252"/>
    <cellStyle name="Normal 2 8 8 2" xfId="253"/>
    <cellStyle name="Normal 2 8 9" xfId="254"/>
    <cellStyle name="Normal 2 9" xfId="255"/>
    <cellStyle name="Normal 2 9 10" xfId="256"/>
    <cellStyle name="Normal 2 9 2" xfId="257"/>
    <cellStyle name="Normal 2 9 2 2" xfId="258"/>
    <cellStyle name="Normal 2 9 3" xfId="259"/>
    <cellStyle name="Normal 2 9 3 2" xfId="260"/>
    <cellStyle name="Normal 2 9 4" xfId="261"/>
    <cellStyle name="Normal 2 9 4 2" xfId="262"/>
    <cellStyle name="Normal 2 9 5" xfId="263"/>
    <cellStyle name="Normal 2 9 5 2" xfId="264"/>
    <cellStyle name="Normal 2 9 6" xfId="265"/>
    <cellStyle name="Normal 2 9 6 2" xfId="266"/>
    <cellStyle name="Normal 2 9 7" xfId="267"/>
    <cellStyle name="Normal 2 9 7 2" xfId="268"/>
    <cellStyle name="Normal 2 9 8" xfId="269"/>
    <cellStyle name="Normal 2 9 8 2" xfId="270"/>
    <cellStyle name="Normal 2 9 9" xfId="271"/>
    <cellStyle name="Normal 20" xfId="272"/>
    <cellStyle name="Normal 20 2" xfId="273"/>
    <cellStyle name="Normal 20 3" xfId="274"/>
    <cellStyle name="Normal 21" xfId="275"/>
    <cellStyle name="Normal 22" xfId="276"/>
    <cellStyle name="Normal 22 2" xfId="277"/>
    <cellStyle name="Normal 22 3" xfId="278"/>
    <cellStyle name="Normal 23" xfId="279"/>
    <cellStyle name="Normal 23 2" xfId="280"/>
    <cellStyle name="Normal 23 3" xfId="281"/>
    <cellStyle name="Normal 24" xfId="282"/>
    <cellStyle name="Normal 24 2" xfId="283"/>
    <cellStyle name="Normal 24 3" xfId="284"/>
    <cellStyle name="Normal 25" xfId="285"/>
    <cellStyle name="Normal 25 2" xfId="286"/>
    <cellStyle name="Normal 25 3" xfId="287"/>
    <cellStyle name="Normal 26" xfId="288"/>
    <cellStyle name="Normal 3" xfId="289"/>
    <cellStyle name="Normal 3 2" xfId="290"/>
    <cellStyle name="Normal 3 3" xfId="291"/>
    <cellStyle name="Normal 3 4" xfId="292"/>
    <cellStyle name="Normal 3 5" xfId="293"/>
    <cellStyle name="Normal 3 6" xfId="294"/>
    <cellStyle name="Normal 3 7" xfId="295"/>
    <cellStyle name="Normal 4" xfId="296"/>
    <cellStyle name="Normal 4 2" xfId="297"/>
    <cellStyle name="Normal 5" xfId="298"/>
    <cellStyle name="Normal 5 2" xfId="299"/>
    <cellStyle name="Normal 5 3" xfId="300"/>
    <cellStyle name="Normal 6" xfId="301"/>
    <cellStyle name="Normal 6 2" xfId="302"/>
    <cellStyle name="Normal 7 2" xfId="303"/>
    <cellStyle name="Normal 7 3" xfId="304"/>
    <cellStyle name="Normal 7 4" xfId="305"/>
    <cellStyle name="Normal 8" xfId="306"/>
    <cellStyle name="Normal 8 2" xfId="307"/>
    <cellStyle name="Normal 9" xfId="308"/>
    <cellStyle name="Normal 9 2" xfId="309"/>
    <cellStyle name="Normal 9 3" xfId="310"/>
    <cellStyle name="Normal 9 4" xfId="311"/>
    <cellStyle name="Normal_debt" xfId="312"/>
    <cellStyle name="Normal_lpform" xfId="313"/>
  </cellStyles>
  <dxfs count="318">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219075</xdr:colOff>
      <xdr:row>109</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16221075" cy="20945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219075</xdr:colOff>
      <xdr:row>109</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16221075" cy="20945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45.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5"/>
  <sheetViews>
    <sheetView zoomScale="80" workbookViewId="0">
      <selection activeCell="A97" sqref="A97"/>
    </sheetView>
  </sheetViews>
  <sheetFormatPr defaultRowHeight="15.75"/>
  <cols>
    <col min="1" max="1" width="75.77734375" style="32" customWidth="1"/>
    <col min="2" max="16384" width="8.88671875" style="32"/>
  </cols>
  <sheetData>
    <row r="1" spans="1:1">
      <c r="A1" s="31" t="s">
        <v>249</v>
      </c>
    </row>
    <row r="3" spans="1:1" ht="39.75" customHeight="1">
      <c r="A3" s="33" t="s">
        <v>321</v>
      </c>
    </row>
    <row r="4" spans="1:1">
      <c r="A4" s="34"/>
    </row>
    <row r="5" spans="1:1" ht="49.5" customHeight="1">
      <c r="A5" s="35" t="s">
        <v>7</v>
      </c>
    </row>
    <row r="6" spans="1:1">
      <c r="A6" s="35"/>
    </row>
    <row r="7" spans="1:1" ht="75" customHeight="1">
      <c r="A7" s="35" t="s">
        <v>953</v>
      </c>
    </row>
    <row r="8" spans="1:1">
      <c r="A8" s="35"/>
    </row>
    <row r="9" spans="1:1" ht="32.25" customHeight="1">
      <c r="A9" s="35" t="s">
        <v>322</v>
      </c>
    </row>
    <row r="11" spans="1:1" ht="51" customHeight="1">
      <c r="A11" s="35" t="s">
        <v>66</v>
      </c>
    </row>
    <row r="13" spans="1:1">
      <c r="A13" s="31" t="s">
        <v>17</v>
      </c>
    </row>
    <row r="14" spans="1:1">
      <c r="A14" s="31"/>
    </row>
    <row r="15" spans="1:1">
      <c r="A15" s="34" t="s">
        <v>18</v>
      </c>
    </row>
    <row r="17" spans="1:1" ht="37.5" customHeight="1">
      <c r="A17" s="36" t="s">
        <v>349</v>
      </c>
    </row>
    <row r="18" spans="1:1" ht="9" customHeight="1">
      <c r="A18" s="36"/>
    </row>
    <row r="20" spans="1:1">
      <c r="A20" s="31" t="s">
        <v>72</v>
      </c>
    </row>
    <row r="22" spans="1:1" ht="36" customHeight="1">
      <c r="A22" s="35" t="s">
        <v>323</v>
      </c>
    </row>
    <row r="23" spans="1:1">
      <c r="A23" s="35"/>
    </row>
    <row r="24" spans="1:1">
      <c r="A24" s="37" t="s">
        <v>324</v>
      </c>
    </row>
    <row r="25" spans="1:1" ht="12" customHeight="1">
      <c r="A25" s="35"/>
    </row>
    <row r="26" spans="1:1">
      <c r="A26" s="38" t="s">
        <v>231</v>
      </c>
    </row>
    <row r="27" spans="1:1">
      <c r="A27" s="39"/>
    </row>
    <row r="28" spans="1:1" ht="84.75" customHeight="1">
      <c r="A28" s="40" t="s">
        <v>2</v>
      </c>
    </row>
    <row r="29" spans="1:1" ht="12.75" customHeight="1">
      <c r="A29" s="41"/>
    </row>
    <row r="30" spans="1:1">
      <c r="A30" s="42" t="s">
        <v>325</v>
      </c>
    </row>
    <row r="31" spans="1:1">
      <c r="A31" s="41"/>
    </row>
    <row r="32" spans="1:1">
      <c r="A32" s="43" t="s">
        <v>16</v>
      </c>
    </row>
    <row r="33" spans="1:1">
      <c r="A33" s="41"/>
    </row>
    <row r="34" spans="1:1">
      <c r="A34" s="35" t="s">
        <v>166</v>
      </c>
    </row>
    <row r="36" spans="1:1">
      <c r="A36" s="31" t="s">
        <v>167</v>
      </c>
    </row>
    <row r="38" spans="1:1" ht="66.75" customHeight="1">
      <c r="A38" s="35" t="s">
        <v>751</v>
      </c>
    </row>
    <row r="39" spans="1:1" ht="35.25" customHeight="1">
      <c r="A39" s="35" t="s">
        <v>251</v>
      </c>
    </row>
    <row r="40" spans="1:1" ht="53.25" customHeight="1">
      <c r="A40" s="44" t="s">
        <v>326</v>
      </c>
    </row>
    <row r="41" spans="1:1" ht="102.75" customHeight="1">
      <c r="A41" s="730" t="s">
        <v>954</v>
      </c>
    </row>
    <row r="43" spans="1:1" ht="84" customHeight="1">
      <c r="A43" s="35" t="s">
        <v>752</v>
      </c>
    </row>
    <row r="44" spans="1:1" ht="53.25" customHeight="1">
      <c r="A44" s="35" t="s">
        <v>327</v>
      </c>
    </row>
    <row r="45" spans="1:1" ht="102" customHeight="1">
      <c r="A45" s="35" t="s">
        <v>67</v>
      </c>
    </row>
    <row r="46" spans="1:1" ht="15.75" customHeight="1">
      <c r="A46" s="35"/>
    </row>
    <row r="47" spans="1:1" ht="74.099999999999994" customHeight="1">
      <c r="A47" s="731" t="s">
        <v>955</v>
      </c>
    </row>
    <row r="48" spans="1:1" ht="69.95" customHeight="1">
      <c r="A48" s="373" t="s">
        <v>641</v>
      </c>
    </row>
    <row r="49" spans="1:1" ht="75.75" customHeight="1">
      <c r="A49" s="732" t="s">
        <v>956</v>
      </c>
    </row>
    <row r="50" spans="1:1" ht="15.75" customHeight="1">
      <c r="A50" s="35"/>
    </row>
    <row r="51" spans="1:1" ht="69.75" customHeight="1">
      <c r="A51" s="35" t="s">
        <v>642</v>
      </c>
    </row>
    <row r="52" spans="1:1" ht="37.5" customHeight="1">
      <c r="A52" s="35" t="s">
        <v>643</v>
      </c>
    </row>
    <row r="53" spans="1:1" ht="69" customHeight="1">
      <c r="A53" s="35" t="s">
        <v>644</v>
      </c>
    </row>
    <row r="54" spans="1:1" ht="115.5" customHeight="1">
      <c r="A54" s="733" t="s">
        <v>993</v>
      </c>
    </row>
    <row r="56" spans="1:1" ht="84.75" customHeight="1">
      <c r="A56" s="35" t="s">
        <v>992</v>
      </c>
    </row>
    <row r="57" spans="1:1" ht="116.25" customHeight="1">
      <c r="A57" s="35" t="s">
        <v>645</v>
      </c>
    </row>
    <row r="58" spans="1:1" ht="38.25" customHeight="1">
      <c r="A58" s="35" t="s">
        <v>646</v>
      </c>
    </row>
    <row r="59" spans="1:1">
      <c r="A59" s="35"/>
    </row>
    <row r="60" spans="1:1" ht="74.25" customHeight="1">
      <c r="A60" s="733" t="s">
        <v>957</v>
      </c>
    </row>
    <row r="61" spans="1:1">
      <c r="A61" s="35"/>
    </row>
    <row r="62" spans="1:1" ht="66.75" customHeight="1">
      <c r="A62" s="35" t="s">
        <v>647</v>
      </c>
    </row>
    <row r="63" spans="1:1" ht="37.5" customHeight="1">
      <c r="A63" s="35" t="s">
        <v>656</v>
      </c>
    </row>
    <row r="64" spans="1:1" ht="91.5" customHeight="1">
      <c r="A64" s="35" t="s">
        <v>657</v>
      </c>
    </row>
    <row r="65" spans="1:1" ht="47.25" customHeight="1">
      <c r="A65" s="351" t="s">
        <v>658</v>
      </c>
    </row>
    <row r="67" spans="1:1" s="35" customFormat="1" ht="66.75" customHeight="1">
      <c r="A67" s="35" t="s">
        <v>648</v>
      </c>
    </row>
    <row r="69" spans="1:1" ht="67.5" customHeight="1">
      <c r="A69" s="35" t="s">
        <v>649</v>
      </c>
    </row>
    <row r="70" spans="1:1" ht="18" customHeight="1">
      <c r="A70" s="35"/>
    </row>
    <row r="71" spans="1:1" ht="149.25" customHeight="1">
      <c r="A71" s="733" t="s">
        <v>958</v>
      </c>
    </row>
    <row r="73" spans="1:1" ht="95.25" customHeight="1">
      <c r="A73" s="35" t="s">
        <v>959</v>
      </c>
    </row>
    <row r="74" spans="1:1" ht="84.75" customHeight="1">
      <c r="A74" s="733" t="s">
        <v>991</v>
      </c>
    </row>
    <row r="75" spans="1:1" ht="104.25" customHeight="1">
      <c r="A75" s="495" t="s">
        <v>960</v>
      </c>
    </row>
    <row r="76" spans="1:1" ht="75" customHeight="1">
      <c r="A76" s="495" t="s">
        <v>961</v>
      </c>
    </row>
    <row r="77" spans="1:1" ht="75" customHeight="1">
      <c r="A77" s="495" t="s">
        <v>962</v>
      </c>
    </row>
    <row r="78" spans="1:1" ht="137.25" customHeight="1">
      <c r="A78" s="35" t="s">
        <v>963</v>
      </c>
    </row>
    <row r="79" spans="1:1" ht="91.5" customHeight="1">
      <c r="A79" s="733" t="s">
        <v>964</v>
      </c>
    </row>
    <row r="80" spans="1:1" ht="135" customHeight="1">
      <c r="A80" s="35" t="s">
        <v>965</v>
      </c>
    </row>
    <row r="81" spans="1:1" ht="141.75" customHeight="1">
      <c r="A81" s="35" t="s">
        <v>966</v>
      </c>
    </row>
    <row r="82" spans="1:1" ht="87" customHeight="1">
      <c r="A82" s="35" t="s">
        <v>967</v>
      </c>
    </row>
    <row r="83" spans="1:1" ht="105" customHeight="1">
      <c r="A83" s="35" t="s">
        <v>968</v>
      </c>
    </row>
    <row r="84" spans="1:1" ht="86.25" customHeight="1">
      <c r="A84" s="35" t="s">
        <v>969</v>
      </c>
    </row>
    <row r="85" spans="1:1" ht="129.75" customHeight="1">
      <c r="A85" s="35" t="s">
        <v>970</v>
      </c>
    </row>
    <row r="86" spans="1:1" ht="110.25" customHeight="1">
      <c r="A86" s="734" t="s">
        <v>971</v>
      </c>
    </row>
    <row r="87" spans="1:1" ht="117" customHeight="1">
      <c r="A87" s="735" t="s">
        <v>972</v>
      </c>
    </row>
    <row r="88" spans="1:1" ht="72" customHeight="1">
      <c r="A88" s="372" t="s">
        <v>973</v>
      </c>
    </row>
    <row r="89" spans="1:1" ht="63.75" customHeight="1">
      <c r="A89" s="733" t="s">
        <v>650</v>
      </c>
    </row>
    <row r="90" spans="1:1" ht="43.5" customHeight="1">
      <c r="A90" s="736" t="s">
        <v>651</v>
      </c>
    </row>
    <row r="91" spans="1:1" ht="53.25" customHeight="1">
      <c r="A91" s="495" t="s">
        <v>978</v>
      </c>
    </row>
    <row r="92" spans="1:1" ht="144.75" customHeight="1">
      <c r="A92" s="495" t="s">
        <v>979</v>
      </c>
    </row>
    <row r="93" spans="1:1" ht="159" customHeight="1">
      <c r="A93" s="495" t="s">
        <v>980</v>
      </c>
    </row>
    <row r="94" spans="1:1" ht="107.25" customHeight="1">
      <c r="A94" s="737" t="s">
        <v>981</v>
      </c>
    </row>
    <row r="95" spans="1:1" ht="114.75" customHeight="1">
      <c r="A95" s="738" t="s">
        <v>982</v>
      </c>
    </row>
    <row r="96" spans="1:1" ht="20.25" customHeight="1"/>
    <row r="97" spans="1:1" ht="157.5" customHeight="1">
      <c r="A97" s="35" t="s">
        <v>974</v>
      </c>
    </row>
    <row r="98" spans="1:1" ht="134.25" customHeight="1">
      <c r="A98" s="35" t="s">
        <v>975</v>
      </c>
    </row>
    <row r="99" spans="1:1" ht="59.25" customHeight="1">
      <c r="A99" s="35" t="s">
        <v>976</v>
      </c>
    </row>
    <row r="100" spans="1:1" ht="30.75" customHeight="1">
      <c r="A100" s="35" t="s">
        <v>977</v>
      </c>
    </row>
    <row r="101" spans="1:1" ht="15" customHeight="1"/>
    <row r="102" spans="1:1" ht="83.25" customHeight="1">
      <c r="A102" s="733" t="s">
        <v>983</v>
      </c>
    </row>
    <row r="103" spans="1:1" ht="15.75" customHeight="1">
      <c r="A103" s="374"/>
    </row>
    <row r="104" spans="1:1" ht="73.5" customHeight="1">
      <c r="A104" s="495" t="s">
        <v>984</v>
      </c>
    </row>
    <row r="105" spans="1:1" ht="112.5" customHeight="1">
      <c r="A105" s="495" t="s">
        <v>985</v>
      </c>
    </row>
    <row r="106" spans="1:1" ht="122.25" customHeight="1">
      <c r="A106" s="495" t="s">
        <v>986</v>
      </c>
    </row>
    <row r="107" spans="1:1" ht="91.5" customHeight="1">
      <c r="A107" s="495"/>
    </row>
    <row r="108" spans="1:1" ht="58.5" customHeight="1">
      <c r="A108" s="374"/>
    </row>
    <row r="109" spans="1:1" ht="66" customHeight="1">
      <c r="A109" s="374"/>
    </row>
    <row r="110" spans="1:1" ht="16.5" customHeight="1">
      <c r="A110" s="35"/>
    </row>
    <row r="111" spans="1:1" ht="72.75" customHeight="1">
      <c r="A111" s="35"/>
    </row>
    <row r="113" spans="1:1" ht="69" customHeight="1">
      <c r="A113" s="495"/>
    </row>
    <row r="114" spans="1:1" ht="110.25" customHeight="1">
      <c r="A114" s="495"/>
    </row>
    <row r="115" spans="1:1" ht="132" customHeight="1">
      <c r="A115" s="495"/>
    </row>
  </sheetData>
  <sheetProtection sheet="1"/>
  <phoneticPr fontId="0" type="noConversion"/>
  <pageMargins left="0.5" right="0.5" top="0.5" bottom="0.5" header="0.5" footer="0"/>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AC48"/>
  <sheetViews>
    <sheetView topLeftCell="D1" zoomScale="75" workbookViewId="0">
      <selection activeCell="M41" sqref="M41"/>
    </sheetView>
  </sheetViews>
  <sheetFormatPr defaultRowHeight="15.75"/>
  <cols>
    <col min="1" max="1" width="4.77734375" style="45" customWidth="1"/>
    <col min="2" max="2" width="19.6640625" style="45" customWidth="1"/>
    <col min="3" max="3" width="9.33203125" style="45" customWidth="1"/>
    <col min="4" max="4" width="8.6640625" style="45" customWidth="1"/>
    <col min="5" max="5" width="8.77734375" style="45" customWidth="1"/>
    <col min="6" max="6" width="12.77734375" style="45" customWidth="1"/>
    <col min="7" max="7" width="14.33203125" style="45" customWidth="1"/>
    <col min="8" max="13" width="9.77734375" style="45" customWidth="1"/>
    <col min="14" max="16384" width="8.88671875" style="45"/>
  </cols>
  <sheetData>
    <row r="1" spans="2:13">
      <c r="B1" s="197" t="str">
        <f>inputPrYr!$D$2</f>
        <v>City of Garnett</v>
      </c>
      <c r="C1" s="47"/>
      <c r="D1" s="47"/>
      <c r="E1" s="47"/>
      <c r="F1" s="47"/>
      <c r="G1" s="47"/>
      <c r="H1" s="47"/>
      <c r="I1" s="47"/>
      <c r="J1" s="47"/>
      <c r="K1" s="47"/>
      <c r="L1" s="47"/>
      <c r="M1" s="219">
        <f>inputPrYr!$C$5</f>
        <v>2014</v>
      </c>
    </row>
    <row r="2" spans="2:13">
      <c r="B2" s="197"/>
      <c r="C2" s="47"/>
      <c r="D2" s="47"/>
      <c r="E2" s="47"/>
      <c r="F2" s="47"/>
      <c r="G2" s="47"/>
      <c r="H2" s="47"/>
      <c r="I2" s="47"/>
      <c r="J2" s="47"/>
      <c r="K2" s="47"/>
      <c r="L2" s="47"/>
      <c r="M2" s="169"/>
    </row>
    <row r="3" spans="2:13">
      <c r="B3" s="220" t="s">
        <v>175</v>
      </c>
      <c r="C3" s="56"/>
      <c r="D3" s="56"/>
      <c r="E3" s="56"/>
      <c r="F3" s="56"/>
      <c r="G3" s="56"/>
      <c r="H3" s="56"/>
      <c r="I3" s="56"/>
      <c r="J3" s="56"/>
      <c r="K3" s="56"/>
      <c r="L3" s="56"/>
      <c r="M3" s="56"/>
    </row>
    <row r="4" spans="2:13" ht="10.5" customHeight="1">
      <c r="B4" s="47"/>
      <c r="C4" s="221"/>
      <c r="D4" s="221"/>
      <c r="E4" s="221"/>
      <c r="F4" s="221"/>
      <c r="G4" s="221"/>
      <c r="H4" s="221"/>
      <c r="I4" s="221"/>
      <c r="J4" s="221"/>
      <c r="K4" s="221"/>
      <c r="L4" s="221"/>
      <c r="M4" s="221"/>
    </row>
    <row r="5" spans="2:13" ht="18" customHeight="1">
      <c r="B5" s="152"/>
      <c r="C5" s="199" t="s">
        <v>143</v>
      </c>
      <c r="D5" s="199" t="s">
        <v>143</v>
      </c>
      <c r="E5" s="199" t="s">
        <v>157</v>
      </c>
      <c r="F5" s="199"/>
      <c r="G5" s="199" t="s">
        <v>281</v>
      </c>
      <c r="H5" s="47"/>
      <c r="I5" s="47"/>
      <c r="J5" s="222" t="s">
        <v>144</v>
      </c>
      <c r="K5" s="223"/>
      <c r="L5" s="222" t="s">
        <v>144</v>
      </c>
      <c r="M5" s="223"/>
    </row>
    <row r="6" spans="2:13">
      <c r="B6" s="224" t="s">
        <v>868</v>
      </c>
      <c r="C6" s="224" t="s">
        <v>145</v>
      </c>
      <c r="D6" s="224" t="s">
        <v>282</v>
      </c>
      <c r="E6" s="224" t="s">
        <v>146</v>
      </c>
      <c r="F6" s="224" t="s">
        <v>99</v>
      </c>
      <c r="G6" s="224" t="s">
        <v>283</v>
      </c>
      <c r="H6" s="778" t="s">
        <v>147</v>
      </c>
      <c r="I6" s="779"/>
      <c r="J6" s="780">
        <f>M1-1</f>
        <v>2013</v>
      </c>
      <c r="K6" s="781"/>
      <c r="L6" s="780">
        <f>M1</f>
        <v>2014</v>
      </c>
      <c r="M6" s="781"/>
    </row>
    <row r="7" spans="2:13">
      <c r="B7" s="200" t="s">
        <v>867</v>
      </c>
      <c r="C7" s="200" t="s">
        <v>148</v>
      </c>
      <c r="D7" s="200" t="s">
        <v>284</v>
      </c>
      <c r="E7" s="200" t="s">
        <v>124</v>
      </c>
      <c r="F7" s="200" t="s">
        <v>149</v>
      </c>
      <c r="G7" s="225" t="str">
        <f>CONCATENATE("Jan 1,",M1-1,"")</f>
        <v>Jan 1,2013</v>
      </c>
      <c r="H7" s="156" t="s">
        <v>157</v>
      </c>
      <c r="I7" s="156" t="s">
        <v>159</v>
      </c>
      <c r="J7" s="156" t="s">
        <v>157</v>
      </c>
      <c r="K7" s="156" t="s">
        <v>159</v>
      </c>
      <c r="L7" s="156" t="s">
        <v>157</v>
      </c>
      <c r="M7" s="156" t="s">
        <v>159</v>
      </c>
    </row>
    <row r="8" spans="2:13">
      <c r="B8" s="226" t="s">
        <v>150</v>
      </c>
      <c r="C8" s="65"/>
      <c r="D8" s="65"/>
      <c r="E8" s="227"/>
      <c r="F8" s="228"/>
      <c r="G8" s="228"/>
      <c r="H8" s="65"/>
      <c r="I8" s="65"/>
      <c r="J8" s="228"/>
      <c r="K8" s="228"/>
      <c r="L8" s="228"/>
      <c r="M8" s="228"/>
    </row>
    <row r="9" spans="2:13">
      <c r="B9" s="69" t="s">
        <v>1113</v>
      </c>
      <c r="C9" s="378">
        <v>39479</v>
      </c>
      <c r="D9" s="378">
        <v>44105</v>
      </c>
      <c r="E9" s="229">
        <v>3.7679999999999998</v>
      </c>
      <c r="F9" s="230">
        <v>262500</v>
      </c>
      <c r="G9" s="231">
        <v>214500</v>
      </c>
      <c r="H9" s="232" t="s">
        <v>1127</v>
      </c>
      <c r="I9" s="232">
        <v>41183</v>
      </c>
      <c r="J9" s="231">
        <v>7257</v>
      </c>
      <c r="K9" s="231">
        <v>21000</v>
      </c>
      <c r="L9" s="231">
        <v>6543</v>
      </c>
      <c r="M9" s="231">
        <v>21000</v>
      </c>
    </row>
    <row r="10" spans="2:13">
      <c r="B10" s="69" t="s">
        <v>1112</v>
      </c>
      <c r="C10" s="378">
        <v>39479</v>
      </c>
      <c r="D10" s="378">
        <v>44105</v>
      </c>
      <c r="E10" s="229">
        <v>3.7679999999999998</v>
      </c>
      <c r="F10" s="230">
        <v>612500</v>
      </c>
      <c r="G10" s="231">
        <v>500500</v>
      </c>
      <c r="H10" s="232" t="s">
        <v>1127</v>
      </c>
      <c r="I10" s="232">
        <v>41183</v>
      </c>
      <c r="J10" s="231">
        <v>16933</v>
      </c>
      <c r="K10" s="231">
        <v>49000</v>
      </c>
      <c r="L10" s="231">
        <v>15267</v>
      </c>
      <c r="M10" s="231">
        <v>49000</v>
      </c>
    </row>
    <row r="11" spans="2:13">
      <c r="B11" s="69" t="s">
        <v>1114</v>
      </c>
      <c r="C11" s="378">
        <v>37591</v>
      </c>
      <c r="D11" s="378">
        <v>41183</v>
      </c>
      <c r="E11" s="229">
        <v>3.32</v>
      </c>
      <c r="F11" s="230">
        <v>310000</v>
      </c>
      <c r="G11" s="231">
        <v>35000</v>
      </c>
      <c r="H11" s="232" t="s">
        <v>1127</v>
      </c>
      <c r="I11" s="232">
        <v>41183</v>
      </c>
      <c r="J11" s="231">
        <v>0</v>
      </c>
      <c r="K11" s="231">
        <v>0</v>
      </c>
      <c r="L11" s="231">
        <v>0</v>
      </c>
      <c r="M11" s="231">
        <v>0</v>
      </c>
    </row>
    <row r="12" spans="2:13">
      <c r="B12" s="69" t="s">
        <v>1115</v>
      </c>
      <c r="C12" s="378">
        <v>39997</v>
      </c>
      <c r="D12" s="378">
        <v>43374</v>
      </c>
      <c r="E12" s="229">
        <v>5.5</v>
      </c>
      <c r="F12" s="230">
        <v>3995000</v>
      </c>
      <c r="G12" s="231">
        <v>2675000</v>
      </c>
      <c r="H12" s="232" t="s">
        <v>1127</v>
      </c>
      <c r="I12" s="232">
        <v>41183</v>
      </c>
      <c r="J12" s="231">
        <v>79113</v>
      </c>
      <c r="K12" s="231">
        <v>475000</v>
      </c>
      <c r="L12" s="231">
        <v>64863</v>
      </c>
      <c r="M12" s="231">
        <v>495000</v>
      </c>
    </row>
    <row r="13" spans="2:13">
      <c r="B13" s="69" t="s">
        <v>1116</v>
      </c>
      <c r="C13" s="378">
        <v>39479</v>
      </c>
      <c r="D13" s="378">
        <v>45200</v>
      </c>
      <c r="E13" s="229">
        <v>4.0999999999999996</v>
      </c>
      <c r="F13" s="230">
        <v>1190000</v>
      </c>
      <c r="G13" s="231">
        <v>940000</v>
      </c>
      <c r="H13" s="232" t="s">
        <v>1127</v>
      </c>
      <c r="I13" s="232">
        <v>41183</v>
      </c>
      <c r="J13" s="231">
        <v>33303</v>
      </c>
      <c r="K13" s="231">
        <v>100000</v>
      </c>
      <c r="L13" s="231">
        <v>28303</v>
      </c>
      <c r="M13" s="231">
        <v>100000</v>
      </c>
    </row>
    <row r="14" spans="2:13">
      <c r="B14" s="69"/>
      <c r="C14" s="378"/>
      <c r="D14" s="378"/>
      <c r="E14" s="229"/>
      <c r="F14" s="230"/>
      <c r="G14" s="231"/>
      <c r="H14" s="232"/>
      <c r="I14" s="232"/>
      <c r="J14" s="231"/>
      <c r="K14" s="231"/>
      <c r="L14" s="231"/>
      <c r="M14" s="231"/>
    </row>
    <row r="15" spans="2:13">
      <c r="B15" s="69"/>
      <c r="C15" s="378"/>
      <c r="D15" s="378"/>
      <c r="E15" s="229"/>
      <c r="F15" s="230"/>
      <c r="G15" s="231"/>
      <c r="H15" s="232"/>
      <c r="I15" s="232"/>
      <c r="J15" s="231"/>
      <c r="K15" s="231"/>
      <c r="L15" s="231"/>
      <c r="M15" s="231"/>
    </row>
    <row r="16" spans="2:13">
      <c r="B16" s="69"/>
      <c r="C16" s="378"/>
      <c r="D16" s="378"/>
      <c r="E16" s="229"/>
      <c r="F16" s="230"/>
      <c r="G16" s="231"/>
      <c r="H16" s="232"/>
      <c r="I16" s="232"/>
      <c r="J16" s="231"/>
      <c r="K16" s="231"/>
      <c r="L16" s="231"/>
      <c r="M16" s="231"/>
    </row>
    <row r="17" spans="2:13">
      <c r="B17" s="69"/>
      <c r="C17" s="378"/>
      <c r="D17" s="378"/>
      <c r="E17" s="229"/>
      <c r="F17" s="230"/>
      <c r="G17" s="231"/>
      <c r="H17" s="232"/>
      <c r="I17" s="232"/>
      <c r="J17" s="231"/>
      <c r="K17" s="231"/>
      <c r="L17" s="231"/>
      <c r="M17" s="231"/>
    </row>
    <row r="18" spans="2:13">
      <c r="B18" s="69"/>
      <c r="C18" s="378"/>
      <c r="D18" s="378"/>
      <c r="E18" s="229"/>
      <c r="F18" s="230"/>
      <c r="G18" s="231"/>
      <c r="H18" s="232"/>
      <c r="I18" s="232"/>
      <c r="J18" s="231"/>
      <c r="K18" s="231"/>
      <c r="L18" s="231"/>
      <c r="M18" s="231"/>
    </row>
    <row r="19" spans="2:13">
      <c r="B19" s="69"/>
      <c r="C19" s="378"/>
      <c r="D19" s="378"/>
      <c r="E19" s="229"/>
      <c r="F19" s="230"/>
      <c r="G19" s="231"/>
      <c r="H19" s="232"/>
      <c r="I19" s="232"/>
      <c r="J19" s="231"/>
      <c r="K19" s="231"/>
      <c r="L19" s="231"/>
      <c r="M19" s="231"/>
    </row>
    <row r="20" spans="2:13">
      <c r="B20" s="233" t="s">
        <v>151</v>
      </c>
      <c r="C20" s="234"/>
      <c r="D20" s="234"/>
      <c r="E20" s="235"/>
      <c r="F20" s="236"/>
      <c r="G20" s="237">
        <f>SUM(G9:G19)</f>
        <v>4365000</v>
      </c>
      <c r="H20" s="238"/>
      <c r="I20" s="238"/>
      <c r="J20" s="237">
        <f>SUM(J9:J19)</f>
        <v>136606</v>
      </c>
      <c r="K20" s="237">
        <f>SUM(K9:K19)</f>
        <v>645000</v>
      </c>
      <c r="L20" s="237">
        <f>SUM(L9:L19)</f>
        <v>114976</v>
      </c>
      <c r="M20" s="237">
        <f>SUM(M9:M19)</f>
        <v>665000</v>
      </c>
    </row>
    <row r="21" spans="2:13">
      <c r="B21" s="226" t="s">
        <v>152</v>
      </c>
      <c r="C21" s="239"/>
      <c r="D21" s="239"/>
      <c r="E21" s="240"/>
      <c r="F21" s="241"/>
      <c r="G21" s="241"/>
      <c r="H21" s="242"/>
      <c r="I21" s="242"/>
      <c r="J21" s="241"/>
      <c r="K21" s="241"/>
      <c r="L21" s="241"/>
      <c r="M21" s="241"/>
    </row>
    <row r="22" spans="2:13">
      <c r="B22" s="69" t="s">
        <v>1124</v>
      </c>
      <c r="C22" s="378">
        <v>38888</v>
      </c>
      <c r="D22" s="378">
        <v>44470</v>
      </c>
      <c r="E22" s="229">
        <v>5</v>
      </c>
      <c r="F22" s="230">
        <v>160000</v>
      </c>
      <c r="G22" s="231">
        <v>115000</v>
      </c>
      <c r="H22" s="232" t="s">
        <v>1127</v>
      </c>
      <c r="I22" s="232">
        <v>41183</v>
      </c>
      <c r="J22" s="231">
        <v>5250</v>
      </c>
      <c r="K22" s="231">
        <v>10000</v>
      </c>
      <c r="L22" s="231">
        <v>4750</v>
      </c>
      <c r="M22" s="231">
        <v>10000</v>
      </c>
    </row>
    <row r="23" spans="2:13">
      <c r="B23" s="69" t="s">
        <v>1117</v>
      </c>
      <c r="C23" s="378">
        <v>37895</v>
      </c>
      <c r="D23" s="378">
        <v>42278</v>
      </c>
      <c r="E23" s="229">
        <v>5.03</v>
      </c>
      <c r="F23" s="230">
        <v>525000</v>
      </c>
      <c r="G23" s="231">
        <v>240000</v>
      </c>
      <c r="H23" s="232" t="s">
        <v>1127</v>
      </c>
      <c r="I23" s="232">
        <v>41183</v>
      </c>
      <c r="J23" s="231">
        <v>9530</v>
      </c>
      <c r="K23" s="231">
        <v>60000</v>
      </c>
      <c r="L23" s="231">
        <v>6470</v>
      </c>
      <c r="M23" s="231">
        <v>60000</v>
      </c>
    </row>
    <row r="24" spans="2:13">
      <c r="B24" s="69"/>
      <c r="C24" s="378"/>
      <c r="D24" s="378"/>
      <c r="E24" s="229"/>
      <c r="F24" s="230"/>
      <c r="G24" s="231"/>
      <c r="H24" s="232"/>
      <c r="I24" s="232"/>
      <c r="J24" s="231"/>
      <c r="K24" s="231"/>
      <c r="L24" s="231"/>
      <c r="M24" s="231"/>
    </row>
    <row r="25" spans="2:13">
      <c r="B25" s="69"/>
      <c r="C25" s="378"/>
      <c r="D25" s="378"/>
      <c r="E25" s="229"/>
      <c r="F25" s="230"/>
      <c r="G25" s="231"/>
      <c r="H25" s="232"/>
      <c r="I25" s="232"/>
      <c r="J25" s="231"/>
      <c r="K25" s="231"/>
      <c r="L25" s="231"/>
      <c r="M25" s="231"/>
    </row>
    <row r="26" spans="2:13">
      <c r="B26" s="69"/>
      <c r="C26" s="378"/>
      <c r="D26" s="378"/>
      <c r="E26" s="229"/>
      <c r="F26" s="230"/>
      <c r="G26" s="231"/>
      <c r="H26" s="232"/>
      <c r="I26" s="232"/>
      <c r="J26" s="231"/>
      <c r="K26" s="231"/>
      <c r="L26" s="231"/>
      <c r="M26" s="231"/>
    </row>
    <row r="27" spans="2:13">
      <c r="B27" s="69"/>
      <c r="C27" s="378"/>
      <c r="D27" s="378"/>
      <c r="E27" s="229"/>
      <c r="F27" s="230"/>
      <c r="G27" s="231"/>
      <c r="H27" s="232"/>
      <c r="I27" s="232"/>
      <c r="J27" s="231"/>
      <c r="K27" s="231"/>
      <c r="L27" s="231"/>
      <c r="M27" s="231"/>
    </row>
    <row r="28" spans="2:13">
      <c r="B28" s="69"/>
      <c r="C28" s="378"/>
      <c r="D28" s="378"/>
      <c r="E28" s="229"/>
      <c r="F28" s="230"/>
      <c r="G28" s="231"/>
      <c r="H28" s="232"/>
      <c r="I28" s="232"/>
      <c r="J28" s="231"/>
      <c r="K28" s="231"/>
      <c r="L28" s="231"/>
      <c r="M28" s="231"/>
    </row>
    <row r="29" spans="2:13">
      <c r="B29" s="69"/>
      <c r="C29" s="378"/>
      <c r="D29" s="378"/>
      <c r="E29" s="229"/>
      <c r="F29" s="230"/>
      <c r="G29" s="231"/>
      <c r="H29" s="232"/>
      <c r="I29" s="232"/>
      <c r="J29" s="231"/>
      <c r="K29" s="231"/>
      <c r="L29" s="231"/>
      <c r="M29" s="231"/>
    </row>
    <row r="30" spans="2:13">
      <c r="B30" s="69"/>
      <c r="C30" s="378"/>
      <c r="D30" s="378"/>
      <c r="E30" s="229"/>
      <c r="F30" s="230"/>
      <c r="G30" s="231"/>
      <c r="H30" s="232"/>
      <c r="I30" s="232"/>
      <c r="J30" s="231"/>
      <c r="K30" s="231"/>
      <c r="L30" s="231"/>
      <c r="M30" s="231"/>
    </row>
    <row r="31" spans="2:13">
      <c r="B31" s="69"/>
      <c r="C31" s="378"/>
      <c r="D31" s="378"/>
      <c r="E31" s="229"/>
      <c r="F31" s="230"/>
      <c r="G31" s="231"/>
      <c r="H31" s="232"/>
      <c r="I31" s="232"/>
      <c r="J31" s="231"/>
      <c r="K31" s="231"/>
      <c r="L31" s="231"/>
      <c r="M31" s="231"/>
    </row>
    <row r="32" spans="2:13">
      <c r="B32" s="233" t="s">
        <v>153</v>
      </c>
      <c r="C32" s="234"/>
      <c r="D32" s="234"/>
      <c r="E32" s="243"/>
      <c r="F32" s="236"/>
      <c r="G32" s="244">
        <f>SUM(G22:G31)</f>
        <v>355000</v>
      </c>
      <c r="H32" s="238"/>
      <c r="I32" s="238"/>
      <c r="J32" s="244">
        <f>SUM(J22:J31)</f>
        <v>14780</v>
      </c>
      <c r="K32" s="244">
        <f>SUM(K22:K31)</f>
        <v>70000</v>
      </c>
      <c r="L32" s="237">
        <f>SUM(L22:L31)</f>
        <v>11220</v>
      </c>
      <c r="M32" s="244">
        <f>SUM(M22:M31)</f>
        <v>70000</v>
      </c>
    </row>
    <row r="33" spans="2:29">
      <c r="B33" s="226" t="s">
        <v>154</v>
      </c>
      <c r="C33" s="239"/>
      <c r="D33" s="239"/>
      <c r="E33" s="240"/>
      <c r="F33" s="241"/>
      <c r="G33" s="245"/>
      <c r="H33" s="242"/>
      <c r="I33" s="242"/>
      <c r="J33" s="241"/>
      <c r="K33" s="241"/>
      <c r="L33" s="241"/>
      <c r="M33" s="241"/>
    </row>
    <row r="34" spans="2:29">
      <c r="B34" s="69" t="s">
        <v>1118</v>
      </c>
      <c r="C34" s="378">
        <v>38777</v>
      </c>
      <c r="D34" s="378">
        <v>42369</v>
      </c>
      <c r="E34" s="229" t="s">
        <v>1125</v>
      </c>
      <c r="F34" s="230">
        <v>260000</v>
      </c>
      <c r="G34" s="231">
        <v>130000</v>
      </c>
      <c r="H34" s="232" t="s">
        <v>1127</v>
      </c>
      <c r="I34" s="232">
        <v>41183</v>
      </c>
      <c r="J34" s="231">
        <v>4570</v>
      </c>
      <c r="K34" s="231">
        <v>30000</v>
      </c>
      <c r="L34" s="231">
        <v>3220</v>
      </c>
      <c r="M34" s="231">
        <v>35000</v>
      </c>
    </row>
    <row r="35" spans="2:29">
      <c r="B35" s="69" t="s">
        <v>1119</v>
      </c>
      <c r="C35" s="378">
        <v>38777</v>
      </c>
      <c r="D35" s="378">
        <v>43100</v>
      </c>
      <c r="E35" s="229" t="s">
        <v>1125</v>
      </c>
      <c r="F35" s="230">
        <v>500000</v>
      </c>
      <c r="G35" s="231">
        <v>300000</v>
      </c>
      <c r="H35" s="232" t="s">
        <v>1127</v>
      </c>
      <c r="I35" s="232">
        <v>41183</v>
      </c>
      <c r="J35" s="231">
        <v>11988</v>
      </c>
      <c r="K35" s="231">
        <v>45000</v>
      </c>
      <c r="L35" s="231">
        <v>9963</v>
      </c>
      <c r="M35" s="231">
        <v>50000</v>
      </c>
    </row>
    <row r="36" spans="2:29">
      <c r="B36" s="69" t="s">
        <v>1120</v>
      </c>
      <c r="C36" s="378">
        <v>38777</v>
      </c>
      <c r="D36" s="378">
        <v>47118</v>
      </c>
      <c r="E36" s="229" t="s">
        <v>1125</v>
      </c>
      <c r="F36" s="230">
        <v>1635000</v>
      </c>
      <c r="G36" s="231">
        <v>1355000</v>
      </c>
      <c r="H36" s="232" t="s">
        <v>1127</v>
      </c>
      <c r="I36" s="232">
        <v>41183</v>
      </c>
      <c r="J36" s="231">
        <v>65845</v>
      </c>
      <c r="K36" s="231">
        <v>55000</v>
      </c>
      <c r="L36" s="231">
        <v>63370</v>
      </c>
      <c r="M36" s="231">
        <v>60000</v>
      </c>
    </row>
    <row r="37" spans="2:29">
      <c r="B37" s="69" t="s">
        <v>1122</v>
      </c>
      <c r="C37" s="378">
        <v>41122</v>
      </c>
      <c r="D37" s="378">
        <v>48061</v>
      </c>
      <c r="E37" s="229">
        <v>3.28</v>
      </c>
      <c r="F37" s="230">
        <v>670666</v>
      </c>
      <c r="G37" s="231">
        <v>670666</v>
      </c>
      <c r="H37" s="232" t="s">
        <v>1128</v>
      </c>
      <c r="I37" s="232" t="s">
        <v>1128</v>
      </c>
      <c r="J37" s="231">
        <v>21175</v>
      </c>
      <c r="K37" s="231">
        <v>24348</v>
      </c>
      <c r="L37" s="231">
        <v>20375</v>
      </c>
      <c r="M37" s="231">
        <v>25233</v>
      </c>
    </row>
    <row r="38" spans="2:29">
      <c r="B38" s="69" t="s">
        <v>1121</v>
      </c>
      <c r="C38" s="378">
        <v>41044</v>
      </c>
      <c r="D38" s="378">
        <v>43009</v>
      </c>
      <c r="E38" s="229">
        <v>2</v>
      </c>
      <c r="F38" s="230">
        <v>230000</v>
      </c>
      <c r="G38" s="231">
        <v>0</v>
      </c>
      <c r="H38" s="232" t="s">
        <v>1127</v>
      </c>
      <c r="I38" s="232">
        <v>41183</v>
      </c>
      <c r="J38" s="231">
        <v>4200</v>
      </c>
      <c r="K38" s="231">
        <v>40000</v>
      </c>
      <c r="L38" s="231">
        <v>3400</v>
      </c>
      <c r="M38" s="231">
        <v>40000</v>
      </c>
    </row>
    <row r="39" spans="2:29">
      <c r="B39" s="69" t="s">
        <v>1121</v>
      </c>
      <c r="C39" s="378">
        <v>41044</v>
      </c>
      <c r="D39" s="378">
        <v>44835</v>
      </c>
      <c r="E39" s="229" t="s">
        <v>1126</v>
      </c>
      <c r="F39" s="230">
        <v>1970000</v>
      </c>
      <c r="G39" s="231">
        <v>0</v>
      </c>
      <c r="H39" s="232" t="s">
        <v>1127</v>
      </c>
      <c r="I39" s="232">
        <v>41183</v>
      </c>
      <c r="J39" s="231">
        <v>39100</v>
      </c>
      <c r="K39" s="231">
        <v>170000</v>
      </c>
      <c r="L39" s="231">
        <v>37400</v>
      </c>
      <c r="M39" s="231">
        <v>175000</v>
      </c>
    </row>
    <row r="40" spans="2:29">
      <c r="B40" s="69" t="s">
        <v>1123</v>
      </c>
      <c r="C40" s="378">
        <v>41044</v>
      </c>
      <c r="D40" s="378">
        <v>45200</v>
      </c>
      <c r="E40" s="229" t="s">
        <v>1126</v>
      </c>
      <c r="F40" s="230">
        <v>800000</v>
      </c>
      <c r="G40" s="231">
        <v>0</v>
      </c>
      <c r="H40" s="232" t="s">
        <v>1127</v>
      </c>
      <c r="I40" s="232">
        <v>41183</v>
      </c>
      <c r="J40" s="231">
        <v>16663</v>
      </c>
      <c r="K40" s="231">
        <v>70000</v>
      </c>
      <c r="L40" s="231">
        <v>15263</v>
      </c>
      <c r="M40" s="231">
        <v>65000</v>
      </c>
    </row>
    <row r="41" spans="2:29">
      <c r="B41" s="69"/>
      <c r="C41" s="378"/>
      <c r="D41" s="378"/>
      <c r="E41" s="229"/>
      <c r="F41" s="230"/>
      <c r="G41" s="231"/>
      <c r="H41" s="232"/>
      <c r="I41" s="232"/>
      <c r="J41" s="231"/>
      <c r="K41" s="231"/>
      <c r="L41" s="231"/>
      <c r="M41" s="231"/>
      <c r="N41" s="32"/>
      <c r="O41" s="32"/>
      <c r="P41" s="32"/>
      <c r="Q41" s="32"/>
      <c r="R41" s="32"/>
      <c r="S41" s="32"/>
      <c r="T41" s="32"/>
      <c r="U41" s="32"/>
      <c r="V41" s="32"/>
      <c r="W41" s="32"/>
      <c r="X41" s="32"/>
      <c r="Y41" s="32"/>
      <c r="Z41" s="32"/>
      <c r="AA41" s="32"/>
      <c r="AB41" s="32"/>
      <c r="AC41" s="32"/>
    </row>
    <row r="42" spans="2:29">
      <c r="B42" s="233" t="s">
        <v>285</v>
      </c>
      <c r="C42" s="214"/>
      <c r="D42" s="214"/>
      <c r="E42" s="243"/>
      <c r="F42" s="236"/>
      <c r="G42" s="244">
        <f>SUM(G34:G41)</f>
        <v>2455666</v>
      </c>
      <c r="H42" s="236"/>
      <c r="I42" s="236"/>
      <c r="J42" s="244">
        <f>SUM(J34:J41)</f>
        <v>163541</v>
      </c>
      <c r="K42" s="244">
        <f>SUM(K34:K41)</f>
        <v>434348</v>
      </c>
      <c r="L42" s="244">
        <f>SUM(L34:L41)</f>
        <v>152991</v>
      </c>
      <c r="M42" s="244">
        <f>SUM(M34:M41)</f>
        <v>450233</v>
      </c>
    </row>
    <row r="43" spans="2:29">
      <c r="B43" s="233" t="s">
        <v>155</v>
      </c>
      <c r="C43" s="214"/>
      <c r="D43" s="214"/>
      <c r="E43" s="214"/>
      <c r="F43" s="236"/>
      <c r="G43" s="244">
        <f>SUM(G20+G32+G42)</f>
        <v>7175666</v>
      </c>
      <c r="H43" s="236"/>
      <c r="I43" s="236"/>
      <c r="J43" s="244">
        <f>SUM(J20+J32+J42)</f>
        <v>314927</v>
      </c>
      <c r="K43" s="244">
        <f>SUM(K20+K32+K42)</f>
        <v>1149348</v>
      </c>
      <c r="L43" s="244">
        <f>SUM(L20+L32+L42)</f>
        <v>279187</v>
      </c>
      <c r="M43" s="244">
        <f>SUM(M20+M32+M42)</f>
        <v>1185233</v>
      </c>
    </row>
    <row r="44" spans="2:29">
      <c r="B44" s="32"/>
      <c r="C44" s="32"/>
      <c r="D44" s="32"/>
      <c r="E44" s="32"/>
      <c r="F44" s="32"/>
      <c r="G44" s="32"/>
      <c r="H44" s="32"/>
      <c r="I44" s="32"/>
      <c r="J44" s="32"/>
      <c r="K44" s="32"/>
      <c r="L44" s="32"/>
      <c r="M44" s="32"/>
    </row>
    <row r="45" spans="2:29">
      <c r="F45" s="246"/>
      <c r="G45" s="246"/>
      <c r="J45" s="246"/>
      <c r="K45" s="246"/>
      <c r="L45" s="246"/>
      <c r="M45" s="246"/>
    </row>
    <row r="46" spans="2:29">
      <c r="F46" s="32"/>
      <c r="H46" s="247"/>
      <c r="N46" s="32"/>
    </row>
    <row r="47" spans="2:29">
      <c r="B47" s="32"/>
      <c r="C47" s="32"/>
      <c r="D47" s="32"/>
      <c r="E47" s="32"/>
      <c r="F47" s="32"/>
      <c r="G47" s="32"/>
      <c r="H47" s="32"/>
      <c r="I47" s="32"/>
      <c r="J47" s="32"/>
      <c r="K47" s="32"/>
      <c r="L47" s="32"/>
      <c r="M47" s="32"/>
    </row>
    <row r="48" spans="2:29">
      <c r="B48" s="32"/>
      <c r="C48" s="32"/>
      <c r="D48" s="32"/>
      <c r="E48" s="32"/>
      <c r="F48" s="32"/>
      <c r="G48" s="32"/>
      <c r="H48" s="32"/>
      <c r="I48" s="32"/>
      <c r="J48" s="32"/>
      <c r="K48" s="32"/>
      <c r="L48" s="32"/>
      <c r="M48" s="32"/>
    </row>
  </sheetData>
  <sheetProtection sheet="1" objects="1" scenarios="1"/>
  <mergeCells count="3">
    <mergeCell ref="H6:I6"/>
    <mergeCell ref="J6:K6"/>
    <mergeCell ref="L6:M6"/>
  </mergeCells>
  <phoneticPr fontId="0" type="noConversion"/>
  <pageMargins left="0.25" right="0.25" top="1" bottom="0.5" header="0.5" footer="0.25"/>
  <pageSetup scale="75" orientation="landscape" blackAndWhite="1" horizontalDpi="120" verticalDpi="144" r:id="rId1"/>
  <headerFooter alignWithMargins="0">
    <oddHeader>&amp;RState of Kansas
City</oddHeader>
    <oddFooter>&amp;CPage No. 5</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I15" sqref="I15"/>
    </sheetView>
  </sheetViews>
  <sheetFormatPr defaultRowHeight="15.75"/>
  <cols>
    <col min="1" max="1" width="4.88671875" style="2" customWidth="1"/>
    <col min="2" max="2" width="23.5546875" style="2" customWidth="1"/>
    <col min="3" max="5" width="9.77734375" style="2" customWidth="1"/>
    <col min="6" max="6" width="18.33203125" style="2" customWidth="1"/>
    <col min="7" max="9" width="15.77734375" style="2" customWidth="1"/>
    <col min="10" max="16384" width="8.88671875" style="2"/>
  </cols>
  <sheetData>
    <row r="1" spans="2:9">
      <c r="B1" s="10" t="str">
        <f>inputPrYr!$D$2</f>
        <v>City of Garnett</v>
      </c>
      <c r="C1" s="5"/>
      <c r="D1" s="5"/>
      <c r="E1" s="5"/>
      <c r="F1" s="5"/>
      <c r="G1" s="5"/>
      <c r="H1" s="5"/>
      <c r="I1" s="20">
        <f>inputPrYr!C5</f>
        <v>2014</v>
      </c>
    </row>
    <row r="2" spans="2:9">
      <c r="B2" s="10"/>
      <c r="C2" s="5"/>
      <c r="D2" s="5"/>
      <c r="E2" s="5"/>
      <c r="F2" s="5"/>
      <c r="G2" s="5"/>
      <c r="H2" s="5"/>
      <c r="I2" s="7"/>
    </row>
    <row r="3" spans="2:9">
      <c r="B3" s="5"/>
      <c r="C3" s="5"/>
      <c r="D3" s="5"/>
      <c r="E3" s="5"/>
      <c r="F3" s="5"/>
      <c r="G3" s="5"/>
      <c r="H3" s="5"/>
      <c r="I3" s="6"/>
    </row>
    <row r="4" spans="2:9">
      <c r="B4" s="11" t="s">
        <v>169</v>
      </c>
      <c r="C4" s="8"/>
      <c r="D4" s="8"/>
      <c r="E4" s="8"/>
      <c r="F4" s="8"/>
      <c r="G4" s="8"/>
      <c r="H4" s="8"/>
      <c r="I4" s="8"/>
    </row>
    <row r="5" spans="2:9">
      <c r="B5" s="4"/>
      <c r="C5" s="16"/>
      <c r="D5" s="16"/>
      <c r="E5" s="16"/>
      <c r="F5" s="16"/>
      <c r="G5" s="16"/>
      <c r="H5" s="16"/>
      <c r="I5" s="16"/>
    </row>
    <row r="6" spans="2:9">
      <c r="B6" s="9"/>
      <c r="C6" s="9"/>
      <c r="D6" s="9"/>
      <c r="E6" s="9"/>
      <c r="F6" s="12" t="s">
        <v>78</v>
      </c>
      <c r="G6" s="9"/>
      <c r="H6" s="9"/>
      <c r="I6" s="9"/>
    </row>
    <row r="7" spans="2:9">
      <c r="B7" s="610"/>
      <c r="C7" s="13"/>
      <c r="D7" s="13" t="s">
        <v>156</v>
      </c>
      <c r="E7" s="13" t="s">
        <v>157</v>
      </c>
      <c r="F7" s="13" t="s">
        <v>99</v>
      </c>
      <c r="G7" s="13" t="s">
        <v>159</v>
      </c>
      <c r="H7" s="13" t="s">
        <v>160</v>
      </c>
      <c r="I7" s="13" t="s">
        <v>160</v>
      </c>
    </row>
    <row r="8" spans="2:9">
      <c r="B8" s="13" t="s">
        <v>870</v>
      </c>
      <c r="C8" s="13" t="s">
        <v>161</v>
      </c>
      <c r="D8" s="13" t="s">
        <v>162</v>
      </c>
      <c r="E8" s="13" t="s">
        <v>146</v>
      </c>
      <c r="F8" s="13" t="s">
        <v>163</v>
      </c>
      <c r="G8" s="13" t="s">
        <v>209</v>
      </c>
      <c r="H8" s="13" t="s">
        <v>164</v>
      </c>
      <c r="I8" s="13" t="s">
        <v>164</v>
      </c>
    </row>
    <row r="9" spans="2:9">
      <c r="B9" s="14" t="s">
        <v>869</v>
      </c>
      <c r="C9" s="14" t="s">
        <v>143</v>
      </c>
      <c r="D9" s="18" t="s">
        <v>165</v>
      </c>
      <c r="E9" s="14" t="s">
        <v>124</v>
      </c>
      <c r="F9" s="18" t="s">
        <v>234</v>
      </c>
      <c r="G9" s="15" t="str">
        <f>CONCATENATE("Jan 1,",I1-1,"")</f>
        <v>Jan 1,2013</v>
      </c>
      <c r="H9" s="14">
        <f>I1-1</f>
        <v>2013</v>
      </c>
      <c r="I9" s="14">
        <f>I1</f>
        <v>2014</v>
      </c>
    </row>
    <row r="10" spans="2:9">
      <c r="B10" s="3" t="s">
        <v>1129</v>
      </c>
      <c r="C10" s="28">
        <v>40021</v>
      </c>
      <c r="D10" s="23">
        <v>60</v>
      </c>
      <c r="E10" s="21">
        <v>0</v>
      </c>
      <c r="F10" s="22">
        <v>6540</v>
      </c>
      <c r="G10" s="22">
        <v>3924</v>
      </c>
      <c r="H10" s="22">
        <v>1308</v>
      </c>
      <c r="I10" s="22">
        <v>1308</v>
      </c>
    </row>
    <row r="11" spans="2:9">
      <c r="B11" s="3" t="s">
        <v>1130</v>
      </c>
      <c r="C11" s="28">
        <v>38938</v>
      </c>
      <c r="D11" s="23">
        <v>120</v>
      </c>
      <c r="E11" s="21">
        <v>5.15</v>
      </c>
      <c r="F11" s="22">
        <v>83000</v>
      </c>
      <c r="G11" s="22">
        <v>32487</v>
      </c>
      <c r="H11" s="22">
        <v>10829</v>
      </c>
      <c r="I11" s="22">
        <v>10829</v>
      </c>
    </row>
    <row r="12" spans="2:9">
      <c r="B12" s="3" t="s">
        <v>1131</v>
      </c>
      <c r="C12" s="28">
        <v>40513</v>
      </c>
      <c r="D12" s="23">
        <v>48</v>
      </c>
      <c r="E12" s="21">
        <v>3</v>
      </c>
      <c r="F12" s="22">
        <v>75000</v>
      </c>
      <c r="G12" s="22">
        <v>20198</v>
      </c>
      <c r="H12" s="22">
        <v>20198</v>
      </c>
      <c r="I12" s="22">
        <v>0</v>
      </c>
    </row>
    <row r="13" spans="2:9">
      <c r="B13" s="3" t="s">
        <v>1132</v>
      </c>
      <c r="C13" s="28">
        <v>41214</v>
      </c>
      <c r="D13" s="23">
        <v>48</v>
      </c>
      <c r="E13" s="21">
        <v>2.5</v>
      </c>
      <c r="F13" s="22">
        <v>36400</v>
      </c>
      <c r="G13" s="22">
        <v>29054</v>
      </c>
      <c r="H13" s="22">
        <v>9685</v>
      </c>
      <c r="I13" s="22">
        <v>9685</v>
      </c>
    </row>
    <row r="14" spans="2:9">
      <c r="B14" s="3" t="s">
        <v>1133</v>
      </c>
      <c r="C14" s="28">
        <v>41014</v>
      </c>
      <c r="D14" s="23">
        <v>48</v>
      </c>
      <c r="E14" s="21">
        <v>2.5</v>
      </c>
      <c r="F14" s="22">
        <v>83000</v>
      </c>
      <c r="G14" s="22">
        <v>66193</v>
      </c>
      <c r="H14" s="22">
        <v>22064</v>
      </c>
      <c r="I14" s="22">
        <v>22064</v>
      </c>
    </row>
    <row r="15" spans="2:9">
      <c r="B15" s="3"/>
      <c r="C15" s="28"/>
      <c r="D15" s="23"/>
      <c r="E15" s="21"/>
      <c r="F15" s="22"/>
      <c r="G15" s="22"/>
      <c r="H15" s="22"/>
      <c r="I15" s="22"/>
    </row>
    <row r="16" spans="2:9">
      <c r="B16" s="3"/>
      <c r="C16" s="28"/>
      <c r="D16" s="23"/>
      <c r="E16" s="21"/>
      <c r="F16" s="22"/>
      <c r="G16" s="22"/>
      <c r="H16" s="22"/>
      <c r="I16" s="22"/>
    </row>
    <row r="17" spans="2:9">
      <c r="B17" s="3"/>
      <c r="C17" s="28"/>
      <c r="D17" s="23"/>
      <c r="E17" s="21"/>
      <c r="F17" s="22"/>
      <c r="G17" s="22"/>
      <c r="H17" s="22"/>
      <c r="I17" s="22"/>
    </row>
    <row r="18" spans="2:9">
      <c r="B18" s="3"/>
      <c r="C18" s="28"/>
      <c r="D18" s="23"/>
      <c r="E18" s="21"/>
      <c r="F18" s="22"/>
      <c r="G18" s="22"/>
      <c r="H18" s="22"/>
      <c r="I18" s="22"/>
    </row>
    <row r="19" spans="2:9">
      <c r="B19" s="3"/>
      <c r="C19" s="28"/>
      <c r="D19" s="23"/>
      <c r="E19" s="21"/>
      <c r="F19" s="22"/>
      <c r="G19" s="22"/>
      <c r="H19" s="22"/>
      <c r="I19" s="22"/>
    </row>
    <row r="20" spans="2:9">
      <c r="B20" s="3"/>
      <c r="C20" s="28"/>
      <c r="D20" s="23"/>
      <c r="E20" s="21"/>
      <c r="F20" s="22"/>
      <c r="G20" s="22"/>
      <c r="H20" s="22"/>
      <c r="I20" s="22"/>
    </row>
    <row r="21" spans="2:9">
      <c r="B21" s="3"/>
      <c r="C21" s="28"/>
      <c r="D21" s="23"/>
      <c r="E21" s="21"/>
      <c r="F21" s="22"/>
      <c r="G21" s="22"/>
      <c r="H21" s="22"/>
      <c r="I21" s="22"/>
    </row>
    <row r="22" spans="2:9">
      <c r="B22" s="3"/>
      <c r="C22" s="28"/>
      <c r="D22" s="23"/>
      <c r="E22" s="21"/>
      <c r="F22" s="22"/>
      <c r="G22" s="22"/>
      <c r="H22" s="22"/>
      <c r="I22" s="22"/>
    </row>
    <row r="23" spans="2:9">
      <c r="B23" s="3"/>
      <c r="C23" s="28"/>
      <c r="D23" s="23"/>
      <c r="E23" s="21"/>
      <c r="F23" s="22"/>
      <c r="G23" s="22"/>
      <c r="H23" s="22"/>
      <c r="I23" s="22"/>
    </row>
    <row r="24" spans="2:9">
      <c r="B24" s="3"/>
      <c r="C24" s="28"/>
      <c r="D24" s="23"/>
      <c r="E24" s="21"/>
      <c r="F24" s="22"/>
      <c r="G24" s="22"/>
      <c r="H24" s="22"/>
      <c r="I24" s="22"/>
    </row>
    <row r="25" spans="2:9">
      <c r="B25" s="3"/>
      <c r="C25" s="28"/>
      <c r="D25" s="23"/>
      <c r="E25" s="21"/>
      <c r="F25" s="22"/>
      <c r="G25" s="22"/>
      <c r="H25" s="22"/>
      <c r="I25" s="22"/>
    </row>
    <row r="26" spans="2:9">
      <c r="B26" s="3"/>
      <c r="C26" s="28"/>
      <c r="D26" s="23"/>
      <c r="E26" s="21"/>
      <c r="F26" s="22"/>
      <c r="G26" s="22"/>
      <c r="H26" s="22"/>
      <c r="I26" s="22"/>
    </row>
    <row r="27" spans="2:9">
      <c r="B27" s="3"/>
      <c r="C27" s="28"/>
      <c r="D27" s="23"/>
      <c r="E27" s="21"/>
      <c r="F27" s="22"/>
      <c r="G27" s="22"/>
      <c r="H27" s="22"/>
      <c r="I27" s="22"/>
    </row>
    <row r="28" spans="2:9" ht="16.5" thickBot="1">
      <c r="B28" s="17"/>
      <c r="C28" s="19"/>
      <c r="D28" s="19"/>
      <c r="E28" s="19"/>
      <c r="F28" s="713" t="s">
        <v>94</v>
      </c>
      <c r="G28" s="27">
        <f>SUM(G10:G27)</f>
        <v>151856</v>
      </c>
      <c r="H28" s="27">
        <f>SUM(H10:H27)</f>
        <v>64084</v>
      </c>
      <c r="I28" s="27">
        <f>SUM(I10:I27)</f>
        <v>43886</v>
      </c>
    </row>
    <row r="29" spans="2:9" ht="16.5" thickTop="1">
      <c r="B29" s="5"/>
      <c r="C29" s="5"/>
      <c r="D29" s="5"/>
      <c r="E29" s="5"/>
      <c r="F29" s="5"/>
      <c r="G29" s="5"/>
      <c r="H29" s="10"/>
      <c r="I29" s="10"/>
    </row>
    <row r="30" spans="2:9">
      <c r="B30" s="29" t="s">
        <v>22</v>
      </c>
      <c r="C30" s="30"/>
      <c r="D30" s="30"/>
      <c r="E30" s="30"/>
      <c r="F30" s="30"/>
      <c r="G30" s="30"/>
      <c r="H30" s="10"/>
      <c r="I30" s="10"/>
    </row>
  </sheetData>
  <sheetProtection sheet="1"/>
  <phoneticPr fontId="0" type="noConversion"/>
  <pageMargins left="0.25" right="0.25" top="1" bottom="0.5" header="0.5" footer="0.5"/>
  <pageSetup scale="85" orientation="landscape" blackAndWhite="1" horizontalDpi="120" verticalDpi="144" r:id="rId1"/>
  <headerFooter alignWithMargins="0">
    <oddHeader>&amp;RState of Kansas
City</oddHeader>
    <oddFooter>&amp;CPage No. 6</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topLeftCell="A64" zoomScaleNormal="100" workbookViewId="0">
      <selection activeCell="B73" sqref="B73"/>
    </sheetView>
  </sheetViews>
  <sheetFormatPr defaultRowHeight="15"/>
  <cols>
    <col min="1" max="1" width="2.5546875" style="683" customWidth="1"/>
    <col min="2" max="4" width="8.88671875" style="683"/>
    <col min="5" max="5" width="9.6640625" style="683" customWidth="1"/>
    <col min="6" max="6" width="8.88671875" style="683"/>
    <col min="7" max="7" width="9.6640625" style="683" customWidth="1"/>
    <col min="8" max="16384" width="8.88671875" style="683"/>
  </cols>
  <sheetData>
    <row r="1" spans="2:9" ht="15.75">
      <c r="B1" s="682"/>
      <c r="C1" s="682"/>
      <c r="D1" s="682"/>
      <c r="E1" s="682"/>
      <c r="F1" s="682"/>
      <c r="G1" s="682"/>
      <c r="H1" s="682"/>
      <c r="I1" s="682"/>
    </row>
    <row r="2" spans="2:9" ht="15.75">
      <c r="B2" s="784" t="s">
        <v>893</v>
      </c>
      <c r="C2" s="784"/>
      <c r="D2" s="784"/>
      <c r="E2" s="784"/>
      <c r="F2" s="784"/>
      <c r="G2" s="784"/>
      <c r="H2" s="784"/>
      <c r="I2" s="784"/>
    </row>
    <row r="3" spans="2:9" ht="15.75">
      <c r="B3" s="784" t="s">
        <v>894</v>
      </c>
      <c r="C3" s="784"/>
      <c r="D3" s="784"/>
      <c r="E3" s="784"/>
      <c r="F3" s="784"/>
      <c r="G3" s="784"/>
      <c r="H3" s="784"/>
      <c r="I3" s="784"/>
    </row>
    <row r="4" spans="2:9" ht="15.75">
      <c r="B4" s="684"/>
      <c r="C4" s="684"/>
      <c r="D4" s="684"/>
      <c r="E4" s="684"/>
      <c r="F4" s="684"/>
      <c r="G4" s="684"/>
      <c r="H4" s="684"/>
      <c r="I4" s="684"/>
    </row>
    <row r="5" spans="2:9" ht="15.75">
      <c r="B5" s="785" t="str">
        <f>CONCATENATE("Budgeted Year: ",inputPrYr!C5,"")</f>
        <v>Budgeted Year: 2014</v>
      </c>
      <c r="C5" s="785"/>
      <c r="D5" s="785"/>
      <c r="E5" s="785"/>
      <c r="F5" s="785"/>
      <c r="G5" s="785"/>
      <c r="H5" s="785"/>
      <c r="I5" s="785"/>
    </row>
    <row r="6" spans="2:9" ht="15.75">
      <c r="B6" s="685"/>
      <c r="C6" s="684"/>
      <c r="D6" s="684"/>
      <c r="E6" s="684"/>
      <c r="F6" s="684"/>
      <c r="G6" s="684"/>
      <c r="H6" s="684"/>
      <c r="I6" s="684"/>
    </row>
    <row r="7" spans="2:9" ht="15.75">
      <c r="B7" s="685" t="str">
        <f>CONCATENATE("Library found in: ",inputPrYr!D2,"")</f>
        <v>Library found in: City of Garnett</v>
      </c>
      <c r="C7" s="684"/>
      <c r="D7" s="684"/>
      <c r="E7" s="684"/>
      <c r="F7" s="684"/>
      <c r="G7" s="684"/>
      <c r="H7" s="684"/>
      <c r="I7" s="684"/>
    </row>
    <row r="8" spans="2:9" ht="15.75">
      <c r="B8" s="685" t="str">
        <f>inputPrYr!D3</f>
        <v>Anderson County</v>
      </c>
      <c r="C8" s="684"/>
      <c r="D8" s="684"/>
      <c r="E8" s="684"/>
      <c r="F8" s="684"/>
      <c r="G8" s="684"/>
      <c r="H8" s="684"/>
      <c r="I8" s="684"/>
    </row>
    <row r="9" spans="2:9" ht="15.75">
      <c r="B9" s="684"/>
      <c r="C9" s="684"/>
      <c r="D9" s="684"/>
      <c r="E9" s="684"/>
      <c r="F9" s="684"/>
      <c r="G9" s="684"/>
      <c r="H9" s="684"/>
      <c r="I9" s="684"/>
    </row>
    <row r="10" spans="2:9" ht="39" customHeight="1">
      <c r="B10" s="786" t="s">
        <v>895</v>
      </c>
      <c r="C10" s="786"/>
      <c r="D10" s="786"/>
      <c r="E10" s="786"/>
      <c r="F10" s="786"/>
      <c r="G10" s="786"/>
      <c r="H10" s="786"/>
      <c r="I10" s="786"/>
    </row>
    <row r="11" spans="2:9" ht="15.75">
      <c r="B11" s="684"/>
      <c r="C11" s="684"/>
      <c r="D11" s="684"/>
      <c r="E11" s="684"/>
      <c r="F11" s="684"/>
      <c r="G11" s="684"/>
      <c r="H11" s="684"/>
      <c r="I11" s="684"/>
    </row>
    <row r="12" spans="2:9" ht="15.75">
      <c r="B12" s="686" t="s">
        <v>896</v>
      </c>
      <c r="C12" s="684"/>
      <c r="D12" s="684"/>
      <c r="E12" s="684"/>
      <c r="F12" s="684"/>
      <c r="G12" s="684"/>
      <c r="H12" s="684"/>
      <c r="I12" s="684"/>
    </row>
    <row r="13" spans="2:9" ht="15.75">
      <c r="B13" s="684"/>
      <c r="C13" s="684"/>
      <c r="D13" s="684"/>
      <c r="E13" s="687" t="s">
        <v>897</v>
      </c>
      <c r="F13" s="684"/>
      <c r="G13" s="687" t="s">
        <v>898</v>
      </c>
      <c r="H13" s="684"/>
      <c r="I13" s="684"/>
    </row>
    <row r="14" spans="2:9" ht="15.75">
      <c r="B14" s="684"/>
      <c r="C14" s="684"/>
      <c r="D14" s="684"/>
      <c r="E14" s="688">
        <f>inputPrYr!C5-1</f>
        <v>2013</v>
      </c>
      <c r="F14" s="684"/>
      <c r="G14" s="688">
        <f>inputPrYr!C5</f>
        <v>2014</v>
      </c>
      <c r="H14" s="684"/>
      <c r="I14" s="684"/>
    </row>
    <row r="15" spans="2:9" ht="15.75">
      <c r="B15" s="685" t="s">
        <v>1001</v>
      </c>
      <c r="C15" s="684"/>
      <c r="D15" s="684"/>
      <c r="E15" s="689">
        <f>'DebtSvs-library page 9'!D48</f>
        <v>102263</v>
      </c>
      <c r="F15" s="684"/>
      <c r="G15" s="689">
        <f>'DebtSvs-library page 9'!E81</f>
        <v>107910</v>
      </c>
      <c r="H15" s="684"/>
      <c r="I15" s="684"/>
    </row>
    <row r="16" spans="2:9" ht="15.75">
      <c r="B16" s="685" t="s">
        <v>108</v>
      </c>
      <c r="C16" s="684"/>
      <c r="D16" s="684"/>
      <c r="E16" s="689">
        <f>'DebtSvs-library page 9'!D49</f>
        <v>0</v>
      </c>
      <c r="F16" s="684"/>
      <c r="G16" s="689">
        <f>'DebtSvs-library page 9'!E49</f>
        <v>0</v>
      </c>
      <c r="H16" s="684"/>
      <c r="I16" s="684"/>
    </row>
    <row r="17" spans="2:9" ht="15.75">
      <c r="B17" s="685" t="s">
        <v>109</v>
      </c>
      <c r="C17" s="684"/>
      <c r="D17" s="684"/>
      <c r="E17" s="689">
        <f>'DebtSvs-library page 9'!D50</f>
        <v>13764</v>
      </c>
      <c r="F17" s="684"/>
      <c r="G17" s="689">
        <f>'DebtSvs-library page 9'!E50</f>
        <v>14238</v>
      </c>
      <c r="H17" s="684"/>
      <c r="I17" s="684"/>
    </row>
    <row r="18" spans="2:9" ht="15.75">
      <c r="B18" s="685" t="s">
        <v>1002</v>
      </c>
      <c r="C18" s="684"/>
      <c r="D18" s="684"/>
      <c r="E18" s="689">
        <f>'DebtSvs-library page 9'!D51</f>
        <v>223</v>
      </c>
      <c r="F18" s="684"/>
      <c r="G18" s="689">
        <f>'DebtSvs-library page 9'!E51</f>
        <v>216</v>
      </c>
      <c r="H18" s="684"/>
      <c r="I18" s="684"/>
    </row>
    <row r="19" spans="2:9" ht="15.75">
      <c r="B19" s="685" t="s">
        <v>1003</v>
      </c>
      <c r="C19" s="684"/>
      <c r="D19" s="684"/>
      <c r="E19" s="689">
        <f>'DebtSvs-library page 9'!D52</f>
        <v>272</v>
      </c>
      <c r="F19" s="684"/>
      <c r="G19" s="689">
        <f>'DebtSvs-library page 9'!E52</f>
        <v>233</v>
      </c>
      <c r="H19" s="684"/>
      <c r="I19" s="684"/>
    </row>
    <row r="20" spans="2:9" ht="15.75">
      <c r="B20" s="684" t="s">
        <v>266</v>
      </c>
      <c r="C20" s="684"/>
      <c r="D20" s="684"/>
      <c r="E20" s="689">
        <v>0</v>
      </c>
      <c r="F20" s="684"/>
      <c r="G20" s="689">
        <v>0</v>
      </c>
      <c r="H20" s="684"/>
      <c r="I20" s="684"/>
    </row>
    <row r="21" spans="2:9" ht="15.75">
      <c r="B21" s="684"/>
      <c r="C21" s="684"/>
      <c r="D21" s="684"/>
      <c r="E21" s="689">
        <v>0</v>
      </c>
      <c r="F21" s="684"/>
      <c r="G21" s="689">
        <v>0</v>
      </c>
      <c r="H21" s="684"/>
      <c r="I21" s="684"/>
    </row>
    <row r="22" spans="2:9" ht="15.75">
      <c r="B22" s="684" t="s">
        <v>899</v>
      </c>
      <c r="C22" s="684"/>
      <c r="D22" s="684"/>
      <c r="E22" s="690">
        <f>SUM(E15:E21)</f>
        <v>116522</v>
      </c>
      <c r="F22" s="684"/>
      <c r="G22" s="690">
        <f>SUM(G15:G21)</f>
        <v>122597</v>
      </c>
      <c r="H22" s="684"/>
      <c r="I22" s="684"/>
    </row>
    <row r="23" spans="2:9" ht="15.75">
      <c r="B23" s="684" t="s">
        <v>900</v>
      </c>
      <c r="C23" s="684"/>
      <c r="D23" s="684"/>
      <c r="E23" s="714">
        <f>G22-E22</f>
        <v>6075</v>
      </c>
      <c r="F23" s="684"/>
      <c r="G23" s="691"/>
      <c r="H23" s="684"/>
      <c r="I23" s="684"/>
    </row>
    <row r="24" spans="2:9" ht="15.75">
      <c r="B24" s="684" t="s">
        <v>901</v>
      </c>
      <c r="C24" s="684"/>
      <c r="D24" s="692" t="str">
        <f>IF((G22-E22)&gt;0,"Qualify","Not Qualify")</f>
        <v>Qualify</v>
      </c>
      <c r="E24" s="684"/>
      <c r="F24" s="684"/>
      <c r="G24" s="684"/>
      <c r="H24" s="684"/>
      <c r="I24" s="684"/>
    </row>
    <row r="25" spans="2:9" ht="15.75">
      <c r="B25" s="684"/>
      <c r="C25" s="684"/>
      <c r="D25" s="684"/>
      <c r="E25" s="684"/>
      <c r="F25" s="684"/>
      <c r="G25" s="684"/>
      <c r="H25" s="684"/>
      <c r="I25" s="684"/>
    </row>
    <row r="26" spans="2:9" ht="15.75">
      <c r="B26" s="686" t="s">
        <v>902</v>
      </c>
      <c r="C26" s="684"/>
      <c r="D26" s="684"/>
      <c r="E26" s="684"/>
      <c r="F26" s="684"/>
      <c r="G26" s="684"/>
      <c r="H26" s="684"/>
      <c r="I26" s="684"/>
    </row>
    <row r="27" spans="2:9" ht="15.75">
      <c r="B27" s="684" t="s">
        <v>903</v>
      </c>
      <c r="C27" s="684"/>
      <c r="D27" s="684"/>
      <c r="E27" s="689">
        <f>summ!D57</f>
        <v>18052730</v>
      </c>
      <c r="F27" s="684"/>
      <c r="G27" s="689">
        <f>summ!F57</f>
        <v>17806100</v>
      </c>
      <c r="H27" s="684"/>
      <c r="I27" s="684"/>
    </row>
    <row r="28" spans="2:9" ht="15.75">
      <c r="B28" s="684" t="s">
        <v>904</v>
      </c>
      <c r="C28" s="684"/>
      <c r="D28" s="684"/>
      <c r="E28" s="693" t="str">
        <f>IF(G27-E27&gt;0,"No","Yes")</f>
        <v>Yes</v>
      </c>
      <c r="F28" s="684"/>
      <c r="G28" s="684"/>
      <c r="H28" s="684"/>
      <c r="I28" s="684"/>
    </row>
    <row r="29" spans="2:9" ht="15.75">
      <c r="B29" s="684" t="s">
        <v>905</v>
      </c>
      <c r="C29" s="684"/>
      <c r="D29" s="684"/>
      <c r="E29" s="687">
        <f>summ!E17</f>
        <v>5.665</v>
      </c>
      <c r="F29" s="684"/>
      <c r="G29" s="694">
        <f>summ!H17</f>
        <v>6.06</v>
      </c>
      <c r="H29" s="684"/>
      <c r="I29" s="684"/>
    </row>
    <row r="30" spans="2:9" ht="15.75">
      <c r="B30" s="684" t="s">
        <v>906</v>
      </c>
      <c r="C30" s="684"/>
      <c r="D30" s="684"/>
      <c r="E30" s="695">
        <f>G29-E29</f>
        <v>0.39499999999999957</v>
      </c>
      <c r="F30" s="684"/>
      <c r="G30" s="684"/>
      <c r="H30" s="684"/>
      <c r="I30" s="684"/>
    </row>
    <row r="31" spans="2:9" ht="15.75">
      <c r="B31" s="684" t="s">
        <v>901</v>
      </c>
      <c r="C31" s="684"/>
      <c r="D31" s="696" t="str">
        <f>IF(E30&gt;=0,"Qualify","Not Qualify")</f>
        <v>Qualify</v>
      </c>
      <c r="E31" s="684"/>
      <c r="F31" s="684"/>
      <c r="G31" s="684"/>
      <c r="H31" s="684"/>
      <c r="I31" s="684"/>
    </row>
    <row r="32" spans="2:9" ht="15.75">
      <c r="B32" s="684"/>
      <c r="C32" s="684"/>
      <c r="D32" s="684"/>
      <c r="E32" s="684"/>
      <c r="F32" s="684"/>
      <c r="G32" s="684"/>
      <c r="H32" s="684"/>
      <c r="I32" s="684"/>
    </row>
    <row r="33" spans="2:9" ht="15.75">
      <c r="B33" s="684" t="s">
        <v>907</v>
      </c>
      <c r="C33" s="684"/>
      <c r="D33" s="684"/>
      <c r="E33" s="684"/>
      <c r="F33" s="697" t="str">
        <f>IF(D24="Not Qualify",IF(D31="Not Qualify",IF(D31="Not Qualify","Not Qualify","Qualify"),"Qualify"),"Qualify")</f>
        <v>Qualify</v>
      </c>
      <c r="G33" s="684"/>
      <c r="H33" s="684"/>
      <c r="I33" s="684"/>
    </row>
    <row r="34" spans="2:9" ht="15.75">
      <c r="B34" s="684"/>
      <c r="C34" s="684"/>
      <c r="D34" s="684"/>
      <c r="E34" s="684"/>
      <c r="F34" s="684"/>
      <c r="G34" s="684"/>
      <c r="H34" s="684"/>
      <c r="I34" s="684"/>
    </row>
    <row r="35" spans="2:9" ht="15.75">
      <c r="B35" s="684"/>
      <c r="C35" s="684"/>
      <c r="D35" s="684"/>
      <c r="E35" s="684"/>
      <c r="F35" s="684"/>
      <c r="G35" s="684"/>
      <c r="H35" s="684"/>
      <c r="I35" s="684"/>
    </row>
    <row r="36" spans="2:9" ht="37.5" customHeight="1">
      <c r="B36" s="786" t="s">
        <v>908</v>
      </c>
      <c r="C36" s="786"/>
      <c r="D36" s="786"/>
      <c r="E36" s="786"/>
      <c r="F36" s="786"/>
      <c r="G36" s="786"/>
      <c r="H36" s="786"/>
      <c r="I36" s="786"/>
    </row>
    <row r="37" spans="2:9" ht="15.75">
      <c r="B37" s="684"/>
      <c r="C37" s="684"/>
      <c r="D37" s="684"/>
      <c r="E37" s="684"/>
      <c r="F37" s="684"/>
      <c r="G37" s="684"/>
      <c r="H37" s="684"/>
      <c r="I37" s="684"/>
    </row>
    <row r="38" spans="2:9" ht="15.75">
      <c r="B38" s="684"/>
      <c r="C38" s="684"/>
      <c r="D38" s="684"/>
      <c r="E38" s="684"/>
      <c r="F38" s="684"/>
      <c r="G38" s="684"/>
      <c r="H38" s="684"/>
      <c r="I38" s="684"/>
    </row>
    <row r="39" spans="2:9" ht="15.75">
      <c r="B39" s="684"/>
      <c r="C39" s="684"/>
      <c r="D39" s="684"/>
      <c r="E39" s="684"/>
      <c r="F39" s="684"/>
      <c r="G39" s="684"/>
      <c r="H39" s="684"/>
      <c r="I39" s="684"/>
    </row>
    <row r="40" spans="2:9" ht="15.75">
      <c r="B40" s="684"/>
      <c r="C40" s="684"/>
      <c r="D40" s="684"/>
      <c r="E40" s="698" t="s">
        <v>117</v>
      </c>
      <c r="F40" s="699">
        <v>7</v>
      </c>
      <c r="G40" s="684"/>
      <c r="H40" s="684"/>
      <c r="I40" s="684"/>
    </row>
    <row r="41" spans="2:9" ht="15.75">
      <c r="B41" s="684"/>
      <c r="C41" s="684"/>
      <c r="D41" s="684"/>
      <c r="E41" s="684"/>
      <c r="F41" s="684"/>
      <c r="G41" s="684"/>
      <c r="H41" s="684"/>
      <c r="I41" s="684"/>
    </row>
    <row r="42" spans="2:9" ht="15.75">
      <c r="B42" s="684"/>
      <c r="C42" s="684"/>
      <c r="D42" s="684"/>
      <c r="E42" s="684"/>
      <c r="F42" s="684"/>
      <c r="G42" s="684"/>
      <c r="H42" s="684"/>
      <c r="I42" s="684"/>
    </row>
    <row r="43" spans="2:9" ht="15.75">
      <c r="B43" s="782" t="s">
        <v>909</v>
      </c>
      <c r="C43" s="783"/>
      <c r="D43" s="783"/>
      <c r="E43" s="783"/>
      <c r="F43" s="783"/>
      <c r="G43" s="783"/>
      <c r="H43" s="783"/>
      <c r="I43" s="783"/>
    </row>
    <row r="44" spans="2:9" ht="15.75">
      <c r="B44" s="684"/>
      <c r="C44" s="684"/>
      <c r="D44" s="684"/>
      <c r="E44" s="684"/>
      <c r="F44" s="684"/>
      <c r="G44" s="684"/>
      <c r="H44" s="684"/>
      <c r="I44" s="684"/>
    </row>
    <row r="45" spans="2:9" ht="15.75">
      <c r="B45" s="700" t="s">
        <v>910</v>
      </c>
      <c r="C45" s="684"/>
      <c r="D45" s="684"/>
      <c r="E45" s="684"/>
      <c r="F45" s="684"/>
      <c r="G45" s="684"/>
      <c r="H45" s="684"/>
      <c r="I45" s="684"/>
    </row>
    <row r="46" spans="2:9" ht="15.75">
      <c r="B46" s="700" t="str">
        <f>CONCATENATE("sources in your ",G14," library fund is not equal to or greater than the amount from the same")</f>
        <v>sources in your 2014 library fund is not equal to or greater than the amount from the same</v>
      </c>
      <c r="C46" s="684"/>
      <c r="D46" s="684"/>
      <c r="E46" s="684"/>
      <c r="F46" s="684"/>
      <c r="G46" s="684"/>
      <c r="H46" s="684"/>
      <c r="I46" s="684"/>
    </row>
    <row r="47" spans="2:9" ht="15.75">
      <c r="B47" s="700" t="str">
        <f>CONCATENATE("sources in ",E14,".")</f>
        <v>sources in 2013.</v>
      </c>
      <c r="C47" s="682"/>
      <c r="D47" s="682"/>
      <c r="E47" s="682"/>
      <c r="F47" s="682"/>
      <c r="G47" s="682"/>
      <c r="H47" s="682"/>
      <c r="I47" s="682"/>
    </row>
    <row r="48" spans="2:9" ht="15.75">
      <c r="B48" s="682"/>
      <c r="C48" s="682"/>
      <c r="D48" s="682"/>
      <c r="E48" s="682"/>
      <c r="F48" s="682"/>
      <c r="G48" s="682"/>
      <c r="H48" s="682"/>
      <c r="I48" s="682"/>
    </row>
    <row r="49" spans="2:9" ht="15.75">
      <c r="B49" s="700" t="s">
        <v>911</v>
      </c>
      <c r="C49" s="700"/>
      <c r="D49" s="701"/>
      <c r="E49" s="701"/>
      <c r="F49" s="701"/>
      <c r="G49" s="701"/>
      <c r="H49" s="701"/>
      <c r="I49" s="701"/>
    </row>
    <row r="50" spans="2:9" ht="15.75">
      <c r="B50" s="700" t="s">
        <v>912</v>
      </c>
      <c r="C50" s="700"/>
      <c r="D50" s="701"/>
      <c r="E50" s="701"/>
      <c r="F50" s="701"/>
      <c r="G50" s="701"/>
      <c r="H50" s="701"/>
      <c r="I50" s="701"/>
    </row>
    <row r="51" spans="2:9" ht="15.75">
      <c r="B51" s="700" t="s">
        <v>913</v>
      </c>
      <c r="C51" s="700"/>
      <c r="D51" s="701"/>
      <c r="E51" s="701"/>
      <c r="F51" s="701"/>
      <c r="G51" s="701"/>
      <c r="H51" s="701"/>
      <c r="I51" s="701"/>
    </row>
    <row r="52" spans="2:9">
      <c r="B52" s="701"/>
      <c r="C52" s="701"/>
      <c r="D52" s="701"/>
      <c r="E52" s="701"/>
      <c r="F52" s="701"/>
      <c r="G52" s="701"/>
      <c r="H52" s="701"/>
      <c r="I52" s="701"/>
    </row>
    <row r="53" spans="2:9" ht="15.75">
      <c r="B53" s="702" t="s">
        <v>914</v>
      </c>
      <c r="C53" s="701"/>
      <c r="D53" s="701"/>
      <c r="E53" s="701"/>
      <c r="F53" s="701"/>
      <c r="G53" s="701"/>
      <c r="H53" s="701"/>
      <c r="I53" s="701"/>
    </row>
    <row r="54" spans="2:9">
      <c r="B54" s="701"/>
      <c r="C54" s="701"/>
      <c r="D54" s="701"/>
      <c r="E54" s="701"/>
      <c r="F54" s="701"/>
      <c r="G54" s="701"/>
      <c r="H54" s="701"/>
      <c r="I54" s="701"/>
    </row>
    <row r="55" spans="2:9" ht="15.75">
      <c r="B55" s="700" t="s">
        <v>915</v>
      </c>
      <c r="C55" s="701"/>
      <c r="D55" s="701"/>
      <c r="E55" s="701"/>
      <c r="F55" s="701"/>
      <c r="G55" s="701"/>
      <c r="H55" s="701"/>
      <c r="I55" s="701"/>
    </row>
    <row r="56" spans="2:9" ht="15.75">
      <c r="B56" s="700" t="s">
        <v>916</v>
      </c>
      <c r="C56" s="701"/>
      <c r="D56" s="701"/>
      <c r="E56" s="701"/>
      <c r="F56" s="701"/>
      <c r="G56" s="701"/>
      <c r="H56" s="701"/>
      <c r="I56" s="701"/>
    </row>
    <row r="57" spans="2:9">
      <c r="B57" s="701"/>
      <c r="C57" s="701"/>
      <c r="D57" s="701"/>
      <c r="E57" s="701"/>
      <c r="F57" s="701"/>
      <c r="G57" s="701"/>
      <c r="H57" s="701"/>
      <c r="I57" s="701"/>
    </row>
    <row r="58" spans="2:9" ht="15.75">
      <c r="B58" s="702" t="s">
        <v>917</v>
      </c>
      <c r="C58" s="700"/>
      <c r="D58" s="700"/>
      <c r="E58" s="700"/>
      <c r="F58" s="700"/>
      <c r="G58" s="701"/>
      <c r="H58" s="701"/>
      <c r="I58" s="701"/>
    </row>
    <row r="59" spans="2:9" ht="15.75">
      <c r="B59" s="700"/>
      <c r="C59" s="700"/>
      <c r="D59" s="700"/>
      <c r="E59" s="700"/>
      <c r="F59" s="700"/>
      <c r="G59" s="701"/>
      <c r="H59" s="701"/>
      <c r="I59" s="701"/>
    </row>
    <row r="60" spans="2:9" ht="15.75">
      <c r="B60" s="700" t="s">
        <v>918</v>
      </c>
      <c r="C60" s="700"/>
      <c r="D60" s="700"/>
      <c r="E60" s="700"/>
      <c r="F60" s="700"/>
      <c r="G60" s="701"/>
      <c r="H60" s="701"/>
      <c r="I60" s="701"/>
    </row>
    <row r="61" spans="2:9" ht="15.75">
      <c r="B61" s="700" t="s">
        <v>919</v>
      </c>
      <c r="C61" s="700"/>
      <c r="D61" s="700"/>
      <c r="E61" s="700"/>
      <c r="F61" s="700"/>
      <c r="G61" s="701"/>
      <c r="H61" s="701"/>
      <c r="I61" s="701"/>
    </row>
    <row r="62" spans="2:9" ht="15.75">
      <c r="B62" s="700" t="s">
        <v>920</v>
      </c>
      <c r="C62" s="700"/>
      <c r="D62" s="700"/>
      <c r="E62" s="700"/>
      <c r="F62" s="700"/>
      <c r="G62" s="701"/>
      <c r="H62" s="701"/>
      <c r="I62" s="701"/>
    </row>
    <row r="63" spans="2:9" ht="15.75">
      <c r="B63" s="700" t="s">
        <v>921</v>
      </c>
      <c r="C63" s="700"/>
      <c r="D63" s="700"/>
      <c r="E63" s="700"/>
      <c r="F63" s="700"/>
      <c r="G63" s="701"/>
      <c r="H63" s="701"/>
      <c r="I63" s="701"/>
    </row>
    <row r="64" spans="2:9">
      <c r="B64" s="703"/>
      <c r="C64" s="703"/>
      <c r="D64" s="703"/>
      <c r="E64" s="703"/>
      <c r="F64" s="703"/>
      <c r="G64" s="701"/>
      <c r="H64" s="701"/>
      <c r="I64" s="701"/>
    </row>
    <row r="65" spans="2:9" ht="15.75">
      <c r="B65" s="700" t="s">
        <v>922</v>
      </c>
      <c r="C65" s="703"/>
      <c r="D65" s="703"/>
      <c r="E65" s="703"/>
      <c r="F65" s="703"/>
      <c r="G65" s="701"/>
      <c r="H65" s="701"/>
      <c r="I65" s="701"/>
    </row>
    <row r="66" spans="2:9" ht="15.75">
      <c r="B66" s="700" t="s">
        <v>923</v>
      </c>
      <c r="C66" s="703"/>
      <c r="D66" s="703"/>
      <c r="E66" s="703"/>
      <c r="F66" s="703"/>
      <c r="G66" s="701"/>
      <c r="H66" s="701"/>
      <c r="I66" s="701"/>
    </row>
    <row r="67" spans="2:9">
      <c r="B67" s="703"/>
      <c r="C67" s="703"/>
      <c r="D67" s="703"/>
      <c r="E67" s="703"/>
      <c r="F67" s="703"/>
      <c r="G67" s="701"/>
      <c r="H67" s="701"/>
      <c r="I67" s="701"/>
    </row>
    <row r="68" spans="2:9" ht="15.75">
      <c r="B68" s="700" t="s">
        <v>924</v>
      </c>
      <c r="C68" s="703"/>
      <c r="D68" s="703"/>
      <c r="E68" s="703"/>
      <c r="F68" s="703"/>
      <c r="G68" s="701"/>
      <c r="H68" s="701"/>
      <c r="I68" s="701"/>
    </row>
    <row r="69" spans="2:9" ht="15.75">
      <c r="B69" s="700" t="s">
        <v>925</v>
      </c>
      <c r="C69" s="703"/>
      <c r="D69" s="703"/>
      <c r="E69" s="703"/>
      <c r="F69" s="703"/>
      <c r="G69" s="701"/>
      <c r="H69" s="701"/>
      <c r="I69" s="701"/>
    </row>
    <row r="70" spans="2:9">
      <c r="B70" s="703"/>
      <c r="C70" s="703"/>
      <c r="D70" s="703"/>
      <c r="E70" s="703"/>
      <c r="F70" s="703"/>
      <c r="G70" s="701"/>
      <c r="H70" s="701"/>
      <c r="I70" s="701"/>
    </row>
    <row r="71" spans="2:9" ht="15.75">
      <c r="B71" s="702" t="s">
        <v>926</v>
      </c>
      <c r="C71" s="703"/>
      <c r="D71" s="703"/>
      <c r="E71" s="703"/>
      <c r="F71" s="703"/>
      <c r="G71" s="701"/>
      <c r="H71" s="701"/>
      <c r="I71" s="701"/>
    </row>
    <row r="72" spans="2:9">
      <c r="B72" s="703"/>
      <c r="C72" s="703"/>
      <c r="D72" s="703"/>
      <c r="E72" s="703"/>
      <c r="F72" s="703"/>
      <c r="G72" s="701"/>
      <c r="H72" s="701"/>
      <c r="I72" s="701"/>
    </row>
    <row r="73" spans="2:9" ht="15.75">
      <c r="B73" s="700" t="s">
        <v>927</v>
      </c>
      <c r="C73" s="703"/>
      <c r="D73" s="703"/>
      <c r="E73" s="703"/>
      <c r="F73" s="703"/>
      <c r="G73" s="701"/>
      <c r="H73" s="701"/>
      <c r="I73" s="701"/>
    </row>
    <row r="74" spans="2:9" ht="15.75">
      <c r="B74" s="700" t="s">
        <v>928</v>
      </c>
      <c r="C74" s="703"/>
      <c r="D74" s="703"/>
      <c r="E74" s="703"/>
      <c r="F74" s="703"/>
      <c r="G74" s="701"/>
      <c r="H74" s="701"/>
      <c r="I74" s="701"/>
    </row>
    <row r="75" spans="2:9">
      <c r="B75" s="703"/>
      <c r="C75" s="703"/>
      <c r="D75" s="703"/>
      <c r="E75" s="703"/>
      <c r="F75" s="703"/>
      <c r="G75" s="701"/>
      <c r="H75" s="701"/>
      <c r="I75" s="701"/>
    </row>
    <row r="76" spans="2:9" ht="15.75">
      <c r="B76" s="702" t="s">
        <v>929</v>
      </c>
      <c r="C76" s="703"/>
      <c r="D76" s="703"/>
      <c r="E76" s="703"/>
      <c r="F76" s="703"/>
      <c r="G76" s="701"/>
      <c r="H76" s="701"/>
      <c r="I76" s="701"/>
    </row>
    <row r="77" spans="2:9">
      <c r="B77" s="703"/>
      <c r="C77" s="703"/>
      <c r="D77" s="703"/>
      <c r="E77" s="703"/>
      <c r="F77" s="703"/>
      <c r="G77" s="701"/>
      <c r="H77" s="701"/>
      <c r="I77" s="701"/>
    </row>
    <row r="78" spans="2:9" ht="15.75">
      <c r="B78" s="700" t="str">
        <f>CONCATENATE("If the ",G14," municipal budget has not been published and has not been submitted to the County")</f>
        <v>If the 2014 municipal budget has not been published and has not been submitted to the County</v>
      </c>
      <c r="C78" s="703"/>
      <c r="D78" s="703"/>
      <c r="E78" s="703"/>
      <c r="F78" s="703"/>
      <c r="G78" s="701"/>
      <c r="H78" s="701"/>
      <c r="I78" s="701"/>
    </row>
    <row r="79" spans="2:9" ht="15.75">
      <c r="B79" s="700" t="s">
        <v>930</v>
      </c>
      <c r="C79" s="703"/>
      <c r="D79" s="703"/>
      <c r="E79" s="703"/>
      <c r="F79" s="703"/>
      <c r="G79" s="701"/>
      <c r="H79" s="701"/>
      <c r="I79" s="701"/>
    </row>
    <row r="80" spans="2:9">
      <c r="B80" s="703"/>
      <c r="C80" s="703"/>
      <c r="D80" s="703"/>
      <c r="E80" s="703"/>
      <c r="F80" s="703"/>
      <c r="G80" s="701"/>
      <c r="H80" s="701"/>
      <c r="I80" s="701"/>
    </row>
    <row r="81" spans="2:9" ht="15.75">
      <c r="B81" s="702" t="s">
        <v>444</v>
      </c>
      <c r="C81" s="703"/>
      <c r="D81" s="703"/>
      <c r="E81" s="703"/>
      <c r="F81" s="703"/>
      <c r="G81" s="701"/>
      <c r="H81" s="701"/>
      <c r="I81" s="701"/>
    </row>
    <row r="82" spans="2:9">
      <c r="B82" s="703"/>
      <c r="C82" s="703"/>
      <c r="D82" s="703"/>
      <c r="E82" s="703"/>
      <c r="F82" s="703"/>
      <c r="G82" s="701"/>
      <c r="H82" s="701"/>
      <c r="I82" s="701"/>
    </row>
    <row r="83" spans="2:9" ht="15.75">
      <c r="B83" s="700" t="s">
        <v>931</v>
      </c>
      <c r="C83" s="703"/>
      <c r="D83" s="703"/>
      <c r="E83" s="703"/>
      <c r="F83" s="703"/>
      <c r="G83" s="701"/>
      <c r="H83" s="701"/>
      <c r="I83" s="701"/>
    </row>
    <row r="84" spans="2:9" ht="15.75">
      <c r="B84" s="700" t="str">
        <f>CONCATENATE("Budget Year ",G14," is equal to or greater than that for Current Year Estimate ",E14,".")</f>
        <v>Budget Year 2014 is equal to or greater than that for Current Year Estimate 2013.</v>
      </c>
      <c r="C84" s="703"/>
      <c r="D84" s="703"/>
      <c r="E84" s="703"/>
      <c r="F84" s="703"/>
      <c r="G84" s="701"/>
      <c r="H84" s="701"/>
      <c r="I84" s="701"/>
    </row>
    <row r="85" spans="2:9">
      <c r="B85" s="703"/>
      <c r="C85" s="703"/>
      <c r="D85" s="703"/>
      <c r="E85" s="703"/>
      <c r="F85" s="703"/>
      <c r="G85" s="701"/>
      <c r="H85" s="701"/>
      <c r="I85" s="701"/>
    </row>
    <row r="86" spans="2:9" ht="15.75">
      <c r="B86" s="700" t="s">
        <v>932</v>
      </c>
      <c r="C86" s="703"/>
      <c r="D86" s="703"/>
      <c r="E86" s="703"/>
      <c r="F86" s="703"/>
      <c r="G86" s="701"/>
      <c r="H86" s="701"/>
      <c r="I86" s="701"/>
    </row>
    <row r="87" spans="2:9" ht="15.75">
      <c r="B87" s="700" t="s">
        <v>933</v>
      </c>
      <c r="C87" s="703"/>
      <c r="D87" s="703"/>
      <c r="E87" s="703"/>
      <c r="F87" s="703"/>
      <c r="G87" s="701"/>
      <c r="H87" s="701"/>
      <c r="I87" s="701"/>
    </row>
    <row r="88" spans="2:9" ht="15.75">
      <c r="B88" s="700" t="s">
        <v>934</v>
      </c>
      <c r="C88" s="703"/>
      <c r="D88" s="703"/>
      <c r="E88" s="703"/>
      <c r="F88" s="703"/>
      <c r="G88" s="701"/>
      <c r="H88" s="701"/>
      <c r="I88" s="701"/>
    </row>
    <row r="89" spans="2:9" ht="15.75">
      <c r="B89" s="700" t="str">
        <f>CONCATENATE("purpose for the previous (",E14,") year.")</f>
        <v>purpose for the previous (2013) year.</v>
      </c>
      <c r="C89" s="703"/>
      <c r="D89" s="703"/>
      <c r="E89" s="703"/>
      <c r="F89" s="703"/>
      <c r="G89" s="701"/>
      <c r="H89" s="701"/>
      <c r="I89" s="701"/>
    </row>
    <row r="90" spans="2:9">
      <c r="B90" s="703"/>
      <c r="C90" s="703"/>
      <c r="D90" s="703"/>
      <c r="E90" s="703"/>
      <c r="F90" s="703"/>
      <c r="G90" s="701"/>
      <c r="H90" s="701"/>
      <c r="I90" s="701"/>
    </row>
    <row r="91" spans="2:9" ht="15.75">
      <c r="B91" s="700" t="str">
        <f>CONCATENATE("Next, look to see if delinquent tax for ",G14," is budgeted. Often this line is budgeted at $0 or left")</f>
        <v>Next, look to see if delinquent tax for 2014 is budgeted. Often this line is budgeted at $0 or left</v>
      </c>
      <c r="C91" s="703"/>
      <c r="D91" s="703"/>
      <c r="E91" s="703"/>
      <c r="F91" s="703"/>
      <c r="G91" s="701"/>
      <c r="H91" s="701"/>
      <c r="I91" s="701"/>
    </row>
    <row r="92" spans="2:9" ht="15.75">
      <c r="B92" s="700" t="s">
        <v>935</v>
      </c>
      <c r="C92" s="703"/>
      <c r="D92" s="703"/>
      <c r="E92" s="703"/>
      <c r="F92" s="703"/>
      <c r="G92" s="701"/>
      <c r="H92" s="701"/>
      <c r="I92" s="701"/>
    </row>
    <row r="93" spans="2:9" ht="15.75">
      <c r="B93" s="700" t="s">
        <v>936</v>
      </c>
      <c r="C93" s="703"/>
      <c r="D93" s="703"/>
      <c r="E93" s="703"/>
      <c r="F93" s="703"/>
      <c r="G93" s="701"/>
      <c r="H93" s="701"/>
      <c r="I93" s="701"/>
    </row>
    <row r="94" spans="2:9" ht="15.75">
      <c r="B94" s="700" t="s">
        <v>937</v>
      </c>
      <c r="C94" s="703"/>
      <c r="D94" s="703"/>
      <c r="E94" s="703"/>
      <c r="F94" s="703"/>
      <c r="G94" s="701"/>
      <c r="H94" s="701"/>
      <c r="I94" s="701"/>
    </row>
    <row r="95" spans="2:9">
      <c r="B95" s="703"/>
      <c r="C95" s="703"/>
      <c r="D95" s="703"/>
      <c r="E95" s="703"/>
      <c r="F95" s="703"/>
      <c r="G95" s="701"/>
      <c r="H95" s="701"/>
      <c r="I95" s="701"/>
    </row>
    <row r="96" spans="2:9" ht="15.75">
      <c r="B96" s="702" t="s">
        <v>938</v>
      </c>
      <c r="C96" s="703"/>
      <c r="D96" s="703"/>
      <c r="E96" s="703"/>
      <c r="F96" s="703"/>
      <c r="G96" s="701"/>
      <c r="H96" s="701"/>
      <c r="I96" s="701"/>
    </row>
    <row r="97" spans="2:9">
      <c r="B97" s="703"/>
      <c r="C97" s="703"/>
      <c r="D97" s="703"/>
      <c r="E97" s="703"/>
      <c r="F97" s="703"/>
      <c r="G97" s="701"/>
      <c r="H97" s="701"/>
      <c r="I97" s="701"/>
    </row>
    <row r="98" spans="2:9" ht="15.75">
      <c r="B98" s="700" t="s">
        <v>939</v>
      </c>
      <c r="C98" s="703"/>
      <c r="D98" s="703"/>
      <c r="E98" s="703"/>
      <c r="F98" s="703"/>
      <c r="G98" s="701"/>
      <c r="H98" s="701"/>
      <c r="I98" s="701"/>
    </row>
    <row r="99" spans="2:9" ht="15.75">
      <c r="B99" s="700" t="s">
        <v>940</v>
      </c>
      <c r="C99" s="703"/>
      <c r="D99" s="703"/>
      <c r="E99" s="703"/>
      <c r="F99" s="703"/>
      <c r="G99" s="701"/>
      <c r="H99" s="701"/>
      <c r="I99" s="701"/>
    </row>
    <row r="100" spans="2:9">
      <c r="B100" s="703"/>
      <c r="C100" s="703"/>
      <c r="D100" s="703"/>
      <c r="E100" s="703"/>
      <c r="F100" s="703"/>
      <c r="G100" s="701"/>
      <c r="H100" s="701"/>
      <c r="I100" s="701"/>
    </row>
    <row r="101" spans="2:9" ht="15.75">
      <c r="B101" s="700" t="s">
        <v>941</v>
      </c>
      <c r="C101" s="703"/>
      <c r="D101" s="703"/>
      <c r="E101" s="703"/>
      <c r="F101" s="703"/>
      <c r="G101" s="701"/>
      <c r="H101" s="701"/>
      <c r="I101" s="701"/>
    </row>
    <row r="102" spans="2:9" ht="15.75">
      <c r="B102" s="700" t="s">
        <v>942</v>
      </c>
      <c r="C102" s="703"/>
      <c r="D102" s="703"/>
      <c r="E102" s="703"/>
      <c r="F102" s="703"/>
      <c r="G102" s="701"/>
      <c r="H102" s="701"/>
      <c r="I102" s="701"/>
    </row>
    <row r="103" spans="2:9" ht="15.75">
      <c r="B103" s="700" t="s">
        <v>943</v>
      </c>
      <c r="C103" s="703"/>
      <c r="D103" s="703"/>
      <c r="E103" s="703"/>
      <c r="F103" s="703"/>
      <c r="G103" s="701"/>
      <c r="H103" s="701"/>
      <c r="I103" s="701"/>
    </row>
    <row r="104" spans="2:9" ht="15.75">
      <c r="B104" s="700" t="s">
        <v>944</v>
      </c>
      <c r="C104" s="703"/>
      <c r="D104" s="703"/>
      <c r="E104" s="703"/>
      <c r="F104" s="703"/>
      <c r="G104" s="701"/>
      <c r="H104" s="701"/>
      <c r="I104" s="701"/>
    </row>
    <row r="105" spans="2:9" ht="15.75">
      <c r="B105" s="740" t="s">
        <v>996</v>
      </c>
      <c r="C105" s="741"/>
      <c r="D105" s="741"/>
      <c r="E105" s="741"/>
      <c r="F105" s="741"/>
      <c r="G105" s="701"/>
      <c r="H105" s="701"/>
      <c r="I105" s="701"/>
    </row>
    <row r="108" spans="2:9">
      <c r="G108" s="704"/>
    </row>
  </sheetData>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133"/>
  <sheetViews>
    <sheetView zoomScaleNormal="100" zoomScaleSheetLayoutView="100" workbookViewId="0">
      <selection activeCell="E115" sqref="E115"/>
    </sheetView>
  </sheetViews>
  <sheetFormatPr defaultRowHeight="15.75"/>
  <cols>
    <col min="1" max="1" width="2.44140625" style="45" customWidth="1"/>
    <col min="2" max="2" width="31.109375" style="45" customWidth="1"/>
    <col min="3" max="4" width="15.77734375" style="45" customWidth="1"/>
    <col min="5" max="5" width="16.33203125" style="45" customWidth="1"/>
    <col min="6" max="6" width="6.88671875" style="45" customWidth="1"/>
    <col min="7" max="7" width="10.21875" style="45" customWidth="1"/>
    <col min="8" max="8" width="8.88671875" style="45" customWidth="1"/>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c r="C3" s="47"/>
      <c r="D3" s="47"/>
      <c r="E3" s="136"/>
    </row>
    <row r="4" spans="2:5">
      <c r="B4" s="392" t="s">
        <v>173</v>
      </c>
      <c r="C4" s="250"/>
      <c r="D4" s="250"/>
      <c r="E4" s="250"/>
    </row>
    <row r="5" spans="2:5">
      <c r="B5" s="171" t="s">
        <v>106</v>
      </c>
      <c r="C5" s="715" t="s">
        <v>950</v>
      </c>
      <c r="D5" s="716" t="s">
        <v>951</v>
      </c>
      <c r="E5" s="144" t="s">
        <v>952</v>
      </c>
    </row>
    <row r="6" spans="2:5">
      <c r="B6" s="535" t="str">
        <f>inputPrYr!B17</f>
        <v>General</v>
      </c>
      <c r="C6" s="225" t="str">
        <f>CONCATENATE("Actual for ",E1-2,"")</f>
        <v>Actual for 2012</v>
      </c>
      <c r="D6" s="225" t="str">
        <f>CONCATENATE("Estimate for ",E1-1,"")</f>
        <v>Estimate for 2013</v>
      </c>
      <c r="E6" s="208" t="str">
        <f>CONCATENATE("Year for ",E1,"")</f>
        <v>Year for 2014</v>
      </c>
    </row>
    <row r="7" spans="2:5">
      <c r="B7" s="252" t="s">
        <v>228</v>
      </c>
      <c r="C7" s="253">
        <v>712481</v>
      </c>
      <c r="D7" s="255">
        <f>C112</f>
        <v>687456</v>
      </c>
      <c r="E7" s="228">
        <f>D112</f>
        <v>742315</v>
      </c>
    </row>
    <row r="8" spans="2:5">
      <c r="B8" s="256" t="s">
        <v>230</v>
      </c>
      <c r="C8" s="159"/>
      <c r="D8" s="159"/>
      <c r="E8" s="87"/>
    </row>
    <row r="9" spans="2:5">
      <c r="B9" s="252" t="s">
        <v>107</v>
      </c>
      <c r="C9" s="257"/>
      <c r="D9" s="255">
        <f>IF(inputPrYr!H16&gt;0,inputPrYr!G17,inputPrYr!E17)</f>
        <v>0</v>
      </c>
      <c r="E9" s="259" t="s">
        <v>95</v>
      </c>
    </row>
    <row r="10" spans="2:5">
      <c r="B10" s="252" t="s">
        <v>108</v>
      </c>
      <c r="C10" s="257"/>
      <c r="D10" s="257"/>
      <c r="E10" s="260"/>
    </row>
    <row r="11" spans="2:5">
      <c r="B11" s="252" t="s">
        <v>109</v>
      </c>
      <c r="C11" s="257"/>
      <c r="D11" s="257"/>
      <c r="E11" s="228">
        <f>mvalloc!D7</f>
        <v>0</v>
      </c>
    </row>
    <row r="12" spans="2:5">
      <c r="B12" s="252" t="s">
        <v>110</v>
      </c>
      <c r="C12" s="257"/>
      <c r="D12" s="257"/>
      <c r="E12" s="228">
        <f>mvalloc!E7</f>
        <v>0</v>
      </c>
    </row>
    <row r="13" spans="2:5">
      <c r="B13" s="252" t="s">
        <v>205</v>
      </c>
      <c r="C13" s="257"/>
      <c r="D13" s="257"/>
      <c r="E13" s="228">
        <f>mvalloc!F7</f>
        <v>0</v>
      </c>
    </row>
    <row r="14" spans="2:5">
      <c r="B14" s="252" t="s">
        <v>206</v>
      </c>
      <c r="C14" s="257"/>
      <c r="D14" s="257"/>
      <c r="E14" s="228">
        <f>inputOth!E16</f>
        <v>0</v>
      </c>
    </row>
    <row r="15" spans="2:5">
      <c r="B15" s="252" t="s">
        <v>266</v>
      </c>
      <c r="C15" s="257"/>
      <c r="D15" s="257"/>
      <c r="E15" s="228">
        <f>inputOth!E42</f>
        <v>0</v>
      </c>
    </row>
    <row r="16" spans="2:5">
      <c r="B16" s="252" t="s">
        <v>267</v>
      </c>
      <c r="C16" s="257"/>
      <c r="D16" s="257"/>
      <c r="E16" s="228">
        <f>inputOth!E43</f>
        <v>0</v>
      </c>
    </row>
    <row r="17" spans="2:5">
      <c r="B17" s="253"/>
      <c r="C17" s="257"/>
      <c r="D17" s="257"/>
      <c r="E17" s="260"/>
    </row>
    <row r="18" spans="2:5">
      <c r="B18" s="253" t="s">
        <v>113</v>
      </c>
      <c r="C18" s="257"/>
      <c r="D18" s="257"/>
      <c r="E18" s="260"/>
    </row>
    <row r="19" spans="2:5">
      <c r="B19" s="253" t="s">
        <v>111</v>
      </c>
      <c r="C19" s="257">
        <v>4455</v>
      </c>
      <c r="D19" s="257">
        <v>5420</v>
      </c>
      <c r="E19" s="260">
        <v>4097</v>
      </c>
    </row>
    <row r="20" spans="2:5">
      <c r="B20" s="537" t="s">
        <v>768</v>
      </c>
      <c r="C20" s="257"/>
      <c r="D20" s="257"/>
      <c r="E20" s="260"/>
    </row>
    <row r="21" spans="2:5">
      <c r="B21" s="536" t="s">
        <v>769</v>
      </c>
      <c r="C21" s="257">
        <v>225190</v>
      </c>
      <c r="D21" s="257">
        <v>220000</v>
      </c>
      <c r="E21" s="260">
        <v>220000</v>
      </c>
    </row>
    <row r="22" spans="2:5">
      <c r="B22" s="536" t="s">
        <v>770</v>
      </c>
      <c r="C22" s="257">
        <v>57487</v>
      </c>
      <c r="D22" s="257">
        <v>95000</v>
      </c>
      <c r="E22" s="260">
        <v>95000</v>
      </c>
    </row>
    <row r="23" spans="2:5">
      <c r="B23" s="536" t="s">
        <v>771</v>
      </c>
      <c r="C23" s="257"/>
      <c r="D23" s="257"/>
      <c r="E23" s="260"/>
    </row>
    <row r="24" spans="2:5">
      <c r="B24" s="253" t="s">
        <v>1008</v>
      </c>
      <c r="C24" s="257">
        <v>13556</v>
      </c>
      <c r="D24" s="257">
        <v>16000</v>
      </c>
      <c r="E24" s="260">
        <v>0</v>
      </c>
    </row>
    <row r="25" spans="2:5">
      <c r="B25" s="253" t="s">
        <v>1009</v>
      </c>
      <c r="C25" s="257">
        <v>13228</v>
      </c>
      <c r="D25" s="257">
        <v>13500</v>
      </c>
      <c r="E25" s="260">
        <v>13500</v>
      </c>
    </row>
    <row r="26" spans="2:5">
      <c r="B26" s="253" t="s">
        <v>1010</v>
      </c>
      <c r="C26" s="257">
        <v>2725</v>
      </c>
      <c r="D26" s="257">
        <v>2700</v>
      </c>
      <c r="E26" s="260">
        <v>2700</v>
      </c>
    </row>
    <row r="27" spans="2:5">
      <c r="B27" s="253" t="s">
        <v>1011</v>
      </c>
      <c r="C27" s="257">
        <v>1870</v>
      </c>
      <c r="D27" s="257">
        <v>2500</v>
      </c>
      <c r="E27" s="260">
        <v>2500</v>
      </c>
    </row>
    <row r="28" spans="2:5">
      <c r="B28" s="253" t="s">
        <v>1012</v>
      </c>
      <c r="C28" s="257">
        <v>14445</v>
      </c>
      <c r="D28" s="257">
        <v>16000</v>
      </c>
      <c r="E28" s="260">
        <v>15000</v>
      </c>
    </row>
    <row r="29" spans="2:5">
      <c r="B29" s="253" t="s">
        <v>1140</v>
      </c>
      <c r="C29" s="257">
        <v>162500</v>
      </c>
      <c r="D29" s="257">
        <v>162500</v>
      </c>
      <c r="E29" s="260">
        <v>162500</v>
      </c>
    </row>
    <row r="30" spans="2:5">
      <c r="B30" s="253" t="s">
        <v>1023</v>
      </c>
      <c r="C30" s="257">
        <v>0</v>
      </c>
      <c r="D30" s="257">
        <v>188659</v>
      </c>
      <c r="E30" s="260">
        <v>0</v>
      </c>
    </row>
    <row r="31" spans="2:5">
      <c r="B31" s="253"/>
      <c r="C31" s="257"/>
      <c r="D31" s="257"/>
      <c r="E31" s="260"/>
    </row>
    <row r="32" spans="2:5">
      <c r="B32" s="253"/>
      <c r="C32" s="257"/>
      <c r="D32" s="257"/>
      <c r="E32" s="260"/>
    </row>
    <row r="33" spans="2:5">
      <c r="B33" s="253"/>
      <c r="C33" s="257"/>
      <c r="D33" s="257"/>
      <c r="E33" s="260"/>
    </row>
    <row r="34" spans="2:5">
      <c r="B34" s="253"/>
      <c r="C34" s="257"/>
      <c r="D34" s="257"/>
      <c r="E34" s="260"/>
    </row>
    <row r="35" spans="2:5">
      <c r="B35" s="253"/>
      <c r="C35" s="257"/>
      <c r="D35" s="257"/>
      <c r="E35" s="260"/>
    </row>
    <row r="36" spans="2:5">
      <c r="B36" s="253"/>
      <c r="C36" s="257"/>
      <c r="D36" s="257"/>
      <c r="E36" s="260"/>
    </row>
    <row r="37" spans="2:5">
      <c r="B37" s="253"/>
      <c r="C37" s="257"/>
      <c r="D37" s="257"/>
      <c r="E37" s="260"/>
    </row>
    <row r="38" spans="2:5">
      <c r="B38" s="253"/>
      <c r="C38" s="257"/>
      <c r="D38" s="257"/>
      <c r="E38" s="260"/>
    </row>
    <row r="39" spans="2:5">
      <c r="B39" s="253"/>
      <c r="C39" s="257"/>
      <c r="D39" s="257"/>
      <c r="E39" s="260"/>
    </row>
    <row r="40" spans="2:5">
      <c r="B40" s="253"/>
      <c r="C40" s="257"/>
      <c r="D40" s="257"/>
      <c r="E40" s="260"/>
    </row>
    <row r="41" spans="2:5">
      <c r="B41" s="253"/>
      <c r="C41" s="257"/>
      <c r="D41" s="257"/>
      <c r="E41" s="260"/>
    </row>
    <row r="42" spans="2:5">
      <c r="B42" s="253"/>
      <c r="C42" s="257"/>
      <c r="D42" s="257"/>
      <c r="E42" s="260"/>
    </row>
    <row r="43" spans="2:5">
      <c r="B43" s="253"/>
      <c r="C43" s="257"/>
      <c r="D43" s="257"/>
      <c r="E43" s="260"/>
    </row>
    <row r="44" spans="2:5">
      <c r="B44" s="253"/>
      <c r="C44" s="257"/>
      <c r="D44" s="257"/>
      <c r="E44" s="260"/>
    </row>
    <row r="45" spans="2:5">
      <c r="B45" s="253"/>
      <c r="C45" s="257"/>
      <c r="D45" s="257"/>
      <c r="E45" s="260"/>
    </row>
    <row r="46" spans="2:5">
      <c r="B46" s="253"/>
      <c r="C46" s="257"/>
      <c r="D46" s="257"/>
      <c r="E46" s="260"/>
    </row>
    <row r="47" spans="2:5">
      <c r="B47" s="253"/>
      <c r="C47" s="257"/>
      <c r="D47" s="257"/>
      <c r="E47" s="260"/>
    </row>
    <row r="48" spans="2:5">
      <c r="B48" s="253"/>
      <c r="C48" s="257"/>
      <c r="D48" s="257"/>
      <c r="E48" s="260"/>
    </row>
    <row r="49" spans="2:5">
      <c r="B49" s="253"/>
      <c r="C49" s="257"/>
      <c r="D49" s="257"/>
      <c r="E49" s="260"/>
    </row>
    <row r="50" spans="2:5">
      <c r="B50" s="253"/>
      <c r="C50" s="257"/>
      <c r="D50" s="257"/>
      <c r="E50" s="260"/>
    </row>
    <row r="51" spans="2:5">
      <c r="B51" s="253"/>
      <c r="C51" s="257"/>
      <c r="D51" s="257"/>
      <c r="E51" s="260"/>
    </row>
    <row r="52" spans="2:5">
      <c r="B52" s="253" t="s">
        <v>112</v>
      </c>
      <c r="C52" s="257"/>
      <c r="D52" s="257"/>
      <c r="E52" s="260"/>
    </row>
    <row r="53" spans="2:5">
      <c r="B53" s="261" t="s">
        <v>114</v>
      </c>
      <c r="C53" s="257">
        <v>10868</v>
      </c>
      <c r="D53" s="257">
        <v>10000</v>
      </c>
      <c r="E53" s="260">
        <v>10000</v>
      </c>
    </row>
    <row r="54" spans="2:5">
      <c r="B54" s="159" t="s">
        <v>14</v>
      </c>
      <c r="C54" s="257">
        <v>19469</v>
      </c>
      <c r="D54" s="257">
        <v>25000</v>
      </c>
      <c r="E54" s="260">
        <v>25000</v>
      </c>
    </row>
    <row r="55" spans="2:5">
      <c r="B55" s="252" t="s">
        <v>784</v>
      </c>
      <c r="C55" s="262" t="str">
        <f>IF(C56*0.1&lt;C54,"Exceed 10% Rule","")</f>
        <v/>
      </c>
      <c r="D55" s="262" t="str">
        <f>IF(D56*0.1&lt;D54,"Exceed 10% Rule","")</f>
        <v/>
      </c>
      <c r="E55" s="299" t="str">
        <f>IF(E56*0.1+E118&lt;E54,"Exceed 10% Rule","")</f>
        <v/>
      </c>
    </row>
    <row r="56" spans="2:5">
      <c r="B56" s="264" t="s">
        <v>115</v>
      </c>
      <c r="C56" s="266">
        <f>SUM(C9:C54)</f>
        <v>525793</v>
      </c>
      <c r="D56" s="266">
        <f>SUM(D9:D54)</f>
        <v>757279</v>
      </c>
      <c r="E56" s="267">
        <f>SUM(E10:E54)</f>
        <v>550297</v>
      </c>
    </row>
    <row r="57" spans="2:5">
      <c r="B57" s="264" t="s">
        <v>116</v>
      </c>
      <c r="C57" s="266">
        <f>C7+C56</f>
        <v>1238274</v>
      </c>
      <c r="D57" s="266">
        <f>D7+D56</f>
        <v>1444735</v>
      </c>
      <c r="E57" s="267">
        <f>E7+E56</f>
        <v>1292612</v>
      </c>
    </row>
    <row r="58" spans="2:5">
      <c r="B58" s="47"/>
      <c r="C58" s="47"/>
      <c r="D58" s="47"/>
      <c r="E58" s="47"/>
    </row>
    <row r="59" spans="2:5">
      <c r="B59" s="136" t="s">
        <v>125</v>
      </c>
      <c r="C59" s="171">
        <f>IF(inputPrYr!D19&gt;0,8,7)</f>
        <v>8</v>
      </c>
      <c r="D59" s="172"/>
      <c r="E59" s="172"/>
    </row>
    <row r="60" spans="2:5">
      <c r="B60" s="172"/>
      <c r="C60" s="172"/>
      <c r="D60" s="172"/>
      <c r="E60" s="172"/>
    </row>
    <row r="61" spans="2:5">
      <c r="B61" s="197" t="str">
        <f>inputPrYr!D2</f>
        <v>City of Garnett</v>
      </c>
      <c r="C61" s="47"/>
      <c r="D61" s="47"/>
      <c r="E61" s="169"/>
    </row>
    <row r="62" spans="2:5">
      <c r="B62" s="47"/>
      <c r="C62" s="47"/>
      <c r="D62" s="47"/>
      <c r="E62" s="136"/>
    </row>
    <row r="63" spans="2:5">
      <c r="B63" s="268" t="s">
        <v>172</v>
      </c>
      <c r="C63" s="221"/>
      <c r="D63" s="221"/>
      <c r="E63" s="221"/>
    </row>
    <row r="64" spans="2:5">
      <c r="B64" s="47" t="s">
        <v>106</v>
      </c>
      <c r="C64" s="715" t="s">
        <v>950</v>
      </c>
      <c r="D64" s="716" t="s">
        <v>951</v>
      </c>
      <c r="E64" s="144" t="s">
        <v>952</v>
      </c>
    </row>
    <row r="65" spans="2:6">
      <c r="B65" s="77" t="str">
        <f>inputPrYr!B17</f>
        <v>General</v>
      </c>
      <c r="C65" s="225" t="str">
        <f>CONCATENATE("Actual for ",E1-2,"")</f>
        <v>Actual for 2012</v>
      </c>
      <c r="D65" s="225" t="str">
        <f>CONCATENATE("Estimate for ",E1-1,"")</f>
        <v>Estimate for 2013</v>
      </c>
      <c r="E65" s="208" t="str">
        <f>CONCATENATE("Year for ",E1,"")</f>
        <v>Year for 2014</v>
      </c>
    </row>
    <row r="66" spans="2:6">
      <c r="B66" s="269" t="s">
        <v>116</v>
      </c>
      <c r="C66" s="255">
        <f>C57</f>
        <v>1238274</v>
      </c>
      <c r="D66" s="255">
        <f>D57</f>
        <v>1444735</v>
      </c>
      <c r="E66" s="228">
        <f>E57</f>
        <v>1292612</v>
      </c>
    </row>
    <row r="67" spans="2:6">
      <c r="B67" s="256" t="s">
        <v>118</v>
      </c>
      <c r="C67" s="159"/>
      <c r="D67" s="159"/>
      <c r="E67" s="87"/>
    </row>
    <row r="68" spans="2:6">
      <c r="B68" s="252" t="str">
        <f>GenDetail!A7</f>
        <v>General Admin</v>
      </c>
      <c r="C68" s="270">
        <f>GenDetail!B15</f>
        <v>184156</v>
      </c>
      <c r="D68" s="270">
        <f>GenDetail!C15</f>
        <v>317056</v>
      </c>
      <c r="E68" s="82">
        <f>GenDetail!D15</f>
        <v>257107</v>
      </c>
      <c r="F68" s="271"/>
    </row>
    <row r="69" spans="2:6">
      <c r="B69" s="252" t="str">
        <f>GenDetail!A16</f>
        <v>Contractual Services</v>
      </c>
      <c r="C69" s="270">
        <f>GenDetail!B22</f>
        <v>0</v>
      </c>
      <c r="D69" s="270">
        <f>GenDetail!C22</f>
        <v>0</v>
      </c>
      <c r="E69" s="82">
        <f>GenDetail!D22</f>
        <v>0</v>
      </c>
      <c r="F69" s="271"/>
    </row>
    <row r="70" spans="2:6">
      <c r="B70" s="252" t="str">
        <f>GenDetail!A23</f>
        <v>Commodities</v>
      </c>
      <c r="C70" s="270">
        <f>GenDetail!B29</f>
        <v>0</v>
      </c>
      <c r="D70" s="270">
        <f>GenDetail!C29</f>
        <v>0</v>
      </c>
      <c r="E70" s="82">
        <f>GenDetail!D29</f>
        <v>0</v>
      </c>
    </row>
    <row r="71" spans="2:6">
      <c r="B71" s="252" t="str">
        <f>GenDetail!A30</f>
        <v>Capital Outlay</v>
      </c>
      <c r="C71" s="270">
        <f>GenDetail!B35</f>
        <v>0</v>
      </c>
      <c r="D71" s="270">
        <f>GenDetail!C35</f>
        <v>0</v>
      </c>
      <c r="E71" s="82">
        <f>GenDetail!D35</f>
        <v>0</v>
      </c>
    </row>
    <row r="72" spans="2:6">
      <c r="B72" s="252" t="str">
        <f>GenDetail!A36</f>
        <v>Tourism</v>
      </c>
      <c r="C72" s="270">
        <f>GenDetail!B42</f>
        <v>19982</v>
      </c>
      <c r="D72" s="270">
        <f>GenDetail!C42</f>
        <v>0</v>
      </c>
      <c r="E72" s="82">
        <f>GenDetail!D42</f>
        <v>0</v>
      </c>
    </row>
    <row r="73" spans="2:6">
      <c r="B73" s="252" t="str">
        <f>GenDetail!A43</f>
        <v>Fire</v>
      </c>
      <c r="C73" s="270">
        <f>GenDetail!B49</f>
        <v>105451</v>
      </c>
      <c r="D73" s="270">
        <f>GenDetail!C49</f>
        <v>118556</v>
      </c>
      <c r="E73" s="82">
        <f>GenDetail!D49</f>
        <v>126909</v>
      </c>
    </row>
    <row r="74" spans="2:6">
      <c r="B74" s="252" t="str">
        <f>GenDetail!A50</f>
        <v>Cemetery</v>
      </c>
      <c r="C74" s="270">
        <f>GenDetail!B56</f>
        <v>73637</v>
      </c>
      <c r="D74" s="270">
        <f>GenDetail!C56</f>
        <v>84265</v>
      </c>
      <c r="E74" s="82">
        <f>GenDetail!D56</f>
        <v>83281</v>
      </c>
    </row>
    <row r="75" spans="2:6">
      <c r="B75" s="252" t="str">
        <f>GenDetail!A57</f>
        <v>Street Maintenance</v>
      </c>
      <c r="C75" s="270">
        <f>GenDetail!B63</f>
        <v>144836</v>
      </c>
      <c r="D75" s="270">
        <f>GenDetail!C63</f>
        <v>138433</v>
      </c>
      <c r="E75" s="82">
        <f>GenDetail!D63</f>
        <v>148107</v>
      </c>
    </row>
    <row r="76" spans="2:6">
      <c r="B76" s="252" t="str">
        <f>GenDetail!A75</f>
        <v>Animal Control</v>
      </c>
      <c r="C76" s="270">
        <f>GenDetail!B81</f>
        <v>19684</v>
      </c>
      <c r="D76" s="270">
        <f>GenDetail!C81</f>
        <v>23110</v>
      </c>
      <c r="E76" s="82">
        <f>GenDetail!D81</f>
        <v>26002</v>
      </c>
    </row>
    <row r="77" spans="2:6">
      <c r="B77" s="252" t="str">
        <f>GenDetail!A82</f>
        <v>Emergency Management</v>
      </c>
      <c r="C77" s="270">
        <f>GenDetail!B88</f>
        <v>3072</v>
      </c>
      <c r="D77" s="270">
        <f>GenDetail!C88</f>
        <v>6000</v>
      </c>
      <c r="E77" s="82">
        <f>GenDetail!D88</f>
        <v>6000</v>
      </c>
    </row>
    <row r="78" spans="2:6">
      <c r="B78" s="252" t="str">
        <f>GenDetail!A89</f>
        <v>Community Development</v>
      </c>
      <c r="C78" s="270">
        <f>GenDetail!B95</f>
        <v>0</v>
      </c>
      <c r="D78" s="270">
        <f>GenDetail!C95</f>
        <v>15000</v>
      </c>
      <c r="E78" s="82">
        <f>GenDetail!D95</f>
        <v>0</v>
      </c>
    </row>
    <row r="79" spans="2:6">
      <c r="B79" s="252">
        <f>GenDetail!A96</f>
        <v>0</v>
      </c>
      <c r="C79" s="270">
        <f>GenDetail!B101</f>
        <v>0</v>
      </c>
      <c r="D79" s="270">
        <f>GenDetail!C101</f>
        <v>0</v>
      </c>
      <c r="E79" s="82">
        <f>GenDetail!D101</f>
        <v>0</v>
      </c>
    </row>
    <row r="80" spans="2:6">
      <c r="B80" s="252">
        <f>GenDetail!A102</f>
        <v>0</v>
      </c>
      <c r="C80" s="270">
        <f>GenDetail!B108</f>
        <v>0</v>
      </c>
      <c r="D80" s="270">
        <f>GenDetail!C108</f>
        <v>0</v>
      </c>
      <c r="E80" s="82">
        <f>GenDetail!D108</f>
        <v>0</v>
      </c>
    </row>
    <row r="81" spans="2:5">
      <c r="B81" s="252">
        <f>GenDetail!A109</f>
        <v>0</v>
      </c>
      <c r="C81" s="270">
        <f>GenDetail!B115</f>
        <v>0</v>
      </c>
      <c r="D81" s="270">
        <f>GenDetail!C115</f>
        <v>0</v>
      </c>
      <c r="E81" s="82">
        <f>GenDetail!D115</f>
        <v>0</v>
      </c>
    </row>
    <row r="82" spans="2:5">
      <c r="B82" s="252">
        <f>GenDetail!A116</f>
        <v>0</v>
      </c>
      <c r="C82" s="270">
        <f>GenDetail!B122</f>
        <v>0</v>
      </c>
      <c r="D82" s="270">
        <f>GenDetail!C122</f>
        <v>0</v>
      </c>
      <c r="E82" s="82">
        <f>GenDetail!D122</f>
        <v>0</v>
      </c>
    </row>
    <row r="83" spans="2:5">
      <c r="B83" s="252">
        <f>GenDetail!A123</f>
        <v>0</v>
      </c>
      <c r="C83" s="270">
        <f>GenDetail!B129</f>
        <v>0</v>
      </c>
      <c r="D83" s="270">
        <f>GenDetail!C129</f>
        <v>0</v>
      </c>
      <c r="E83" s="82">
        <f>GenDetail!D129</f>
        <v>0</v>
      </c>
    </row>
    <row r="84" spans="2:5">
      <c r="B84" s="272" t="s">
        <v>673</v>
      </c>
      <c r="C84" s="380">
        <f>SUM(C68:C83)</f>
        <v>550818</v>
      </c>
      <c r="D84" s="380">
        <f>SUM(D68:D83)</f>
        <v>702420</v>
      </c>
      <c r="E84" s="287">
        <f>SUM(E68:E83)</f>
        <v>647406</v>
      </c>
    </row>
    <row r="85" spans="2:5">
      <c r="B85" s="261"/>
      <c r="C85" s="257"/>
      <c r="D85" s="257"/>
      <c r="E85" s="260"/>
    </row>
    <row r="86" spans="2:5">
      <c r="B86" s="261"/>
      <c r="C86" s="257"/>
      <c r="D86" s="257"/>
      <c r="E86" s="260"/>
    </row>
    <row r="87" spans="2:5">
      <c r="B87" s="261"/>
      <c r="C87" s="257"/>
      <c r="D87" s="257"/>
      <c r="E87" s="260"/>
    </row>
    <row r="88" spans="2:5">
      <c r="B88" s="261"/>
      <c r="C88" s="257"/>
      <c r="D88" s="257"/>
      <c r="E88" s="260"/>
    </row>
    <row r="89" spans="2:5">
      <c r="B89" s="261"/>
      <c r="C89" s="257"/>
      <c r="D89" s="257"/>
      <c r="E89" s="260"/>
    </row>
    <row r="90" spans="2:5">
      <c r="B90" s="261"/>
      <c r="C90" s="257"/>
      <c r="D90" s="257"/>
      <c r="E90" s="260"/>
    </row>
    <row r="91" spans="2:5">
      <c r="B91" s="273"/>
      <c r="C91" s="257"/>
      <c r="D91" s="257"/>
      <c r="E91" s="260"/>
    </row>
    <row r="92" spans="2:5">
      <c r="B92" s="273"/>
      <c r="C92" s="257"/>
      <c r="D92" s="257"/>
      <c r="E92" s="260"/>
    </row>
    <row r="93" spans="2:5">
      <c r="B93" s="273"/>
      <c r="C93" s="257"/>
      <c r="D93" s="257"/>
      <c r="E93" s="260"/>
    </row>
    <row r="94" spans="2:5">
      <c r="B94" s="273"/>
      <c r="C94" s="257"/>
      <c r="D94" s="257"/>
      <c r="E94" s="260"/>
    </row>
    <row r="95" spans="2:5">
      <c r="B95" s="273"/>
      <c r="C95" s="257"/>
      <c r="D95" s="257"/>
      <c r="E95" s="260"/>
    </row>
    <row r="96" spans="2:5">
      <c r="B96" s="273"/>
      <c r="C96" s="257"/>
      <c r="D96" s="257"/>
      <c r="E96" s="260"/>
    </row>
    <row r="97" spans="2:10">
      <c r="B97" s="273"/>
      <c r="C97" s="257"/>
      <c r="D97" s="257"/>
      <c r="E97" s="260"/>
    </row>
    <row r="98" spans="2:10">
      <c r="B98" s="273"/>
      <c r="C98" s="257"/>
      <c r="D98" s="257"/>
      <c r="E98" s="260"/>
    </row>
    <row r="99" spans="2:10">
      <c r="B99" s="273"/>
      <c r="C99" s="257"/>
      <c r="D99" s="257"/>
      <c r="E99" s="260"/>
    </row>
    <row r="100" spans="2:10">
      <c r="B100" s="273"/>
      <c r="C100" s="257"/>
      <c r="D100" s="257"/>
      <c r="E100" s="260"/>
    </row>
    <row r="101" spans="2:10">
      <c r="B101" s="273"/>
      <c r="C101" s="257"/>
      <c r="D101" s="257"/>
      <c r="E101" s="260"/>
    </row>
    <row r="102" spans="2:10">
      <c r="B102" s="273"/>
      <c r="C102" s="257"/>
      <c r="D102" s="257"/>
      <c r="E102" s="260"/>
      <c r="G102" s="790" t="str">
        <f>CONCATENATE("Desired Carryover Into ",E1+1,"")</f>
        <v>Desired Carryover Into 2015</v>
      </c>
      <c r="H102" s="791"/>
      <c r="I102" s="791"/>
      <c r="J102" s="792"/>
    </row>
    <row r="103" spans="2:10">
      <c r="B103" s="273"/>
      <c r="C103" s="257"/>
      <c r="D103" s="257"/>
      <c r="E103" s="260"/>
      <c r="G103" s="542"/>
      <c r="H103" s="539"/>
      <c r="I103" s="539"/>
      <c r="J103" s="543"/>
    </row>
    <row r="104" spans="2:10">
      <c r="B104" s="273"/>
      <c r="C104" s="257"/>
      <c r="D104" s="257"/>
      <c r="E104" s="260"/>
      <c r="G104" s="553" t="s">
        <v>772</v>
      </c>
      <c r="H104" s="547"/>
      <c r="I104" s="547"/>
      <c r="J104" s="541">
        <v>0</v>
      </c>
    </row>
    <row r="105" spans="2:10">
      <c r="B105" s="273"/>
      <c r="C105" s="257"/>
      <c r="D105" s="257"/>
      <c r="E105" s="260"/>
      <c r="G105" s="557" t="s">
        <v>773</v>
      </c>
      <c r="H105" s="538"/>
      <c r="I105" s="540"/>
      <c r="J105" s="556" t="str">
        <f>IF(J104=0,"",ROUND((J104+E118-G117)/inputOth!E7*1000,3)-'general page 7'!G122)</f>
        <v/>
      </c>
    </row>
    <row r="106" spans="2:10">
      <c r="B106" s="273"/>
      <c r="C106" s="257"/>
      <c r="D106" s="257"/>
      <c r="E106" s="260"/>
      <c r="G106" s="626" t="str">
        <f>CONCATENATE("",E1," Total Expenditures Must Be:")</f>
        <v>2014 Total Expenditures Must Be:</v>
      </c>
      <c r="H106" s="627"/>
      <c r="I106" s="628"/>
      <c r="J106" s="555">
        <f>IF(J104&gt;0,IF(E115&lt;E57,IF(J104=G117,E115,((J104-G117)*(1-D117))+E57),E115+(J104-G117)),0)</f>
        <v>0</v>
      </c>
    </row>
    <row r="107" spans="2:10">
      <c r="B107" s="273"/>
      <c r="C107" s="257"/>
      <c r="D107" s="257"/>
      <c r="E107" s="260"/>
      <c r="G107" s="630" t="s">
        <v>890</v>
      </c>
      <c r="H107" s="631"/>
      <c r="I107" s="632"/>
      <c r="J107" s="665">
        <f>IF(J104&gt;0,J106-E115,0)</f>
        <v>0</v>
      </c>
    </row>
    <row r="108" spans="2:10">
      <c r="B108" s="274" t="s">
        <v>13</v>
      </c>
      <c r="C108" s="257"/>
      <c r="D108" s="257"/>
      <c r="E108" s="275" t="str">
        <f>nhood!E6</f>
        <v/>
      </c>
    </row>
    <row r="109" spans="2:10">
      <c r="B109" s="274" t="s">
        <v>14</v>
      </c>
      <c r="C109" s="257"/>
      <c r="D109" s="257"/>
      <c r="E109" s="260"/>
      <c r="G109" s="790" t="str">
        <f>CONCATENATE("Projected Carryover Into ",E1+1,"")</f>
        <v>Projected Carryover Into 2015</v>
      </c>
      <c r="H109" s="799"/>
      <c r="I109" s="799"/>
      <c r="J109" s="800"/>
    </row>
    <row r="110" spans="2:10">
      <c r="B110" s="274" t="s">
        <v>785</v>
      </c>
      <c r="C110" s="262" t="str">
        <f>IF(C111*0.1&lt;C109,"Exceed 10% Rule","")</f>
        <v/>
      </c>
      <c r="D110" s="262" t="str">
        <f>IF(D111*0.1&lt;D109,"Exceed 10% Rule","")</f>
        <v/>
      </c>
      <c r="E110" s="299" t="str">
        <f>IF(E111*0.1&lt;E109,"Exceed 10% Rule","")</f>
        <v/>
      </c>
      <c r="G110" s="542"/>
      <c r="H110" s="539"/>
      <c r="I110" s="539"/>
      <c r="J110" s="543"/>
    </row>
    <row r="111" spans="2:10">
      <c r="B111" s="264" t="s">
        <v>122</v>
      </c>
      <c r="C111" s="266">
        <f>SUM(C84:C109)</f>
        <v>550818</v>
      </c>
      <c r="D111" s="266">
        <f>SUM(D84:D109)</f>
        <v>702420</v>
      </c>
      <c r="E111" s="267">
        <f>SUM(E84:E109)</f>
        <v>647406</v>
      </c>
      <c r="G111" s="544">
        <f>D112</f>
        <v>742315</v>
      </c>
      <c r="H111" s="545" t="str">
        <f>CONCATENATE("",E1-1," Ending Cash Balance (est.)")</f>
        <v>2013 Ending Cash Balance (est.)</v>
      </c>
      <c r="I111" s="546"/>
      <c r="J111" s="543"/>
    </row>
    <row r="112" spans="2:10">
      <c r="B112" s="150" t="s">
        <v>229</v>
      </c>
      <c r="C112" s="270">
        <f>C57-C111</f>
        <v>687456</v>
      </c>
      <c r="D112" s="270">
        <f>D57-D111</f>
        <v>742315</v>
      </c>
      <c r="E112" s="259" t="s">
        <v>95</v>
      </c>
      <c r="G112" s="544">
        <f>E56</f>
        <v>550297</v>
      </c>
      <c r="H112" s="547" t="str">
        <f>CONCATENATE("",E1," Non-AV Receipts (est.)")</f>
        <v>2014 Non-AV Receipts (est.)</v>
      </c>
      <c r="I112" s="546"/>
      <c r="J112" s="543"/>
    </row>
    <row r="113" spans="2:11">
      <c r="B113" s="136" t="str">
        <f>CONCATENATE("",E1-2,"/",E1-1," Budget Authority Amount:")</f>
        <v>2012/2013 Budget Authority Amount:</v>
      </c>
      <c r="C113" s="241">
        <f>inputOth!B60</f>
        <v>625218</v>
      </c>
      <c r="D113" s="241">
        <f>inputPrYr!D17</f>
        <v>594502</v>
      </c>
      <c r="E113" s="259" t="s">
        <v>95</v>
      </c>
      <c r="F113" s="276"/>
      <c r="G113" s="548">
        <f>IF(E117&gt;0,E116,E118)</f>
        <v>0</v>
      </c>
      <c r="H113" s="547" t="str">
        <f>CONCATENATE("",E1," Ad Valorem Tax (est.)")</f>
        <v>2014 Ad Valorem Tax (est.)</v>
      </c>
      <c r="I113" s="546"/>
      <c r="J113" s="543"/>
      <c r="K113" s="644" t="str">
        <f>IF(G113=E118,"","Note: Does not include Delinquent Taxes")</f>
        <v/>
      </c>
    </row>
    <row r="114" spans="2:11">
      <c r="B114" s="136"/>
      <c r="C114" s="793" t="s">
        <v>671</v>
      </c>
      <c r="D114" s="794"/>
      <c r="E114" s="260"/>
      <c r="F114" s="439" t="str">
        <f>IF(E111/0.95-E111&lt;E114,"Exceeds 5%","")</f>
        <v/>
      </c>
      <c r="G114" s="544">
        <f>SUM(G111:G113)</f>
        <v>1292612</v>
      </c>
      <c r="H114" s="547" t="str">
        <f>CONCATENATE("Total ",E1," Resources Available")</f>
        <v>Total 2014 Resources Available</v>
      </c>
      <c r="I114" s="546"/>
      <c r="J114" s="543"/>
    </row>
    <row r="115" spans="2:11">
      <c r="B115" s="531" t="str">
        <f>CONCATENATE(C132,"     ",D132)</f>
        <v xml:space="preserve">     See Tab C</v>
      </c>
      <c r="C115" s="795" t="s">
        <v>672</v>
      </c>
      <c r="D115" s="796"/>
      <c r="E115" s="228">
        <f>E111+E114</f>
        <v>647406</v>
      </c>
      <c r="G115" s="549"/>
      <c r="H115" s="547"/>
      <c r="I115" s="547"/>
      <c r="J115" s="543"/>
    </row>
    <row r="116" spans="2:11">
      <c r="B116" s="531" t="str">
        <f>CONCATENATE(C133,"     ",D133)</f>
        <v xml:space="preserve">     </v>
      </c>
      <c r="C116" s="277"/>
      <c r="D116" s="169" t="s">
        <v>123</v>
      </c>
      <c r="E116" s="82">
        <f>IF(E115-E57&gt;0,E115-E57,0)</f>
        <v>0</v>
      </c>
      <c r="G116" s="548">
        <f>C111*0.05+C111</f>
        <v>578358.9</v>
      </c>
      <c r="H116" s="547" t="str">
        <f>CONCATENATE("Less ",E1-2," Expenditures + 5%")</f>
        <v>Less 2012 Expenditures + 5%</v>
      </c>
      <c r="I116" s="546"/>
      <c r="J116" s="543"/>
    </row>
    <row r="117" spans="2:11">
      <c r="B117" s="169"/>
      <c r="C117" s="387" t="s">
        <v>670</v>
      </c>
      <c r="D117" s="729">
        <f>inputOth!$E$47</f>
        <v>0</v>
      </c>
      <c r="E117" s="228">
        <f>ROUND(IF(D117&gt;0,(E116*D117),0),0)</f>
        <v>0</v>
      </c>
      <c r="G117" s="554">
        <f>G114-G116</f>
        <v>714253.1</v>
      </c>
      <c r="H117" s="550" t="str">
        <f>CONCATENATE("Projected ",E1+1," Carryover (est.)")</f>
        <v>Projected 2015 Carryover (est.)</v>
      </c>
      <c r="I117" s="551"/>
      <c r="J117" s="552"/>
    </row>
    <row r="118" spans="2:11" ht="16.5" thickBot="1">
      <c r="B118" s="47"/>
      <c r="C118" s="797" t="str">
        <f>CONCATENATE("Amount of  ",$E$1-1," Ad Valorem Tax")</f>
        <v>Amount of  2013 Ad Valorem Tax</v>
      </c>
      <c r="D118" s="798"/>
      <c r="E118" s="650">
        <f>E116+E117</f>
        <v>0</v>
      </c>
    </row>
    <row r="119" spans="2:11" ht="16.5" thickTop="1">
      <c r="B119" s="47"/>
      <c r="C119" s="47"/>
      <c r="D119" s="47"/>
      <c r="E119" s="47"/>
      <c r="G119" s="787" t="s">
        <v>891</v>
      </c>
      <c r="H119" s="788"/>
      <c r="I119" s="788"/>
      <c r="J119" s="789"/>
    </row>
    <row r="120" spans="2:11">
      <c r="B120" s="136" t="s">
        <v>125</v>
      </c>
      <c r="C120" s="171" t="str">
        <f>CONCATENATE("",C59,"a")</f>
        <v>8a</v>
      </c>
      <c r="D120" s="172"/>
      <c r="E120" s="172"/>
      <c r="G120" s="634"/>
      <c r="H120" s="635"/>
      <c r="I120" s="636"/>
      <c r="J120" s="637"/>
    </row>
    <row r="121" spans="2:11">
      <c r="G121" s="638" t="str">
        <f>summ!H15</f>
        <v/>
      </c>
      <c r="H121" s="635" t="str">
        <f>CONCATENATE("",E1," Fund Mill Rate")</f>
        <v>2014 Fund Mill Rate</v>
      </c>
      <c r="I121" s="636"/>
      <c r="J121" s="637"/>
    </row>
    <row r="122" spans="2:11">
      <c r="B122" s="106"/>
      <c r="G122" s="639" t="str">
        <f>summ!E15</f>
        <v xml:space="preserve">  </v>
      </c>
      <c r="H122" s="635" t="str">
        <f>CONCATENATE("",E1-1," Fund Mill Rate")</f>
        <v>2013 Fund Mill Rate</v>
      </c>
      <c r="I122" s="636"/>
      <c r="J122" s="637"/>
    </row>
    <row r="123" spans="2:11">
      <c r="G123" s="640">
        <f>summ!H52</f>
        <v>42.765000000000001</v>
      </c>
      <c r="H123" s="635" t="str">
        <f>CONCATENATE("Total ",E1," Mill Rate")</f>
        <v>Total 2014 Mill Rate</v>
      </c>
      <c r="I123" s="636"/>
      <c r="J123" s="637"/>
    </row>
    <row r="124" spans="2:11">
      <c r="G124" s="639">
        <f>summ!E52</f>
        <v>42.893999999999998</v>
      </c>
      <c r="H124" s="641" t="str">
        <f>CONCATENATE("Total ",E1-1," Mill Rate")</f>
        <v>Total 2013 Mill Rate</v>
      </c>
      <c r="I124" s="642"/>
      <c r="J124" s="643"/>
    </row>
    <row r="125" spans="2:11">
      <c r="B125" s="32"/>
      <c r="C125" s="32"/>
    </row>
    <row r="132" spans="3:4" hidden="1">
      <c r="C132" s="530" t="str">
        <f>IF(C111&gt;C113,"See Tab A","")</f>
        <v/>
      </c>
      <c r="D132" s="530" t="str">
        <f>IF(D111&gt;D113,"See Tab C","")</f>
        <v>See Tab C</v>
      </c>
    </row>
    <row r="133" spans="3:4" hidden="1">
      <c r="C133" s="530" t="str">
        <f>IF(C112&lt;0,"See Tab B","")</f>
        <v/>
      </c>
      <c r="D133" s="530" t="str">
        <f>IF(D112&lt;0,"See Tab D","")</f>
        <v/>
      </c>
    </row>
  </sheetData>
  <sheetProtection sheet="1"/>
  <mergeCells count="6">
    <mergeCell ref="G119:J119"/>
    <mergeCell ref="G102:J102"/>
    <mergeCell ref="C114:D114"/>
    <mergeCell ref="C115:D115"/>
    <mergeCell ref="C118:D118"/>
    <mergeCell ref="G109:J109"/>
  </mergeCells>
  <phoneticPr fontId="0" type="noConversion"/>
  <conditionalFormatting sqref="E109">
    <cfRule type="cellIs" dxfId="317" priority="2" stopIfTrue="1" operator="greaterThan">
      <formula>$E$111*0.1</formula>
    </cfRule>
  </conditionalFormatting>
  <conditionalFormatting sqref="E114">
    <cfRule type="cellIs" dxfId="316" priority="3" stopIfTrue="1" operator="greaterThan">
      <formula>$E$111/0.95-$E$111</formula>
    </cfRule>
  </conditionalFormatting>
  <conditionalFormatting sqref="D111">
    <cfRule type="cellIs" dxfId="315" priority="4" stopIfTrue="1" operator="greaterThan">
      <formula>$D$113</formula>
    </cfRule>
  </conditionalFormatting>
  <conditionalFormatting sqref="C111">
    <cfRule type="cellIs" dxfId="314" priority="5" stopIfTrue="1" operator="greaterThan">
      <formula>$C$113</formula>
    </cfRule>
  </conditionalFormatting>
  <conditionalFormatting sqref="C112">
    <cfRule type="cellIs" dxfId="313" priority="6" stopIfTrue="1" operator="lessThan">
      <formula>0</formula>
    </cfRule>
  </conditionalFormatting>
  <conditionalFormatting sqref="C109">
    <cfRule type="cellIs" dxfId="312" priority="7" stopIfTrue="1" operator="greaterThan">
      <formula>$C$111*0.1</formula>
    </cfRule>
  </conditionalFormatting>
  <conditionalFormatting sqref="D109">
    <cfRule type="cellIs" dxfId="311" priority="8" stopIfTrue="1" operator="greaterThan">
      <formula>$D$111*0.1</formula>
    </cfRule>
  </conditionalFormatting>
  <conditionalFormatting sqref="D54">
    <cfRule type="cellIs" dxfId="310" priority="9" stopIfTrue="1" operator="greaterThan">
      <formula>$D$56*0.1</formula>
    </cfRule>
  </conditionalFormatting>
  <conditionalFormatting sqref="C54">
    <cfRule type="cellIs" dxfId="309" priority="10" stopIfTrue="1" operator="greaterThan">
      <formula>$C$56*0.1</formula>
    </cfRule>
  </conditionalFormatting>
  <conditionalFormatting sqref="E54">
    <cfRule type="cellIs" dxfId="308" priority="11" stopIfTrue="1" operator="greaterThan">
      <formula>$E$56*0.1+E118</formula>
    </cfRule>
  </conditionalFormatting>
  <conditionalFormatting sqref="D112">
    <cfRule type="cellIs" dxfId="307" priority="1" stopIfTrue="1" operator="lessThan">
      <formula>0</formula>
    </cfRule>
  </conditionalFormatting>
  <pageMargins left="0.5" right="0.5" top="1" bottom="0.5" header="0.5" footer="0.5"/>
  <pageSetup scale="73" fitToHeight="2" orientation="portrait" blackAndWhite="1" r:id="rId1"/>
  <headerFooter alignWithMargins="0">
    <oddHeader>&amp;RState of Kansas
City</oddHeader>
  </headerFooter>
  <rowBreaks count="2" manualBreakCount="2">
    <brk id="59" min="1" max="4" man="1"/>
    <brk id="6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A1:F135"/>
  <sheetViews>
    <sheetView zoomScaleNormal="100" workbookViewId="0">
      <selection activeCell="A91" sqref="A91"/>
    </sheetView>
  </sheetViews>
  <sheetFormatPr defaultRowHeight="15.75"/>
  <cols>
    <col min="1" max="1" width="28.33203125" style="32" customWidth="1"/>
    <col min="2" max="3" width="15.77734375" style="32" customWidth="1"/>
    <col min="4" max="4" width="16.109375" style="32" customWidth="1"/>
    <col min="5" max="16384" width="8.88671875" style="32"/>
  </cols>
  <sheetData>
    <row r="1" spans="1:4">
      <c r="A1" s="197" t="str">
        <f>inputPrYr!D2</f>
        <v>City of Garnett</v>
      </c>
      <c r="B1" s="47"/>
      <c r="C1" s="171"/>
      <c r="D1" s="47">
        <f>inputPrYr!C5</f>
        <v>2014</v>
      </c>
    </row>
    <row r="2" spans="1:4">
      <c r="A2" s="47"/>
      <c r="B2" s="47"/>
      <c r="C2" s="47"/>
      <c r="D2" s="171"/>
    </row>
    <row r="3" spans="1:4">
      <c r="A3" s="571"/>
      <c r="B3" s="278"/>
      <c r="C3" s="278"/>
      <c r="D3" s="278"/>
    </row>
    <row r="4" spans="1:4">
      <c r="A4" s="717" t="s">
        <v>106</v>
      </c>
      <c r="B4" s="279" t="s">
        <v>950</v>
      </c>
      <c r="C4" s="144" t="s">
        <v>951</v>
      </c>
      <c r="D4" s="144" t="s">
        <v>952</v>
      </c>
    </row>
    <row r="5" spans="1:4">
      <c r="A5" s="571" t="s">
        <v>408</v>
      </c>
      <c r="B5" s="251" t="str">
        <f>CONCATENATE("Actual for ",D1-2,"")</f>
        <v>Actual for 2012</v>
      </c>
      <c r="C5" s="251" t="str">
        <f>CONCATENATE("Estimate for ",D1-1,"")</f>
        <v>Estimate for 2013</v>
      </c>
      <c r="D5" s="251" t="str">
        <f>CONCATENATE("Year for ",D1,"")</f>
        <v>Year for 2014</v>
      </c>
    </row>
    <row r="6" spans="1:4">
      <c r="A6" s="226" t="s">
        <v>118</v>
      </c>
      <c r="B6" s="87"/>
      <c r="C6" s="87"/>
      <c r="D6" s="87"/>
    </row>
    <row r="7" spans="1:4">
      <c r="A7" s="280" t="s">
        <v>1013</v>
      </c>
      <c r="B7" s="87"/>
      <c r="C7" s="87"/>
      <c r="D7" s="87"/>
    </row>
    <row r="8" spans="1:4">
      <c r="A8" s="281" t="s">
        <v>126</v>
      </c>
      <c r="B8" s="260">
        <v>58237</v>
      </c>
      <c r="C8" s="260">
        <v>59101</v>
      </c>
      <c r="D8" s="260">
        <v>57407</v>
      </c>
    </row>
    <row r="9" spans="1:4">
      <c r="A9" s="281" t="s">
        <v>119</v>
      </c>
      <c r="B9" s="260">
        <v>67307</v>
      </c>
      <c r="C9" s="260">
        <v>72508</v>
      </c>
      <c r="D9" s="260">
        <v>81300</v>
      </c>
    </row>
    <row r="10" spans="1:4">
      <c r="A10" s="281" t="s">
        <v>120</v>
      </c>
      <c r="B10" s="260">
        <v>10227</v>
      </c>
      <c r="C10" s="260">
        <v>11900</v>
      </c>
      <c r="D10" s="260">
        <v>11400</v>
      </c>
    </row>
    <row r="11" spans="1:4">
      <c r="A11" s="281" t="s">
        <v>121</v>
      </c>
      <c r="B11" s="260">
        <v>48385</v>
      </c>
      <c r="C11" s="260">
        <v>173547</v>
      </c>
      <c r="D11" s="260">
        <v>107000</v>
      </c>
    </row>
    <row r="12" spans="1:4">
      <c r="A12" s="281"/>
      <c r="B12" s="260"/>
      <c r="C12" s="260"/>
      <c r="D12" s="260"/>
    </row>
    <row r="13" spans="1:4">
      <c r="A13" s="69"/>
      <c r="B13" s="260"/>
      <c r="C13" s="260"/>
      <c r="D13" s="260"/>
    </row>
    <row r="14" spans="1:4">
      <c r="A14" s="69"/>
      <c r="B14" s="260"/>
      <c r="C14" s="260"/>
      <c r="D14" s="260"/>
    </row>
    <row r="15" spans="1:4">
      <c r="A15" s="226" t="s">
        <v>78</v>
      </c>
      <c r="B15" s="265">
        <f>SUM(B8:B14)</f>
        <v>184156</v>
      </c>
      <c r="C15" s="265">
        <f>SUM(C8:C14)</f>
        <v>317056</v>
      </c>
      <c r="D15" s="265">
        <f>SUM(D8:D14)</f>
        <v>257107</v>
      </c>
    </row>
    <row r="16" spans="1:4">
      <c r="A16" s="282" t="s">
        <v>1014</v>
      </c>
      <c r="B16" s="197"/>
      <c r="C16" s="197"/>
      <c r="D16" s="197"/>
    </row>
    <row r="17" spans="1:4">
      <c r="A17" s="281" t="s">
        <v>126</v>
      </c>
      <c r="B17" s="260"/>
      <c r="C17" s="260"/>
      <c r="D17" s="260"/>
    </row>
    <row r="18" spans="1:4">
      <c r="A18" s="281" t="s">
        <v>119</v>
      </c>
      <c r="B18" s="260"/>
      <c r="C18" s="260"/>
      <c r="D18" s="260"/>
    </row>
    <row r="19" spans="1:4">
      <c r="A19" s="281" t="s">
        <v>120</v>
      </c>
      <c r="B19" s="260"/>
      <c r="C19" s="260"/>
      <c r="D19" s="260"/>
    </row>
    <row r="20" spans="1:4">
      <c r="A20" s="281" t="s">
        <v>121</v>
      </c>
      <c r="B20" s="260"/>
      <c r="C20" s="260"/>
      <c r="D20" s="260"/>
    </row>
    <row r="21" spans="1:4">
      <c r="A21" s="281"/>
      <c r="B21" s="260"/>
      <c r="C21" s="260"/>
      <c r="D21" s="260"/>
    </row>
    <row r="22" spans="1:4">
      <c r="A22" s="226" t="s">
        <v>78</v>
      </c>
      <c r="B22" s="265">
        <f>SUM(B17:B21)</f>
        <v>0</v>
      </c>
      <c r="C22" s="265">
        <f>SUM(C17:C21)</f>
        <v>0</v>
      </c>
      <c r="D22" s="265">
        <f>SUM(D17:D21)</f>
        <v>0</v>
      </c>
    </row>
    <row r="23" spans="1:4">
      <c r="A23" s="282" t="s">
        <v>1015</v>
      </c>
      <c r="B23" s="197"/>
      <c r="C23" s="197"/>
      <c r="D23" s="197"/>
    </row>
    <row r="24" spans="1:4">
      <c r="A24" s="281" t="s">
        <v>126</v>
      </c>
      <c r="B24" s="260"/>
      <c r="C24" s="260"/>
      <c r="D24" s="260"/>
    </row>
    <row r="25" spans="1:4">
      <c r="A25" s="281" t="s">
        <v>119</v>
      </c>
      <c r="B25" s="260"/>
      <c r="C25" s="260"/>
      <c r="D25" s="260"/>
    </row>
    <row r="26" spans="1:4">
      <c r="A26" s="281" t="s">
        <v>120</v>
      </c>
      <c r="B26" s="260"/>
      <c r="C26" s="260"/>
      <c r="D26" s="260"/>
    </row>
    <row r="27" spans="1:4">
      <c r="A27" s="281" t="s">
        <v>121</v>
      </c>
      <c r="B27" s="260"/>
      <c r="C27" s="260"/>
      <c r="D27" s="260"/>
    </row>
    <row r="28" spans="1:4">
      <c r="A28" s="281"/>
      <c r="B28" s="260"/>
      <c r="C28" s="260"/>
      <c r="D28" s="260"/>
    </row>
    <row r="29" spans="1:4">
      <c r="A29" s="226" t="s">
        <v>78</v>
      </c>
      <c r="B29" s="265">
        <f>SUM(B24:B28)</f>
        <v>0</v>
      </c>
      <c r="C29" s="265">
        <f>SUM(C24:C28)</f>
        <v>0</v>
      </c>
      <c r="D29" s="265">
        <f>SUM(D24:D28)</f>
        <v>0</v>
      </c>
    </row>
    <row r="30" spans="1:4">
      <c r="A30" s="282" t="s">
        <v>1016</v>
      </c>
      <c r="B30" s="197"/>
      <c r="C30" s="197"/>
      <c r="D30" s="197"/>
    </row>
    <row r="31" spans="1:4">
      <c r="A31" s="281" t="s">
        <v>126</v>
      </c>
      <c r="B31" s="260"/>
      <c r="C31" s="260"/>
      <c r="D31" s="260"/>
    </row>
    <row r="32" spans="1:4">
      <c r="A32" s="281" t="s">
        <v>119</v>
      </c>
      <c r="B32" s="260"/>
      <c r="C32" s="260"/>
      <c r="D32" s="260"/>
    </row>
    <row r="33" spans="1:4">
      <c r="A33" s="281" t="s">
        <v>120</v>
      </c>
      <c r="B33" s="260"/>
      <c r="C33" s="260"/>
      <c r="D33" s="260"/>
    </row>
    <row r="34" spans="1:4">
      <c r="A34" s="281" t="s">
        <v>121</v>
      </c>
      <c r="B34" s="260"/>
      <c r="C34" s="260"/>
      <c r="D34" s="260"/>
    </row>
    <row r="35" spans="1:4">
      <c r="A35" s="226" t="s">
        <v>78</v>
      </c>
      <c r="B35" s="265">
        <f>SUM(B31:B34)</f>
        <v>0</v>
      </c>
      <c r="C35" s="265">
        <f>SUM(C31:C34)</f>
        <v>0</v>
      </c>
      <c r="D35" s="265">
        <f>SUM(D31:D34)</f>
        <v>0</v>
      </c>
    </row>
    <row r="36" spans="1:4">
      <c r="A36" s="282" t="s">
        <v>1017</v>
      </c>
      <c r="B36" s="197"/>
      <c r="C36" s="197"/>
      <c r="D36" s="197"/>
    </row>
    <row r="37" spans="1:4">
      <c r="A37" s="281" t="s">
        <v>126</v>
      </c>
      <c r="B37" s="260"/>
      <c r="C37" s="260"/>
      <c r="D37" s="260"/>
    </row>
    <row r="38" spans="1:4">
      <c r="A38" s="281" t="s">
        <v>119</v>
      </c>
      <c r="B38" s="260"/>
      <c r="C38" s="260"/>
      <c r="D38" s="260"/>
    </row>
    <row r="39" spans="1:4">
      <c r="A39" s="281" t="s">
        <v>120</v>
      </c>
      <c r="B39" s="260"/>
      <c r="C39" s="260"/>
      <c r="D39" s="260"/>
    </row>
    <row r="40" spans="1:4">
      <c r="A40" s="281" t="s">
        <v>121</v>
      </c>
      <c r="B40" s="260">
        <v>19982</v>
      </c>
      <c r="C40" s="260">
        <v>0</v>
      </c>
      <c r="D40" s="260"/>
    </row>
    <row r="41" spans="1:4">
      <c r="A41" s="281"/>
      <c r="B41" s="260"/>
      <c r="C41" s="260"/>
      <c r="D41" s="260"/>
    </row>
    <row r="42" spans="1:4">
      <c r="A42" s="226" t="s">
        <v>78</v>
      </c>
      <c r="B42" s="265">
        <f>SUM(B37:B41)</f>
        <v>19982</v>
      </c>
      <c r="C42" s="265">
        <f>SUM(C37:C41)</f>
        <v>0</v>
      </c>
      <c r="D42" s="265">
        <f>SUM(D37:D41)</f>
        <v>0</v>
      </c>
    </row>
    <row r="43" spans="1:4">
      <c r="A43" s="282" t="s">
        <v>1018</v>
      </c>
      <c r="B43" s="197"/>
      <c r="C43" s="197"/>
      <c r="D43" s="197"/>
    </row>
    <row r="44" spans="1:4">
      <c r="A44" s="281" t="s">
        <v>126</v>
      </c>
      <c r="B44" s="260">
        <v>50672</v>
      </c>
      <c r="C44" s="260">
        <v>48456</v>
      </c>
      <c r="D44" s="260">
        <v>52309</v>
      </c>
    </row>
    <row r="45" spans="1:4">
      <c r="A45" s="281" t="s">
        <v>119</v>
      </c>
      <c r="B45" s="260">
        <v>17483</v>
      </c>
      <c r="C45" s="260">
        <v>22600</v>
      </c>
      <c r="D45" s="260">
        <v>24600</v>
      </c>
    </row>
    <row r="46" spans="1:4">
      <c r="A46" s="281" t="s">
        <v>120</v>
      </c>
      <c r="B46" s="260">
        <v>5542</v>
      </c>
      <c r="C46" s="260">
        <v>7500</v>
      </c>
      <c r="D46" s="260">
        <v>10000</v>
      </c>
    </row>
    <row r="47" spans="1:4">
      <c r="A47" s="281" t="s">
        <v>121</v>
      </c>
      <c r="B47" s="260">
        <v>31754</v>
      </c>
      <c r="C47" s="260">
        <v>40000</v>
      </c>
      <c r="D47" s="260">
        <v>40000</v>
      </c>
    </row>
    <row r="48" spans="1:4">
      <c r="A48" s="281"/>
      <c r="B48" s="260"/>
      <c r="C48" s="260"/>
      <c r="D48" s="260"/>
    </row>
    <row r="49" spans="1:4">
      <c r="A49" s="226" t="s">
        <v>78</v>
      </c>
      <c r="B49" s="265">
        <f>SUM(B44:B48)</f>
        <v>105451</v>
      </c>
      <c r="C49" s="265">
        <f>SUM(C44:C48)</f>
        <v>118556</v>
      </c>
      <c r="D49" s="265">
        <f>SUM(D44:D48)</f>
        <v>126909</v>
      </c>
    </row>
    <row r="50" spans="1:4">
      <c r="A50" s="282" t="s">
        <v>1012</v>
      </c>
      <c r="B50" s="197"/>
      <c r="C50" s="197"/>
      <c r="D50" s="197"/>
    </row>
    <row r="51" spans="1:4">
      <c r="A51" s="281" t="s">
        <v>126</v>
      </c>
      <c r="B51" s="260">
        <v>68757</v>
      </c>
      <c r="C51" s="260">
        <v>73265</v>
      </c>
      <c r="D51" s="260">
        <v>72281</v>
      </c>
    </row>
    <row r="52" spans="1:4">
      <c r="A52" s="281" t="s">
        <v>119</v>
      </c>
      <c r="B52" s="260">
        <v>2614</v>
      </c>
      <c r="C52" s="260">
        <v>1000</v>
      </c>
      <c r="D52" s="260">
        <v>2000</v>
      </c>
    </row>
    <row r="53" spans="1:4">
      <c r="A53" s="281" t="s">
        <v>120</v>
      </c>
      <c r="B53" s="260">
        <v>208</v>
      </c>
      <c r="C53" s="260">
        <v>5000</v>
      </c>
      <c r="D53" s="260">
        <v>5000</v>
      </c>
    </row>
    <row r="54" spans="1:4">
      <c r="A54" s="281" t="s">
        <v>121</v>
      </c>
      <c r="B54" s="260">
        <v>2058</v>
      </c>
      <c r="C54" s="260">
        <v>5000</v>
      </c>
      <c r="D54" s="260">
        <v>4000</v>
      </c>
    </row>
    <row r="55" spans="1:4">
      <c r="A55" s="281"/>
      <c r="B55" s="260"/>
      <c r="C55" s="260"/>
      <c r="D55" s="260"/>
    </row>
    <row r="56" spans="1:4">
      <c r="A56" s="226" t="s">
        <v>78</v>
      </c>
      <c r="B56" s="265">
        <f>SUM(B51:B55)</f>
        <v>73637</v>
      </c>
      <c r="C56" s="265">
        <f>SUM(C51:C55)</f>
        <v>84265</v>
      </c>
      <c r="D56" s="265">
        <f>SUM(D51:D55)</f>
        <v>83281</v>
      </c>
    </row>
    <row r="57" spans="1:4">
      <c r="A57" s="282" t="s">
        <v>1019</v>
      </c>
      <c r="B57" s="197"/>
      <c r="C57" s="197"/>
      <c r="D57" s="197"/>
    </row>
    <row r="58" spans="1:4">
      <c r="A58" s="281" t="s">
        <v>126</v>
      </c>
      <c r="B58" s="260">
        <v>85498</v>
      </c>
      <c r="C58" s="260">
        <v>69104</v>
      </c>
      <c r="D58" s="260">
        <v>68578</v>
      </c>
    </row>
    <row r="59" spans="1:4">
      <c r="A59" s="281" t="s">
        <v>119</v>
      </c>
      <c r="B59" s="260">
        <v>15842</v>
      </c>
      <c r="C59" s="260">
        <v>15800</v>
      </c>
      <c r="D59" s="260">
        <v>17000</v>
      </c>
    </row>
    <row r="60" spans="1:4">
      <c r="A60" s="281" t="s">
        <v>120</v>
      </c>
      <c r="B60" s="260">
        <v>43496</v>
      </c>
      <c r="C60" s="260">
        <v>50300</v>
      </c>
      <c r="D60" s="260">
        <v>59300</v>
      </c>
    </row>
    <row r="61" spans="1:4">
      <c r="A61" s="281" t="s">
        <v>121</v>
      </c>
      <c r="B61" s="260">
        <v>0</v>
      </c>
      <c r="C61" s="260">
        <v>3229</v>
      </c>
      <c r="D61" s="260">
        <v>3229</v>
      </c>
    </row>
    <row r="62" spans="1:4">
      <c r="A62" s="281"/>
      <c r="B62" s="260"/>
      <c r="C62" s="260"/>
      <c r="D62" s="260"/>
    </row>
    <row r="63" spans="1:4">
      <c r="A63" s="226" t="s">
        <v>78</v>
      </c>
      <c r="B63" s="265">
        <f>SUM(B58:B62)</f>
        <v>144836</v>
      </c>
      <c r="C63" s="265">
        <f>SUM(C58:C62)</f>
        <v>138433</v>
      </c>
      <c r="D63" s="265">
        <f>SUM(D58:D62)</f>
        <v>148107</v>
      </c>
    </row>
    <row r="64" spans="1:4">
      <c r="A64" s="47"/>
      <c r="B64" s="197"/>
      <c r="C64" s="197"/>
      <c r="D64" s="197"/>
    </row>
    <row r="65" spans="1:6" ht="16.5" thickBot="1">
      <c r="A65" s="226" t="s">
        <v>404</v>
      </c>
      <c r="B65" s="283">
        <f>B15+B22+B29+B35+B42+B49+B56+B63</f>
        <v>528062</v>
      </c>
      <c r="C65" s="283">
        <f>C15+C22+C29+C35+C42+C49+C56+C63</f>
        <v>658310</v>
      </c>
      <c r="D65" s="283">
        <f>D15+D22+D29+D35+D42+D49+D56+D63</f>
        <v>615404</v>
      </c>
    </row>
    <row r="66" spans="1:6" ht="16.5" thickTop="1">
      <c r="A66" s="284"/>
      <c r="B66" s="197"/>
      <c r="C66" s="197"/>
      <c r="D66" s="197"/>
    </row>
    <row r="67" spans="1:6">
      <c r="A67" s="405" t="s">
        <v>125</v>
      </c>
      <c r="B67" s="197" t="str">
        <f>CONCATENATE("",'general page 7'!C59,"b")</f>
        <v>8b</v>
      </c>
      <c r="C67" s="197"/>
      <c r="D67" s="197"/>
    </row>
    <row r="68" spans="1:6">
      <c r="A68" s="47"/>
      <c r="B68" s="197"/>
      <c r="C68" s="197"/>
      <c r="D68" s="197"/>
    </row>
    <row r="69" spans="1:6">
      <c r="A69" s="197" t="str">
        <f>A1</f>
        <v>City of Garnett</v>
      </c>
      <c r="B69" s="47"/>
      <c r="C69" s="171"/>
      <c r="D69" s="47">
        <f>D1</f>
        <v>2014</v>
      </c>
    </row>
    <row r="70" spans="1:6">
      <c r="A70" s="47"/>
      <c r="B70" s="47"/>
      <c r="C70" s="47"/>
      <c r="D70" s="171"/>
    </row>
    <row r="71" spans="1:6">
      <c r="A71" s="249"/>
      <c r="B71" s="221"/>
      <c r="C71" s="221"/>
      <c r="D71" s="221"/>
      <c r="F71" s="720"/>
    </row>
    <row r="72" spans="1:6">
      <c r="A72" s="718" t="s">
        <v>106</v>
      </c>
      <c r="B72" s="570" t="str">
        <f t="shared" ref="B72:D73" si="0">B4</f>
        <v xml:space="preserve">Prior Year </v>
      </c>
      <c r="C72" s="719" t="str">
        <f t="shared" si="0"/>
        <v xml:space="preserve">Current Year </v>
      </c>
      <c r="D72" s="569" t="str">
        <f t="shared" si="0"/>
        <v xml:space="preserve">Proposed Budget </v>
      </c>
      <c r="F72" s="720"/>
    </row>
    <row r="73" spans="1:6">
      <c r="A73" s="571" t="s">
        <v>409</v>
      </c>
      <c r="B73" s="251" t="str">
        <f t="shared" si="0"/>
        <v>Actual for 2012</v>
      </c>
      <c r="C73" s="251" t="str">
        <f t="shared" si="0"/>
        <v>Estimate for 2013</v>
      </c>
      <c r="D73" s="251" t="str">
        <f t="shared" si="0"/>
        <v>Year for 2014</v>
      </c>
    </row>
    <row r="74" spans="1:6">
      <c r="A74" s="226" t="s">
        <v>118</v>
      </c>
      <c r="B74" s="87"/>
      <c r="C74" s="87"/>
      <c r="D74" s="87"/>
    </row>
    <row r="75" spans="1:6">
      <c r="A75" s="280" t="s">
        <v>1020</v>
      </c>
      <c r="B75" s="87"/>
      <c r="C75" s="87"/>
      <c r="D75" s="87"/>
    </row>
    <row r="76" spans="1:6">
      <c r="A76" s="281" t="s">
        <v>126</v>
      </c>
      <c r="B76" s="260">
        <v>12052</v>
      </c>
      <c r="C76" s="260">
        <v>14110</v>
      </c>
      <c r="D76" s="260">
        <v>14502</v>
      </c>
    </row>
    <row r="77" spans="1:6">
      <c r="A77" s="281" t="s">
        <v>119</v>
      </c>
      <c r="B77" s="260">
        <v>7330</v>
      </c>
      <c r="C77" s="260">
        <v>8500</v>
      </c>
      <c r="D77" s="260">
        <v>10500</v>
      </c>
    </row>
    <row r="78" spans="1:6">
      <c r="A78" s="281" t="s">
        <v>120</v>
      </c>
      <c r="B78" s="260">
        <v>302</v>
      </c>
      <c r="C78" s="260">
        <v>500</v>
      </c>
      <c r="D78" s="260">
        <v>1000</v>
      </c>
    </row>
    <row r="79" spans="1:6">
      <c r="A79" s="281" t="s">
        <v>121</v>
      </c>
      <c r="B79" s="260"/>
      <c r="C79" s="260"/>
      <c r="D79" s="260"/>
    </row>
    <row r="80" spans="1:6">
      <c r="A80" s="69"/>
      <c r="B80" s="260"/>
      <c r="C80" s="260"/>
      <c r="D80" s="260"/>
    </row>
    <row r="81" spans="1:4">
      <c r="A81" s="226" t="s">
        <v>78</v>
      </c>
      <c r="B81" s="265">
        <f>SUM(B76:B80)</f>
        <v>19684</v>
      </c>
      <c r="C81" s="265">
        <f>SUM(C76:C80)</f>
        <v>23110</v>
      </c>
      <c r="D81" s="265">
        <f>SUM(D76:D80)</f>
        <v>26002</v>
      </c>
    </row>
    <row r="82" spans="1:4">
      <c r="A82" s="282" t="s">
        <v>1021</v>
      </c>
      <c r="B82" s="197"/>
      <c r="C82" s="197"/>
      <c r="D82" s="197"/>
    </row>
    <row r="83" spans="1:4">
      <c r="A83" s="281" t="s">
        <v>126</v>
      </c>
      <c r="B83" s="260">
        <v>377</v>
      </c>
      <c r="C83" s="260">
        <v>0</v>
      </c>
      <c r="D83" s="260">
        <v>0</v>
      </c>
    </row>
    <row r="84" spans="1:4">
      <c r="A84" s="281" t="s">
        <v>119</v>
      </c>
      <c r="B84" s="260"/>
      <c r="C84" s="260"/>
      <c r="D84" s="260"/>
    </row>
    <row r="85" spans="1:4">
      <c r="A85" s="281" t="s">
        <v>120</v>
      </c>
      <c r="B85" s="260"/>
      <c r="C85" s="260"/>
      <c r="D85" s="260"/>
    </row>
    <row r="86" spans="1:4">
      <c r="A86" s="281" t="s">
        <v>121</v>
      </c>
      <c r="B86" s="260">
        <v>2695</v>
      </c>
      <c r="C86" s="260">
        <v>6000</v>
      </c>
      <c r="D86" s="260">
        <v>6000</v>
      </c>
    </row>
    <row r="87" spans="1:4">
      <c r="A87" s="281"/>
      <c r="B87" s="260"/>
      <c r="C87" s="260"/>
      <c r="D87" s="260"/>
    </row>
    <row r="88" spans="1:4">
      <c r="A88" s="226" t="s">
        <v>78</v>
      </c>
      <c r="B88" s="265">
        <f>SUM(B83:B87)</f>
        <v>3072</v>
      </c>
      <c r="C88" s="265">
        <f>SUM(C83:C87)</f>
        <v>6000</v>
      </c>
      <c r="D88" s="265">
        <f>SUM(D83:D87)</f>
        <v>6000</v>
      </c>
    </row>
    <row r="89" spans="1:4">
      <c r="A89" s="282" t="s">
        <v>1144</v>
      </c>
      <c r="B89" s="197"/>
      <c r="C89" s="197"/>
      <c r="D89" s="197"/>
    </row>
    <row r="90" spans="1:4">
      <c r="A90" s="281" t="s">
        <v>126</v>
      </c>
      <c r="B90" s="260"/>
      <c r="C90" s="260"/>
      <c r="D90" s="260"/>
    </row>
    <row r="91" spans="1:4">
      <c r="A91" s="281" t="s">
        <v>119</v>
      </c>
      <c r="B91" s="260"/>
      <c r="C91" s="260"/>
      <c r="D91" s="260"/>
    </row>
    <row r="92" spans="1:4">
      <c r="A92" s="281" t="s">
        <v>120</v>
      </c>
      <c r="B92" s="260"/>
      <c r="C92" s="260"/>
      <c r="D92" s="260"/>
    </row>
    <row r="93" spans="1:4">
      <c r="A93" s="281" t="s">
        <v>121</v>
      </c>
      <c r="B93" s="260">
        <v>0</v>
      </c>
      <c r="C93" s="260">
        <v>15000</v>
      </c>
      <c r="D93" s="260">
        <v>0</v>
      </c>
    </row>
    <row r="94" spans="1:4">
      <c r="A94" s="281"/>
      <c r="B94" s="260"/>
      <c r="C94" s="260"/>
      <c r="D94" s="260"/>
    </row>
    <row r="95" spans="1:4">
      <c r="A95" s="226" t="s">
        <v>78</v>
      </c>
      <c r="B95" s="265">
        <f>SUM(B90:B94)</f>
        <v>0</v>
      </c>
      <c r="C95" s="265">
        <f>SUM(C90:C94)</f>
        <v>15000</v>
      </c>
      <c r="D95" s="265">
        <f>SUM(D90:D94)</f>
        <v>0</v>
      </c>
    </row>
    <row r="96" spans="1:4">
      <c r="A96" s="282"/>
      <c r="B96" s="197"/>
      <c r="C96" s="197"/>
      <c r="D96" s="197"/>
    </row>
    <row r="97" spans="1:4">
      <c r="A97" s="281" t="s">
        <v>126</v>
      </c>
      <c r="B97" s="260"/>
      <c r="C97" s="260"/>
      <c r="D97" s="260"/>
    </row>
    <row r="98" spans="1:4">
      <c r="A98" s="281" t="s">
        <v>119</v>
      </c>
      <c r="B98" s="260"/>
      <c r="C98" s="260"/>
      <c r="D98" s="260"/>
    </row>
    <row r="99" spans="1:4">
      <c r="A99" s="281" t="s">
        <v>120</v>
      </c>
      <c r="B99" s="260"/>
      <c r="C99" s="260"/>
      <c r="D99" s="260"/>
    </row>
    <row r="100" spans="1:4">
      <c r="A100" s="281" t="s">
        <v>121</v>
      </c>
      <c r="B100" s="260"/>
      <c r="C100" s="260"/>
      <c r="D100" s="260"/>
    </row>
    <row r="101" spans="1:4">
      <c r="A101" s="226" t="s">
        <v>78</v>
      </c>
      <c r="B101" s="265">
        <f>SUM(B97:B100)</f>
        <v>0</v>
      </c>
      <c r="C101" s="265">
        <f>SUM(C97:C100)</f>
        <v>0</v>
      </c>
      <c r="D101" s="265">
        <f>SUM(D97:D100)</f>
        <v>0</v>
      </c>
    </row>
    <row r="102" spans="1:4">
      <c r="A102" s="282"/>
      <c r="B102" s="197"/>
      <c r="C102" s="197"/>
      <c r="D102" s="197"/>
    </row>
    <row r="103" spans="1:4">
      <c r="A103" s="281" t="s">
        <v>126</v>
      </c>
      <c r="B103" s="260"/>
      <c r="C103" s="260"/>
      <c r="D103" s="260"/>
    </row>
    <row r="104" spans="1:4">
      <c r="A104" s="281" t="s">
        <v>119</v>
      </c>
      <c r="B104" s="260"/>
      <c r="C104" s="260"/>
      <c r="D104" s="260"/>
    </row>
    <row r="105" spans="1:4">
      <c r="A105" s="281" t="s">
        <v>120</v>
      </c>
      <c r="B105" s="260"/>
      <c r="C105" s="260"/>
      <c r="D105" s="260"/>
    </row>
    <row r="106" spans="1:4">
      <c r="A106" s="281" t="s">
        <v>121</v>
      </c>
      <c r="B106" s="260"/>
      <c r="C106" s="260"/>
      <c r="D106" s="260"/>
    </row>
    <row r="107" spans="1:4">
      <c r="A107" s="281"/>
      <c r="B107" s="260"/>
      <c r="C107" s="260"/>
      <c r="D107" s="260"/>
    </row>
    <row r="108" spans="1:4">
      <c r="A108" s="226" t="s">
        <v>78</v>
      </c>
      <c r="B108" s="265">
        <f>SUM(B103:B107)</f>
        <v>0</v>
      </c>
      <c r="C108" s="265">
        <f>SUM(C103:C107)</f>
        <v>0</v>
      </c>
      <c r="D108" s="265">
        <f>SUM(D103:D107)</f>
        <v>0</v>
      </c>
    </row>
    <row r="109" spans="1:4">
      <c r="A109" s="282"/>
      <c r="B109" s="197"/>
      <c r="C109" s="197"/>
      <c r="D109" s="197"/>
    </row>
    <row r="110" spans="1:4">
      <c r="A110" s="281" t="s">
        <v>126</v>
      </c>
      <c r="B110" s="260"/>
      <c r="C110" s="260"/>
      <c r="D110" s="260"/>
    </row>
    <row r="111" spans="1:4">
      <c r="A111" s="281" t="s">
        <v>119</v>
      </c>
      <c r="B111" s="260"/>
      <c r="C111" s="260"/>
      <c r="D111" s="260"/>
    </row>
    <row r="112" spans="1:4">
      <c r="A112" s="281" t="s">
        <v>120</v>
      </c>
      <c r="B112" s="260"/>
      <c r="C112" s="260"/>
      <c r="D112" s="260"/>
    </row>
    <row r="113" spans="1:4">
      <c r="A113" s="281" t="s">
        <v>121</v>
      </c>
      <c r="B113" s="260"/>
      <c r="C113" s="260"/>
      <c r="D113" s="260"/>
    </row>
    <row r="114" spans="1:4">
      <c r="A114" s="281"/>
      <c r="B114" s="260"/>
      <c r="C114" s="260"/>
      <c r="D114" s="260"/>
    </row>
    <row r="115" spans="1:4">
      <c r="A115" s="226" t="s">
        <v>78</v>
      </c>
      <c r="B115" s="265">
        <f>SUM(B110:B114)</f>
        <v>0</v>
      </c>
      <c r="C115" s="265">
        <f>SUM(C110:C114)</f>
        <v>0</v>
      </c>
      <c r="D115" s="265">
        <f>SUM(D110:D114)</f>
        <v>0</v>
      </c>
    </row>
    <row r="116" spans="1:4">
      <c r="A116" s="282"/>
      <c r="B116" s="197"/>
      <c r="C116" s="197"/>
      <c r="D116" s="197"/>
    </row>
    <row r="117" spans="1:4">
      <c r="A117" s="281" t="s">
        <v>126</v>
      </c>
      <c r="B117" s="260"/>
      <c r="C117" s="260"/>
      <c r="D117" s="260"/>
    </row>
    <row r="118" spans="1:4">
      <c r="A118" s="281" t="s">
        <v>119</v>
      </c>
      <c r="B118" s="260"/>
      <c r="C118" s="260"/>
      <c r="D118" s="260"/>
    </row>
    <row r="119" spans="1:4">
      <c r="A119" s="281" t="s">
        <v>120</v>
      </c>
      <c r="B119" s="260"/>
      <c r="C119" s="260"/>
      <c r="D119" s="260"/>
    </row>
    <row r="120" spans="1:4">
      <c r="A120" s="281" t="s">
        <v>121</v>
      </c>
      <c r="B120" s="260"/>
      <c r="C120" s="260"/>
      <c r="D120" s="260"/>
    </row>
    <row r="121" spans="1:4">
      <c r="A121" s="281"/>
      <c r="B121" s="260"/>
      <c r="C121" s="260"/>
      <c r="D121" s="260"/>
    </row>
    <row r="122" spans="1:4">
      <c r="A122" s="226" t="s">
        <v>78</v>
      </c>
      <c r="B122" s="265">
        <f>SUM(B117:B121)</f>
        <v>0</v>
      </c>
      <c r="C122" s="265">
        <f>SUM(C117:C121)</f>
        <v>0</v>
      </c>
      <c r="D122" s="265">
        <f>SUM(D117:D121)</f>
        <v>0</v>
      </c>
    </row>
    <row r="123" spans="1:4">
      <c r="A123" s="282"/>
      <c r="B123" s="197"/>
      <c r="C123" s="197"/>
      <c r="D123" s="197"/>
    </row>
    <row r="124" spans="1:4">
      <c r="A124" s="281" t="s">
        <v>126</v>
      </c>
      <c r="B124" s="260"/>
      <c r="C124" s="260"/>
      <c r="D124" s="260"/>
    </row>
    <row r="125" spans="1:4">
      <c r="A125" s="281" t="s">
        <v>119</v>
      </c>
      <c r="B125" s="260"/>
      <c r="C125" s="260"/>
      <c r="D125" s="260"/>
    </row>
    <row r="126" spans="1:4">
      <c r="A126" s="281" t="s">
        <v>120</v>
      </c>
      <c r="B126" s="260"/>
      <c r="C126" s="260"/>
      <c r="D126" s="260"/>
    </row>
    <row r="127" spans="1:4">
      <c r="A127" s="281" t="s">
        <v>121</v>
      </c>
      <c r="B127" s="260"/>
      <c r="C127" s="260"/>
      <c r="D127" s="260"/>
    </row>
    <row r="128" spans="1:4">
      <c r="A128" s="281"/>
      <c r="B128" s="260"/>
      <c r="C128" s="260"/>
      <c r="D128" s="260"/>
    </row>
    <row r="129" spans="1:4">
      <c r="A129" s="226" t="s">
        <v>78</v>
      </c>
      <c r="B129" s="265">
        <f>SUM(B124:B128)</f>
        <v>0</v>
      </c>
      <c r="C129" s="265">
        <f>SUM(C124:C128)</f>
        <v>0</v>
      </c>
      <c r="D129" s="348">
        <f>SUM(D124:D128)</f>
        <v>0</v>
      </c>
    </row>
    <row r="130" spans="1:4">
      <c r="A130" s="226"/>
      <c r="B130" s="197"/>
      <c r="C130" s="197"/>
      <c r="D130" s="197"/>
    </row>
    <row r="131" spans="1:4">
      <c r="A131" s="65" t="s">
        <v>406</v>
      </c>
      <c r="B131" s="349">
        <f>B81+B88+B95+B101+B108+B115+B122+B129</f>
        <v>22756</v>
      </c>
      <c r="C131" s="349">
        <f>C81+C88+C95+C101+C108+C115+C122+C129</f>
        <v>44110</v>
      </c>
      <c r="D131" s="349">
        <f>D81+D88+D95+D101+D108+D115+D122+D129</f>
        <v>32002</v>
      </c>
    </row>
    <row r="132" spans="1:4">
      <c r="A132" s="226" t="s">
        <v>405</v>
      </c>
      <c r="B132" s="265">
        <f>B65</f>
        <v>528062</v>
      </c>
      <c r="C132" s="265">
        <f>C65</f>
        <v>658310</v>
      </c>
      <c r="D132" s="265">
        <f>D65</f>
        <v>615404</v>
      </c>
    </row>
    <row r="133" spans="1:4" ht="16.5" thickBot="1">
      <c r="A133" s="226" t="s">
        <v>407</v>
      </c>
      <c r="B133" s="283">
        <f>SUM(B131:B132)</f>
        <v>550818</v>
      </c>
      <c r="C133" s="283">
        <f>SUM(C131:C132)</f>
        <v>702420</v>
      </c>
      <c r="D133" s="283">
        <f>SUM(D131:D132)</f>
        <v>647406</v>
      </c>
    </row>
    <row r="134" spans="1:4" ht="16.5" thickTop="1">
      <c r="A134" s="284" t="s">
        <v>48</v>
      </c>
      <c r="B134" s="197"/>
      <c r="C134" s="197"/>
      <c r="D134" s="197"/>
    </row>
    <row r="135" spans="1:4">
      <c r="A135" s="405" t="s">
        <v>125</v>
      </c>
      <c r="B135" s="197" t="str">
        <f>CONCATENATE("",'general page 7'!C59,"c")</f>
        <v>8c</v>
      </c>
      <c r="C135" s="197"/>
      <c r="D135" s="197"/>
    </row>
  </sheetData>
  <sheetProtection sheet="1"/>
  <phoneticPr fontId="0" type="noConversion"/>
  <pageMargins left="0.5" right="0.5" top="1" bottom="0.5" header="0.5" footer="0.5"/>
  <pageSetup scale="64" fitToHeight="2" orientation="portrait" blackAndWhite="1" horizontalDpi="300" verticalDpi="300" r:id="rId1"/>
  <headerFooter alignWithMargins="0">
    <oddHeader>&amp;RState of Kansas
City</oddHeader>
  </headerFooter>
  <rowBreaks count="3" manualBreakCount="3">
    <brk id="67" max="16383" man="1"/>
    <brk id="69" max="16383" man="1"/>
    <brk id="135" max="16383" man="1"/>
  </rowBreaks>
  <colBreaks count="3" manualBreakCount="3">
    <brk id="1" max="1048575" man="1"/>
    <brk id="2" max="1048575" man="1"/>
    <brk id="3"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B1:K98"/>
  <sheetViews>
    <sheetView zoomScaleNormal="100" workbookViewId="0">
      <selection activeCell="D68" sqref="D68"/>
    </sheetView>
  </sheetViews>
  <sheetFormatPr defaultRowHeight="15.75"/>
  <cols>
    <col min="1" max="1" width="2.44140625" style="45" customWidth="1"/>
    <col min="2" max="2" width="31.109375" style="45" customWidth="1"/>
    <col min="3" max="4" width="15.77734375" style="45" customWidth="1"/>
    <col min="5" max="5" width="16.21875" style="45" customWidth="1"/>
    <col min="6" max="6" width="7.109375" style="45" customWidth="1"/>
    <col min="7" max="7" width="10.21875" style="45" customWidth="1"/>
    <col min="8" max="8" width="8.88671875" style="45"/>
    <col min="9" max="9" width="5" style="45" customWidth="1"/>
    <col min="10" max="10" width="10" style="45" customWidth="1"/>
    <col min="11" max="16384" width="8.88671875" style="45"/>
  </cols>
  <sheetData>
    <row r="1" spans="2:5">
      <c r="B1" s="403" t="str">
        <f>inputPrYr!D2</f>
        <v>City of Garnett</v>
      </c>
      <c r="C1" s="403"/>
      <c r="D1" s="389"/>
      <c r="E1" s="397">
        <f>inputPrYr!C5</f>
        <v>2014</v>
      </c>
    </row>
    <row r="2" spans="2:5">
      <c r="B2" s="389"/>
      <c r="C2" s="389"/>
      <c r="D2" s="389"/>
      <c r="E2" s="405"/>
    </row>
    <row r="3" spans="2:5">
      <c r="B3" s="392" t="s">
        <v>173</v>
      </c>
      <c r="C3" s="392"/>
      <c r="D3" s="407"/>
      <c r="E3" s="398"/>
    </row>
    <row r="4" spans="2:5">
      <c r="B4" s="391" t="s">
        <v>106</v>
      </c>
      <c r="C4" s="715" t="s">
        <v>950</v>
      </c>
      <c r="D4" s="716" t="s">
        <v>951</v>
      </c>
      <c r="E4" s="144" t="s">
        <v>952</v>
      </c>
    </row>
    <row r="5" spans="2:5">
      <c r="B5" s="434" t="s">
        <v>47</v>
      </c>
      <c r="C5" s="225" t="str">
        <f>CONCATENATE("Actual for ",E1-2,"")</f>
        <v>Actual for 2012</v>
      </c>
      <c r="D5" s="225" t="str">
        <f>CONCATENATE("Estimate for ",E1-1,"")</f>
        <v>Estimate for 2013</v>
      </c>
      <c r="E5" s="208" t="str">
        <f>CONCATENATE("Year for ",E1,"")</f>
        <v>Year for 2014</v>
      </c>
    </row>
    <row r="6" spans="2:5">
      <c r="B6" s="399" t="s">
        <v>228</v>
      </c>
      <c r="C6" s="430">
        <v>99</v>
      </c>
      <c r="D6" s="429">
        <f>C35</f>
        <v>2255</v>
      </c>
      <c r="E6" s="400">
        <f>D35</f>
        <v>2834</v>
      </c>
    </row>
    <row r="7" spans="2:5">
      <c r="B7" s="399" t="s">
        <v>230</v>
      </c>
      <c r="C7" s="401"/>
      <c r="D7" s="429"/>
      <c r="E7" s="400"/>
    </row>
    <row r="8" spans="2:5">
      <c r="B8" s="399" t="s">
        <v>107</v>
      </c>
      <c r="C8" s="427">
        <v>79288</v>
      </c>
      <c r="D8" s="429">
        <f>IF(inputPrYr!H16,inputPrYr!G18,inputPrYr!E18)</f>
        <v>37151</v>
      </c>
      <c r="E8" s="416" t="s">
        <v>95</v>
      </c>
    </row>
    <row r="9" spans="2:5">
      <c r="B9" s="399" t="s">
        <v>108</v>
      </c>
      <c r="C9" s="427">
        <v>0</v>
      </c>
      <c r="D9" s="431"/>
      <c r="E9" s="393"/>
    </row>
    <row r="10" spans="2:5">
      <c r="B10" s="399" t="s">
        <v>109</v>
      </c>
      <c r="C10" s="427">
        <v>10057</v>
      </c>
      <c r="D10" s="431">
        <v>11332</v>
      </c>
      <c r="E10" s="400">
        <f>mvalloc!D8</f>
        <v>5172</v>
      </c>
    </row>
    <row r="11" spans="2:5">
      <c r="B11" s="399" t="s">
        <v>110</v>
      </c>
      <c r="C11" s="427">
        <v>156</v>
      </c>
      <c r="D11" s="431">
        <v>184</v>
      </c>
      <c r="E11" s="400">
        <f>mvalloc!E8</f>
        <v>79</v>
      </c>
    </row>
    <row r="12" spans="2:5">
      <c r="B12" s="402" t="s">
        <v>205</v>
      </c>
      <c r="C12" s="427">
        <v>189</v>
      </c>
      <c r="D12" s="431">
        <v>224</v>
      </c>
      <c r="E12" s="400">
        <f>mvalloc!F8</f>
        <v>85</v>
      </c>
    </row>
    <row r="13" spans="2:5">
      <c r="B13" s="418" t="s">
        <v>1022</v>
      </c>
      <c r="C13" s="427">
        <v>16035</v>
      </c>
      <c r="D13" s="431">
        <v>17500</v>
      </c>
      <c r="E13" s="393">
        <v>15030</v>
      </c>
    </row>
    <row r="14" spans="2:5">
      <c r="B14" s="418" t="s">
        <v>1023</v>
      </c>
      <c r="C14" s="427">
        <v>11410</v>
      </c>
      <c r="D14" s="431">
        <v>11000</v>
      </c>
      <c r="E14" s="393">
        <v>10500</v>
      </c>
    </row>
    <row r="15" spans="2:5">
      <c r="B15" s="418" t="s">
        <v>1024</v>
      </c>
      <c r="C15" s="427">
        <v>11410</v>
      </c>
      <c r="D15" s="431">
        <v>11000</v>
      </c>
      <c r="E15" s="393">
        <v>10500</v>
      </c>
    </row>
    <row r="16" spans="2:5">
      <c r="B16" s="418" t="s">
        <v>1060</v>
      </c>
      <c r="C16" s="427">
        <v>11410</v>
      </c>
      <c r="D16" s="431">
        <v>11000</v>
      </c>
      <c r="E16" s="393">
        <v>10500</v>
      </c>
    </row>
    <row r="17" spans="2:10">
      <c r="B17" s="418" t="s">
        <v>1025</v>
      </c>
      <c r="C17" s="427">
        <v>6224</v>
      </c>
      <c r="D17" s="431">
        <v>5998</v>
      </c>
      <c r="E17" s="393">
        <v>5773</v>
      </c>
    </row>
    <row r="18" spans="2:10">
      <c r="B18" s="413" t="s">
        <v>114</v>
      </c>
      <c r="C18" s="427"/>
      <c r="D18" s="431"/>
      <c r="E18" s="393"/>
      <c r="F18" s="388"/>
      <c r="G18" s="388"/>
      <c r="H18" s="388"/>
      <c r="I18" s="388"/>
    </row>
    <row r="19" spans="2:10">
      <c r="B19" s="399" t="s">
        <v>14</v>
      </c>
      <c r="C19" s="257">
        <v>9</v>
      </c>
      <c r="D19" s="257"/>
      <c r="E19" s="67"/>
      <c r="F19" s="388"/>
      <c r="G19" s="388"/>
      <c r="H19" s="388"/>
      <c r="I19" s="388"/>
    </row>
    <row r="20" spans="2:10">
      <c r="B20" s="399" t="s">
        <v>784</v>
      </c>
      <c r="C20" s="262" t="str">
        <f>IF(C21*0.1&lt;C19,"Exceed 10% Rule","")</f>
        <v/>
      </c>
      <c r="D20" s="262" t="str">
        <f>IF(D21*0.1&lt;D19,"Exceed 10% Rule","")</f>
        <v/>
      </c>
      <c r="E20" s="299" t="str">
        <f>IF(E21*0.1+E41&lt;E19,"Exceed 10% Rule","")</f>
        <v/>
      </c>
      <c r="F20" s="388"/>
      <c r="G20" s="388"/>
      <c r="H20" s="388"/>
      <c r="I20" s="388"/>
    </row>
    <row r="21" spans="2:10">
      <c r="B21" s="409" t="s">
        <v>115</v>
      </c>
      <c r="C21" s="432">
        <f>SUM(C8:C19)</f>
        <v>146188</v>
      </c>
      <c r="D21" s="432">
        <f>SUM(D8:D19)</f>
        <v>105389</v>
      </c>
      <c r="E21" s="419">
        <f>SUM(E9:E19)</f>
        <v>57639</v>
      </c>
      <c r="F21" s="388"/>
      <c r="G21" s="388"/>
      <c r="H21" s="388"/>
      <c r="I21" s="388"/>
    </row>
    <row r="22" spans="2:10">
      <c r="B22" s="409" t="s">
        <v>116</v>
      </c>
      <c r="C22" s="432">
        <f>SUM(C6+C21)</f>
        <v>146287</v>
      </c>
      <c r="D22" s="432">
        <f>SUM(D6+D21)</f>
        <v>107644</v>
      </c>
      <c r="E22" s="419">
        <f>SUM(E6+E21)</f>
        <v>60473</v>
      </c>
      <c r="F22" s="388"/>
      <c r="G22" s="388"/>
      <c r="H22" s="388"/>
      <c r="I22" s="388"/>
    </row>
    <row r="23" spans="2:10">
      <c r="B23" s="399" t="s">
        <v>118</v>
      </c>
      <c r="C23" s="399"/>
      <c r="D23" s="429"/>
      <c r="E23" s="400"/>
      <c r="F23" s="388"/>
      <c r="G23" s="388"/>
      <c r="H23" s="388"/>
      <c r="I23" s="388"/>
    </row>
    <row r="24" spans="2:10">
      <c r="B24" s="418" t="s">
        <v>47</v>
      </c>
      <c r="C24" s="494">
        <v>144032</v>
      </c>
      <c r="D24" s="431">
        <v>104810</v>
      </c>
      <c r="E24" s="393">
        <v>103075</v>
      </c>
      <c r="F24" s="388"/>
      <c r="G24" s="388"/>
      <c r="H24" s="388"/>
      <c r="I24" s="388"/>
    </row>
    <row r="25" spans="2:10">
      <c r="B25" s="418"/>
      <c r="C25" s="494"/>
      <c r="D25" s="431"/>
      <c r="E25" s="393"/>
      <c r="F25" s="388"/>
      <c r="G25" s="804" t="str">
        <f>CONCATENATE("Desired Carryover Into ",E1+1,"")</f>
        <v>Desired Carryover Into 2015</v>
      </c>
      <c r="H25" s="799"/>
      <c r="I25" s="799"/>
      <c r="J25" s="800"/>
    </row>
    <row r="26" spans="2:10">
      <c r="B26" s="418"/>
      <c r="C26" s="494"/>
      <c r="D26" s="431"/>
      <c r="E26" s="393"/>
      <c r="F26" s="388"/>
      <c r="G26" s="652"/>
      <c r="H26" s="653"/>
      <c r="I26" s="654"/>
      <c r="J26" s="655"/>
    </row>
    <row r="27" spans="2:10">
      <c r="B27" s="418"/>
      <c r="C27" s="494"/>
      <c r="D27" s="431"/>
      <c r="E27" s="393"/>
      <c r="F27" s="388"/>
      <c r="G27" s="656" t="s">
        <v>772</v>
      </c>
      <c r="H27" s="654"/>
      <c r="I27" s="654"/>
      <c r="J27" s="657">
        <v>0</v>
      </c>
    </row>
    <row r="28" spans="2:10">
      <c r="B28" s="418"/>
      <c r="C28" s="494"/>
      <c r="D28" s="431"/>
      <c r="E28" s="393"/>
      <c r="F28" s="388"/>
      <c r="G28" s="652" t="s">
        <v>773</v>
      </c>
      <c r="H28" s="653"/>
      <c r="I28" s="653"/>
      <c r="J28" s="658" t="str">
        <f>IF(J27=0,"",ROUND((J27+E41-G40)/inputOth!E7*1000,3)-G45)</f>
        <v/>
      </c>
    </row>
    <row r="29" spans="2:10">
      <c r="B29" s="418"/>
      <c r="C29" s="494"/>
      <c r="D29" s="431"/>
      <c r="E29" s="393"/>
      <c r="F29" s="388"/>
      <c r="G29" s="659" t="str">
        <f>CONCATENATE("",E1," Tot Exp/Non-Appr Must Be:")</f>
        <v>2014 Tot Exp/Non-Appr Must Be:</v>
      </c>
      <c r="H29" s="660"/>
      <c r="I29" s="661"/>
      <c r="J29" s="662">
        <f>IF(J27&gt;0,IF(E38&lt;E22,IF(J27=G40,E38,((J27-G40)*(1-D40))+E22),E38+(J27-G40)),0)</f>
        <v>0</v>
      </c>
    </row>
    <row r="30" spans="2:10">
      <c r="B30" s="418"/>
      <c r="C30" s="494"/>
      <c r="D30" s="431"/>
      <c r="E30" s="393"/>
      <c r="F30" s="388"/>
      <c r="G30" s="663" t="s">
        <v>892</v>
      </c>
      <c r="H30" s="664"/>
      <c r="I30" s="664"/>
      <c r="J30" s="665">
        <f>IF(J27&gt;0,J29-E38,0)</f>
        <v>0</v>
      </c>
    </row>
    <row r="31" spans="2:10">
      <c r="B31" s="415" t="s">
        <v>13</v>
      </c>
      <c r="C31" s="494"/>
      <c r="D31" s="431"/>
      <c r="E31" s="400">
        <f>nhood!E7</f>
        <v>585</v>
      </c>
      <c r="F31" s="388"/>
      <c r="G31" s="388"/>
      <c r="H31" s="388"/>
      <c r="I31" s="388"/>
    </row>
    <row r="32" spans="2:10">
      <c r="B32" s="415" t="s">
        <v>14</v>
      </c>
      <c r="C32" s="494"/>
      <c r="D32" s="431"/>
      <c r="E32" s="393"/>
      <c r="F32" s="388"/>
      <c r="G32" s="803" t="str">
        <f>CONCATENATE("Projected Carryover Into ",E1+1,"")</f>
        <v>Projected Carryover Into 2015</v>
      </c>
      <c r="H32" s="799"/>
      <c r="I32" s="799"/>
      <c r="J32" s="800"/>
    </row>
    <row r="33" spans="2:10">
      <c r="B33" s="415" t="s">
        <v>786</v>
      </c>
      <c r="C33" s="262" t="str">
        <f>IF(C34*0.1&lt;C32,"Exceed 10% Rule","")</f>
        <v/>
      </c>
      <c r="D33" s="262" t="str">
        <f>IF(D34*0.1&lt;D32,"Exceed 10% Rule","")</f>
        <v/>
      </c>
      <c r="E33" s="299" t="str">
        <f>IF(E34*0.1&lt;E32,"Exceed 10% Rule","")</f>
        <v/>
      </c>
      <c r="F33" s="388"/>
      <c r="G33" s="420"/>
      <c r="H33" s="538"/>
      <c r="I33" s="538"/>
      <c r="J33" s="648"/>
    </row>
    <row r="34" spans="2:10">
      <c r="B34" s="409" t="s">
        <v>122</v>
      </c>
      <c r="C34" s="428">
        <f>SUM(C24:C32)</f>
        <v>144032</v>
      </c>
      <c r="D34" s="428">
        <f>SUM(D24:D32)</f>
        <v>104810</v>
      </c>
      <c r="E34" s="414">
        <f>SUM(E24:E32)</f>
        <v>103660</v>
      </c>
      <c r="F34" s="388"/>
      <c r="G34" s="424">
        <f>D35</f>
        <v>2834</v>
      </c>
      <c r="H34" s="426" t="str">
        <f>CONCATENATE("",E1-1," Ending Cash Balance (est.)")</f>
        <v>2013 Ending Cash Balance (est.)</v>
      </c>
      <c r="I34" s="421"/>
      <c r="J34" s="648"/>
    </row>
    <row r="35" spans="2:10">
      <c r="B35" s="399" t="s">
        <v>229</v>
      </c>
      <c r="C35" s="433">
        <f>SUM(C22-C34)</f>
        <v>2255</v>
      </c>
      <c r="D35" s="433">
        <f>SUM(D22-D34)</f>
        <v>2834</v>
      </c>
      <c r="E35" s="416" t="s">
        <v>95</v>
      </c>
      <c r="F35" s="388"/>
      <c r="G35" s="424">
        <f>E21</f>
        <v>57639</v>
      </c>
      <c r="H35" s="425" t="str">
        <f>CONCATENATE("",E1," Non-AV Receipts (est.)")</f>
        <v>2014 Non-AV Receipts (est.)</v>
      </c>
      <c r="I35" s="538"/>
      <c r="J35" s="648"/>
    </row>
    <row r="36" spans="2:10">
      <c r="B36" s="404" t="str">
        <f>CONCATENATE("",E1-2,"/",E1-1," Budget Authority Amount:")</f>
        <v>2012/2013 Budget Authority Amount:</v>
      </c>
      <c r="C36" s="406">
        <f>inputOth!B61</f>
        <v>149016</v>
      </c>
      <c r="D36" s="410">
        <f>inputPrYr!D18</f>
        <v>107310</v>
      </c>
      <c r="E36" s="416" t="s">
        <v>95</v>
      </c>
      <c r="F36" s="411"/>
      <c r="G36" s="423">
        <f>IF(E40&gt;0,E39,E41)</f>
        <v>43187</v>
      </c>
      <c r="H36" s="425" t="str">
        <f>CONCATENATE("",E1," Ad Valorem Tax (est.)")</f>
        <v>2014 Ad Valorem Tax (est.)</v>
      </c>
      <c r="I36" s="538"/>
      <c r="J36" s="648"/>
    </row>
    <row r="37" spans="2:10">
      <c r="B37" s="404"/>
      <c r="C37" s="793" t="s">
        <v>671</v>
      </c>
      <c r="D37" s="794"/>
      <c r="E37" s="67"/>
      <c r="F37" s="439" t="str">
        <f>IF(E34/0.95-E34&lt;E37,"Exceeds 5%","")</f>
        <v/>
      </c>
      <c r="G37" s="424">
        <f>SUM(G34:G36)</f>
        <v>103660</v>
      </c>
      <c r="H37" s="425" t="str">
        <f>CONCATENATE("Total ",E1," Resources Available")</f>
        <v>Total 2014 Resources Available</v>
      </c>
      <c r="I37" s="421"/>
      <c r="J37" s="648"/>
    </row>
    <row r="38" spans="2:10">
      <c r="B38" s="531" t="str">
        <f>CONCATENATE(C94,"     ",D94)</f>
        <v xml:space="preserve">     </v>
      </c>
      <c r="C38" s="795" t="s">
        <v>672</v>
      </c>
      <c r="D38" s="796"/>
      <c r="E38" s="400">
        <f>SUM(E34+E37)</f>
        <v>103660</v>
      </c>
      <c r="F38" s="388"/>
      <c r="G38" s="422"/>
      <c r="H38" s="425"/>
      <c r="I38" s="538"/>
      <c r="J38" s="648"/>
    </row>
    <row r="39" spans="2:10">
      <c r="B39" s="531" t="str">
        <f>CONCATENATE(C95,"     ",D95)</f>
        <v xml:space="preserve">     </v>
      </c>
      <c r="C39" s="412"/>
      <c r="D39" s="405" t="s">
        <v>123</v>
      </c>
      <c r="E39" s="394">
        <f>IF(E38-E22&gt;0,E38-E22,0)</f>
        <v>43187</v>
      </c>
      <c r="F39" s="388"/>
      <c r="G39" s="423">
        <f>C34</f>
        <v>144032</v>
      </c>
      <c r="H39" s="425" t="str">
        <f>CONCATENATE("Less ",E1-2," Expenditures")</f>
        <v>Less 2012 Expenditures</v>
      </c>
      <c r="I39" s="538"/>
      <c r="J39" s="648"/>
    </row>
    <row r="40" spans="2:10">
      <c r="B40" s="405"/>
      <c r="C40" s="387" t="s">
        <v>670</v>
      </c>
      <c r="D40" s="729">
        <f>inputOth!$E$47</f>
        <v>0</v>
      </c>
      <c r="E40" s="400">
        <f>ROUND(IF(D40&gt;0,(E39*D40),0),0)</f>
        <v>0</v>
      </c>
      <c r="F40" s="388"/>
      <c r="G40" s="645">
        <f>SUM(G37-G39)</f>
        <v>-40372</v>
      </c>
      <c r="H40" s="646" t="str">
        <f>CONCATENATE("Projected ",E1+1," carryover (est.)")</f>
        <v>Projected 2015 carryover (est.)</v>
      </c>
      <c r="I40" s="647"/>
      <c r="J40" s="633"/>
    </row>
    <row r="41" spans="2:10" ht="16.5" thickBot="1">
      <c r="B41" s="389"/>
      <c r="C41" s="801" t="str">
        <f>CONCATENATE("Amount of  ",E1-1," Ad Valorem Tax")</f>
        <v>Amount of  2013 Ad Valorem Tax</v>
      </c>
      <c r="D41" s="802"/>
      <c r="E41" s="649">
        <f>SUM(E39:E40)</f>
        <v>43187</v>
      </c>
      <c r="F41" s="388"/>
    </row>
    <row r="42" spans="2:10" ht="16.5" thickTop="1">
      <c r="B42" s="389"/>
      <c r="C42" s="608"/>
      <c r="D42" s="395"/>
      <c r="E42" s="395"/>
      <c r="F42" s="388"/>
      <c r="G42" s="787" t="s">
        <v>891</v>
      </c>
      <c r="H42" s="788"/>
      <c r="I42" s="788"/>
      <c r="J42" s="789"/>
    </row>
    <row r="43" spans="2:10">
      <c r="B43" s="391"/>
      <c r="C43" s="391"/>
      <c r="D43" s="407"/>
      <c r="E43" s="407"/>
      <c r="F43" s="388"/>
      <c r="G43" s="634"/>
      <c r="H43" s="635"/>
      <c r="I43" s="636"/>
      <c r="J43" s="637"/>
    </row>
    <row r="44" spans="2:10">
      <c r="B44" s="391" t="s">
        <v>106</v>
      </c>
      <c r="C44" s="715" t="s">
        <v>950</v>
      </c>
      <c r="D44" s="716" t="s">
        <v>951</v>
      </c>
      <c r="E44" s="144" t="s">
        <v>952</v>
      </c>
      <c r="F44" s="388"/>
      <c r="G44" s="638">
        <f>summ!H16</f>
        <v>2.4249999999999998</v>
      </c>
      <c r="H44" s="635" t="str">
        <f>CONCATENATE("",E1," Fund Mill Rate")</f>
        <v>2014 Fund Mill Rate</v>
      </c>
      <c r="I44" s="636"/>
      <c r="J44" s="637"/>
    </row>
    <row r="45" spans="2:10">
      <c r="B45" s="435" t="str">
        <f>inputPrYr!B19</f>
        <v>Library</v>
      </c>
      <c r="C45" s="225" t="str">
        <f>CONCATENATE("Actual for ",E1-2,"")</f>
        <v>Actual for 2012</v>
      </c>
      <c r="D45" s="225" t="str">
        <f>CONCATENATE("Estimate for ",E1-1,"")</f>
        <v>Estimate for 2013</v>
      </c>
      <c r="E45" s="208" t="str">
        <f>CONCATENATE("Year for ",E1,"")</f>
        <v>Year for 2014</v>
      </c>
      <c r="F45" s="388"/>
      <c r="G45" s="639">
        <f>summ!E16</f>
        <v>2.0579999999999998</v>
      </c>
      <c r="H45" s="635" t="str">
        <f>CONCATENATE("",E1-1," Fund Mill Rate")</f>
        <v>2013 Fund Mill Rate</v>
      </c>
      <c r="I45" s="636"/>
      <c r="J45" s="637"/>
    </row>
    <row r="46" spans="2:10">
      <c r="B46" s="399" t="s">
        <v>228</v>
      </c>
      <c r="C46" s="427">
        <v>25384</v>
      </c>
      <c r="D46" s="429">
        <f>C75</f>
        <v>19939</v>
      </c>
      <c r="E46" s="400">
        <f>D75</f>
        <v>11329</v>
      </c>
      <c r="F46" s="388"/>
      <c r="G46" s="640">
        <f>summ!H52</f>
        <v>42.765000000000001</v>
      </c>
      <c r="H46" s="635" t="str">
        <f>CONCATENATE("Total ",E1," Mill Rate")</f>
        <v>Total 2014 Mill Rate</v>
      </c>
      <c r="I46" s="636"/>
      <c r="J46" s="637"/>
    </row>
    <row r="47" spans="2:10">
      <c r="B47" s="408" t="s">
        <v>230</v>
      </c>
      <c r="C47" s="399"/>
      <c r="D47" s="429"/>
      <c r="E47" s="400"/>
      <c r="F47" s="388"/>
      <c r="G47" s="639">
        <f>summ!E52</f>
        <v>42.893999999999998</v>
      </c>
      <c r="H47" s="641" t="str">
        <f>CONCATENATE("Total ",E1-1," Mill Rate")</f>
        <v>Total 2013 Mill Rate</v>
      </c>
      <c r="I47" s="642"/>
      <c r="J47" s="643"/>
    </row>
    <row r="48" spans="2:10">
      <c r="B48" s="399" t="s">
        <v>107</v>
      </c>
      <c r="C48" s="427">
        <v>96679</v>
      </c>
      <c r="D48" s="429">
        <f>IF(inputPrYr!H16,inputPrYr!G19,inputPrYr!E19)</f>
        <v>102263</v>
      </c>
      <c r="E48" s="416" t="s">
        <v>95</v>
      </c>
      <c r="F48" s="388"/>
      <c r="G48" s="388"/>
      <c r="H48" s="388"/>
      <c r="I48" s="388"/>
    </row>
    <row r="49" spans="2:9">
      <c r="B49" s="399" t="s">
        <v>108</v>
      </c>
      <c r="C49" s="427"/>
      <c r="D49" s="431"/>
      <c r="E49" s="393"/>
      <c r="F49" s="388"/>
      <c r="G49" s="388"/>
      <c r="H49" s="388"/>
      <c r="I49" s="388"/>
    </row>
    <row r="50" spans="2:9">
      <c r="B50" s="399" t="s">
        <v>109</v>
      </c>
      <c r="C50" s="427">
        <v>13692</v>
      </c>
      <c r="D50" s="431">
        <v>13764</v>
      </c>
      <c r="E50" s="400">
        <f>mvalloc!D9</f>
        <v>14238</v>
      </c>
      <c r="F50" s="388"/>
      <c r="G50" s="388"/>
      <c r="H50" s="388"/>
      <c r="I50" s="388"/>
    </row>
    <row r="51" spans="2:9">
      <c r="B51" s="399" t="s">
        <v>110</v>
      </c>
      <c r="C51" s="427">
        <v>212</v>
      </c>
      <c r="D51" s="431">
        <v>223</v>
      </c>
      <c r="E51" s="400">
        <f>mvalloc!E9</f>
        <v>216</v>
      </c>
      <c r="F51" s="388"/>
      <c r="G51" s="388"/>
      <c r="H51" s="388"/>
      <c r="I51" s="388"/>
    </row>
    <row r="52" spans="2:9">
      <c r="B52" s="402" t="s">
        <v>205</v>
      </c>
      <c r="C52" s="427">
        <v>305</v>
      </c>
      <c r="D52" s="431">
        <v>272</v>
      </c>
      <c r="E52" s="400">
        <f>mvalloc!F9</f>
        <v>233</v>
      </c>
    </row>
    <row r="53" spans="2:9">
      <c r="B53" s="393" t="s">
        <v>1103</v>
      </c>
      <c r="C53" s="427">
        <v>4493</v>
      </c>
      <c r="D53" s="431">
        <v>2500</v>
      </c>
      <c r="E53" s="393">
        <v>2500</v>
      </c>
    </row>
    <row r="54" spans="2:9">
      <c r="B54" s="393"/>
      <c r="C54" s="427"/>
      <c r="D54" s="431"/>
      <c r="E54" s="393"/>
    </row>
    <row r="55" spans="2:9">
      <c r="B55" s="393"/>
      <c r="C55" s="427"/>
      <c r="D55" s="431"/>
      <c r="E55" s="393"/>
    </row>
    <row r="56" spans="2:9">
      <c r="B56" s="418"/>
      <c r="C56" s="427"/>
      <c r="D56" s="431"/>
      <c r="E56" s="393"/>
    </row>
    <row r="57" spans="2:9">
      <c r="B57" s="418"/>
      <c r="C57" s="427"/>
      <c r="D57" s="431"/>
      <c r="E57" s="393"/>
    </row>
    <row r="58" spans="2:9">
      <c r="B58" s="413" t="s">
        <v>114</v>
      </c>
      <c r="C58" s="427"/>
      <c r="D58" s="431"/>
      <c r="E58" s="393"/>
    </row>
    <row r="59" spans="2:9">
      <c r="B59" s="399" t="s">
        <v>14</v>
      </c>
      <c r="C59" s="427">
        <v>5894</v>
      </c>
      <c r="D59" s="257">
        <v>6000</v>
      </c>
      <c r="E59" s="67">
        <v>6000</v>
      </c>
    </row>
    <row r="60" spans="2:9">
      <c r="B60" s="399" t="s">
        <v>784</v>
      </c>
      <c r="C60" s="262" t="str">
        <f>IF(C61*0.1&lt;C59,"Exceed 10% rule","")</f>
        <v/>
      </c>
      <c r="D60" s="262" t="str">
        <f>IF(D61*0.1&lt;D59,"Exceed 10% Rule","")</f>
        <v/>
      </c>
      <c r="E60" s="299" t="str">
        <f>IF(E61*0.1+E81&lt;E59,"Exceed 10% Rule","")</f>
        <v/>
      </c>
    </row>
    <row r="61" spans="2:9">
      <c r="B61" s="409" t="s">
        <v>115</v>
      </c>
      <c r="C61" s="428">
        <f>SUM(C48:C59)</f>
        <v>121275</v>
      </c>
      <c r="D61" s="428">
        <f>SUM(D48:D59)</f>
        <v>125022</v>
      </c>
      <c r="E61" s="414">
        <f>SUM(E49:E59)</f>
        <v>23187</v>
      </c>
    </row>
    <row r="62" spans="2:9">
      <c r="B62" s="409" t="s">
        <v>116</v>
      </c>
      <c r="C62" s="428">
        <f>SUM(C46+C61)</f>
        <v>146659</v>
      </c>
      <c r="D62" s="428">
        <f>SUM(D46+D61)</f>
        <v>144961</v>
      </c>
      <c r="E62" s="414">
        <f>SUM(E46+E61)</f>
        <v>34516</v>
      </c>
    </row>
    <row r="63" spans="2:9">
      <c r="B63" s="399" t="s">
        <v>118</v>
      </c>
      <c r="C63" s="399"/>
      <c r="D63" s="429"/>
      <c r="E63" s="400"/>
    </row>
    <row r="64" spans="2:9">
      <c r="B64" s="418" t="s">
        <v>1055</v>
      </c>
      <c r="C64" s="427">
        <v>94756</v>
      </c>
      <c r="D64" s="431">
        <v>97982</v>
      </c>
      <c r="E64" s="393">
        <v>102050</v>
      </c>
    </row>
    <row r="65" spans="2:11">
      <c r="B65" s="418" t="s">
        <v>1014</v>
      </c>
      <c r="C65" s="427">
        <v>12545</v>
      </c>
      <c r="D65" s="431">
        <v>13250</v>
      </c>
      <c r="E65" s="393">
        <v>14295</v>
      </c>
      <c r="F65" s="2"/>
      <c r="G65" s="804" t="str">
        <f>CONCATENATE("Desired Carryover Into ",E1+1,"")</f>
        <v>Desired Carryover Into 2015</v>
      </c>
      <c r="H65" s="799"/>
      <c r="I65" s="799"/>
      <c r="J65" s="800"/>
    </row>
    <row r="66" spans="2:11">
      <c r="B66" s="418" t="s">
        <v>1015</v>
      </c>
      <c r="C66" s="427">
        <v>17104</v>
      </c>
      <c r="D66" s="431">
        <v>19640</v>
      </c>
      <c r="E66" s="393">
        <v>19672</v>
      </c>
      <c r="F66" s="2"/>
      <c r="G66" s="652"/>
      <c r="H66" s="653"/>
      <c r="I66" s="654"/>
      <c r="J66" s="655"/>
    </row>
    <row r="67" spans="2:11">
      <c r="B67" s="418" t="s">
        <v>1016</v>
      </c>
      <c r="C67" s="427">
        <v>2315</v>
      </c>
      <c r="D67" s="431">
        <v>2760</v>
      </c>
      <c r="E67" s="393">
        <v>4800</v>
      </c>
      <c r="F67" s="2"/>
      <c r="G67" s="656" t="s">
        <v>772</v>
      </c>
      <c r="H67" s="654"/>
      <c r="I67" s="654"/>
      <c r="J67" s="657">
        <v>0</v>
      </c>
    </row>
    <row r="68" spans="2:11">
      <c r="B68" s="418"/>
      <c r="C68" s="427"/>
      <c r="D68" s="431"/>
      <c r="E68" s="393"/>
      <c r="F68" s="2"/>
      <c r="G68" s="652" t="s">
        <v>773</v>
      </c>
      <c r="H68" s="653"/>
      <c r="I68" s="653"/>
      <c r="J68" s="658" t="str">
        <f>IF(J67=0,"",ROUND((J67+E81-G80)/inputOth!E7*1000,3)-G85)</f>
        <v/>
      </c>
    </row>
    <row r="69" spans="2:11">
      <c r="B69" s="418"/>
      <c r="C69" s="427"/>
      <c r="D69" s="431"/>
      <c r="E69" s="393"/>
      <c r="F69" s="2"/>
      <c r="G69" s="659" t="str">
        <f>CONCATENATE("",E1," Tot Exp/Non-Appr Must Be:")</f>
        <v>2014 Tot Exp/Non-Appr Must Be:</v>
      </c>
      <c r="H69" s="660"/>
      <c r="I69" s="661"/>
      <c r="J69" s="662">
        <f>IF(J67&gt;0,IF(E78&lt;E62,IF(J67=G80,E78,((J67-G80)*(1-D80))+E62),E78+(J67-G80)),0)</f>
        <v>0</v>
      </c>
    </row>
    <row r="70" spans="2:11">
      <c r="B70" s="418"/>
      <c r="C70" s="427"/>
      <c r="D70" s="431"/>
      <c r="E70" s="393"/>
      <c r="F70" s="2"/>
      <c r="G70" s="663" t="s">
        <v>892</v>
      </c>
      <c r="H70" s="664"/>
      <c r="I70" s="664"/>
      <c r="J70" s="665">
        <f>IF(J67&gt;0,J69-E78,0)</f>
        <v>0</v>
      </c>
    </row>
    <row r="71" spans="2:11">
      <c r="B71" s="402" t="s">
        <v>13</v>
      </c>
      <c r="C71" s="427"/>
      <c r="D71" s="431"/>
      <c r="E71" s="400">
        <f>nhood!E8</f>
        <v>1609</v>
      </c>
      <c r="F71"/>
      <c r="G71" s="2"/>
      <c r="H71" s="2"/>
      <c r="I71" s="2"/>
      <c r="J71" s="2"/>
    </row>
    <row r="72" spans="2:11">
      <c r="B72" s="402" t="s">
        <v>14</v>
      </c>
      <c r="C72" s="494"/>
      <c r="D72" s="431"/>
      <c r="E72" s="393"/>
      <c r="F72"/>
      <c r="G72" s="804" t="str">
        <f>CONCATENATE("Projected Carryover Into ",E1+1,"")</f>
        <v>Projected Carryover Into 2015</v>
      </c>
      <c r="H72" s="805"/>
      <c r="I72" s="805"/>
      <c r="J72" s="806"/>
    </row>
    <row r="73" spans="2:11">
      <c r="B73" s="402" t="s">
        <v>785</v>
      </c>
      <c r="C73" s="262" t="str">
        <f>IF(C74*0.1&lt;C72,"Exceed 10% Rule","")</f>
        <v/>
      </c>
      <c r="D73" s="262" t="str">
        <f>IF(D74*0.1&lt;D72,"Exceed 10% Rule","")</f>
        <v/>
      </c>
      <c r="E73" s="299" t="str">
        <f>IF(E74*0.1&lt;E72,"Exceed 10% Rule","")</f>
        <v/>
      </c>
      <c r="F73"/>
      <c r="G73" s="666"/>
      <c r="H73" s="653"/>
      <c r="I73" s="653"/>
      <c r="J73" s="667"/>
    </row>
    <row r="74" spans="2:11">
      <c r="B74" s="409" t="s">
        <v>122</v>
      </c>
      <c r="C74" s="428">
        <f>SUM(C64:C72)</f>
        <v>126720</v>
      </c>
      <c r="D74" s="428">
        <f>SUM(D64:D72)</f>
        <v>133632</v>
      </c>
      <c r="E74" s="414">
        <f>SUM(E64:E72)</f>
        <v>142426</v>
      </c>
      <c r="F74"/>
      <c r="G74" s="668">
        <f>D75</f>
        <v>11329</v>
      </c>
      <c r="H74" s="635" t="str">
        <f>CONCATENATE("",E1-1," Ending Cash Balance (est.)")</f>
        <v>2013 Ending Cash Balance (est.)</v>
      </c>
      <c r="I74" s="669"/>
      <c r="J74" s="667"/>
    </row>
    <row r="75" spans="2:11">
      <c r="B75" s="399" t="s">
        <v>229</v>
      </c>
      <c r="C75" s="433">
        <f>SUM(C62-C74)</f>
        <v>19939</v>
      </c>
      <c r="D75" s="433">
        <f>SUM(D62-D74)</f>
        <v>11329</v>
      </c>
      <c r="E75" s="416" t="s">
        <v>95</v>
      </c>
      <c r="F75"/>
      <c r="G75" s="668">
        <f>E61</f>
        <v>23187</v>
      </c>
      <c r="H75" s="654" t="str">
        <f>CONCATENATE("",E1," Non-AV Receipts (est.)")</f>
        <v>2014 Non-AV Receipts (est.)</v>
      </c>
      <c r="I75" s="669"/>
      <c r="J75" s="667"/>
    </row>
    <row r="76" spans="2:11">
      <c r="B76" s="404" t="str">
        <f>CONCATENATE("",E1-2,"/",E1-1," Budget Authority Amount:")</f>
        <v>2012/2013 Budget Authority Amount:</v>
      </c>
      <c r="C76" s="406">
        <f>inputOth!B62</f>
        <v>137976</v>
      </c>
      <c r="D76" s="406">
        <f>inputPrYr!D19</f>
        <v>135390</v>
      </c>
      <c r="E76" s="416" t="s">
        <v>95</v>
      </c>
      <c r="F76" s="276"/>
      <c r="G76" s="670">
        <f>IF(E80&gt;0,E79,E81)</f>
        <v>107910</v>
      </c>
      <c r="H76" s="654" t="str">
        <f>CONCATENATE("",E1," Ad Valorem Tax (est.)")</f>
        <v>2014 Ad Valorem Tax (est.)</v>
      </c>
      <c r="I76" s="669"/>
      <c r="J76" s="667"/>
      <c r="K76" s="644" t="str">
        <f>IF(G76=E81,"","Note: Does not include Delinquent Taxes")</f>
        <v/>
      </c>
    </row>
    <row r="77" spans="2:11">
      <c r="B77" s="404"/>
      <c r="C77" s="793" t="s">
        <v>671</v>
      </c>
      <c r="D77" s="794"/>
      <c r="E77" s="67"/>
      <c r="F77" s="671" t="str">
        <f>IF(E74/0.95-E74&lt;E77,"Exceeds 5%","")</f>
        <v/>
      </c>
      <c r="G77" s="672">
        <f>SUM(G74:G76)</f>
        <v>142426</v>
      </c>
      <c r="H77" s="654" t="str">
        <f>CONCATENATE("Total ",E1," Resources Available")</f>
        <v>Total 2014 Resources Available</v>
      </c>
      <c r="I77" s="673"/>
      <c r="J77" s="667"/>
    </row>
    <row r="78" spans="2:11">
      <c r="B78" s="531" t="str">
        <f>CONCATENATE(C96,"     ",D96)</f>
        <v xml:space="preserve">     </v>
      </c>
      <c r="C78" s="795" t="s">
        <v>672</v>
      </c>
      <c r="D78" s="796"/>
      <c r="E78" s="400">
        <f>SUM(E74+E77)</f>
        <v>142426</v>
      </c>
      <c r="F78"/>
      <c r="G78" s="674"/>
      <c r="H78" s="675"/>
      <c r="I78" s="653"/>
      <c r="J78" s="667"/>
    </row>
    <row r="79" spans="2:11">
      <c r="B79" s="531" t="str">
        <f>CONCATENATE(C97,"     ",D97)</f>
        <v xml:space="preserve">     </v>
      </c>
      <c r="C79" s="412"/>
      <c r="D79" s="405" t="s">
        <v>123</v>
      </c>
      <c r="E79" s="394">
        <f>IF(E78-E62&gt;0,E78-E62,0)</f>
        <v>107910</v>
      </c>
      <c r="F79"/>
      <c r="G79" s="676">
        <f>ROUND(C74*0.05+C74,0)</f>
        <v>133056</v>
      </c>
      <c r="H79" s="675" t="str">
        <f>CONCATENATE("Less ",E1-2," Expenditures + 5%")</f>
        <v>Less 2012 Expenditures + 5%</v>
      </c>
      <c r="I79" s="673"/>
      <c r="J79" s="667"/>
    </row>
    <row r="80" spans="2:11">
      <c r="B80" s="405"/>
      <c r="C80" s="387" t="s">
        <v>670</v>
      </c>
      <c r="D80" s="729">
        <f>inputOth!$E$47</f>
        <v>0</v>
      </c>
      <c r="E80" s="400">
        <f>ROUND(IF(D80&gt;0,(E79*D80),0),0)</f>
        <v>0</v>
      </c>
      <c r="F80"/>
      <c r="G80" s="677">
        <f>G77-G79</f>
        <v>9370</v>
      </c>
      <c r="H80" s="678" t="str">
        <f>CONCATENATE("Projected ",E1+1," carryover (est.)")</f>
        <v>Projected 2015 carryover (est.)</v>
      </c>
      <c r="I80" s="679"/>
      <c r="J80" s="680"/>
    </row>
    <row r="81" spans="2:10" ht="16.5" thickBot="1">
      <c r="B81" s="389"/>
      <c r="C81" s="801" t="str">
        <f>CONCATENATE("Amount of  ",E1-1," Ad Valorem Tax")</f>
        <v>Amount of  2013 Ad Valorem Tax</v>
      </c>
      <c r="D81" s="802"/>
      <c r="E81" s="649">
        <f>SUM(E79:E80)</f>
        <v>107910</v>
      </c>
      <c r="F81" s="681" t="str">
        <f>IF('Library Grant'!F33="","",IF('Library Grant'!F33="Qualify","Qualifies for State Library Grant","See 'Library Grant' tab"))</f>
        <v>Qualifies for State Library Grant</v>
      </c>
      <c r="G81" s="2"/>
      <c r="H81" s="2"/>
      <c r="I81" s="2"/>
      <c r="J81" s="2"/>
    </row>
    <row r="82" spans="2:10" ht="16.5" thickTop="1">
      <c r="B82" s="405" t="s">
        <v>125</v>
      </c>
      <c r="C82" s="417">
        <v>9</v>
      </c>
      <c r="D82" s="395"/>
      <c r="E82" s="389"/>
      <c r="F82"/>
      <c r="G82" s="787" t="s">
        <v>891</v>
      </c>
      <c r="H82" s="788"/>
      <c r="I82" s="788"/>
      <c r="J82" s="789"/>
    </row>
    <row r="83" spans="2:10">
      <c r="F83" s="2"/>
      <c r="G83" s="634"/>
      <c r="H83" s="635"/>
      <c r="I83" s="636"/>
      <c r="J83" s="637"/>
    </row>
    <row r="84" spans="2:10">
      <c r="B84" s="396"/>
      <c r="C84" s="396"/>
      <c r="D84" s="388"/>
      <c r="E84" s="388"/>
      <c r="F84"/>
      <c r="G84" s="638">
        <f>summ!H17</f>
        <v>6.06</v>
      </c>
      <c r="H84" s="635" t="str">
        <f>CONCATENATE("",E1," Fund Mill Rate")</f>
        <v>2014 Fund Mill Rate</v>
      </c>
      <c r="I84" s="636"/>
      <c r="J84" s="637"/>
    </row>
    <row r="85" spans="2:10">
      <c r="F85" s="2"/>
      <c r="G85" s="639">
        <f>summ!E17</f>
        <v>5.665</v>
      </c>
      <c r="H85" s="635" t="str">
        <f>CONCATENATE("",E1-1," Fund Mill Rate")</f>
        <v>2013 Fund Mill Rate</v>
      </c>
      <c r="I85" s="636"/>
      <c r="J85" s="637"/>
    </row>
    <row r="86" spans="2:10">
      <c r="F86" s="2"/>
      <c r="G86" s="640">
        <f>summ!H52</f>
        <v>42.765000000000001</v>
      </c>
      <c r="H86" s="635" t="str">
        <f>CONCATENATE("Total ",E1," Mill Rate")</f>
        <v>Total 2014 Mill Rate</v>
      </c>
      <c r="I86" s="636"/>
      <c r="J86" s="637"/>
    </row>
    <row r="87" spans="2:10">
      <c r="F87" s="2"/>
      <c r="G87" s="639">
        <f>summ!E52</f>
        <v>42.893999999999998</v>
      </c>
      <c r="H87" s="641" t="str">
        <f>CONCATENATE("Total ",E1-1," Mill Rate")</f>
        <v>Total 2013 Mill Rate</v>
      </c>
      <c r="I87" s="642"/>
      <c r="J87" s="643"/>
    </row>
    <row r="89" spans="2:10">
      <c r="C89" s="390" t="s">
        <v>674</v>
      </c>
      <c r="D89" s="390" t="s">
        <v>674</v>
      </c>
    </row>
    <row r="90" spans="2:10">
      <c r="C90" s="390" t="s">
        <v>674</v>
      </c>
      <c r="D90" s="390" t="s">
        <v>674</v>
      </c>
    </row>
    <row r="92" spans="2:10">
      <c r="C92" s="390" t="s">
        <v>674</v>
      </c>
      <c r="D92" s="390" t="s">
        <v>674</v>
      </c>
    </row>
    <row r="93" spans="2:10" ht="9" customHeight="1">
      <c r="C93" s="390" t="s">
        <v>674</v>
      </c>
      <c r="D93" s="390" t="s">
        <v>674</v>
      </c>
    </row>
    <row r="94" spans="2:10" ht="18.75" customHeight="1">
      <c r="C94" s="530" t="str">
        <f>IF(C34&gt;C36,"See Tab A","")</f>
        <v/>
      </c>
      <c r="D94" s="530" t="str">
        <f>IF(D34&gt;D36,"See Tab C","")</f>
        <v/>
      </c>
    </row>
    <row r="95" spans="2:10" ht="17.25" customHeight="1">
      <c r="C95" s="530" t="str">
        <f>IF(C35&lt;0,"See Tab B","")</f>
        <v/>
      </c>
      <c r="D95" s="530" t="str">
        <f>IF(D35&lt;0,"See Tab D","")</f>
        <v/>
      </c>
    </row>
    <row r="96" spans="2:10" ht="15" customHeight="1">
      <c r="C96" s="530" t="str">
        <f>IF(C74&gt;C76,"See Tab A","")</f>
        <v/>
      </c>
      <c r="D96" s="530" t="str">
        <f>IF(D74&gt;D76,"See Tab C","")</f>
        <v/>
      </c>
    </row>
    <row r="97" spans="3:4" ht="12.75" customHeight="1">
      <c r="C97" s="530" t="str">
        <f>IF(C75&lt;0,"See Tab B","")</f>
        <v/>
      </c>
      <c r="D97" s="530" t="str">
        <f>IF(D75&lt;0,"See Tab D","")</f>
        <v/>
      </c>
    </row>
    <row r="98" spans="3:4" ht="24.75" customHeight="1"/>
  </sheetData>
  <mergeCells count="12">
    <mergeCell ref="G32:J32"/>
    <mergeCell ref="G25:J25"/>
    <mergeCell ref="G42:J42"/>
    <mergeCell ref="G65:J65"/>
    <mergeCell ref="G72:J72"/>
    <mergeCell ref="G82:J82"/>
    <mergeCell ref="C81:D81"/>
    <mergeCell ref="C77:D77"/>
    <mergeCell ref="C78:D78"/>
    <mergeCell ref="C37:D37"/>
    <mergeCell ref="C38:D38"/>
    <mergeCell ref="C41:D41"/>
  </mergeCells>
  <phoneticPr fontId="9" type="noConversion"/>
  <conditionalFormatting sqref="C59">
    <cfRule type="cellIs" dxfId="306" priority="22" stopIfTrue="1" operator="greaterThan">
      <formula>$C$61*0.1</formula>
    </cfRule>
  </conditionalFormatting>
  <conditionalFormatting sqref="D59 D19">
    <cfRule type="cellIs" dxfId="305" priority="21" stopIfTrue="1" operator="greaterThan">
      <formula>$D$21*0.1</formula>
    </cfRule>
  </conditionalFormatting>
  <conditionalFormatting sqref="E59">
    <cfRule type="cellIs" dxfId="304" priority="20" stopIfTrue="1" operator="greaterThan">
      <formula>$E$21*0.1+E81</formula>
    </cfRule>
  </conditionalFormatting>
  <conditionalFormatting sqref="C72">
    <cfRule type="cellIs" dxfId="303" priority="19" stopIfTrue="1" operator="greaterThan">
      <formula>$C$74*0.1</formula>
    </cfRule>
  </conditionalFormatting>
  <conditionalFormatting sqref="D72">
    <cfRule type="cellIs" dxfId="302" priority="18" stopIfTrue="1" operator="greaterThan">
      <formula>$D$74*0.1</formula>
    </cfRule>
  </conditionalFormatting>
  <conditionalFormatting sqref="E72">
    <cfRule type="cellIs" dxfId="301" priority="17" stopIfTrue="1" operator="greaterThan">
      <formula>$E$74*0.1</formula>
    </cfRule>
  </conditionalFormatting>
  <conditionalFormatting sqref="C32">
    <cfRule type="cellIs" dxfId="300" priority="16" stopIfTrue="1" operator="greaterThan">
      <formula>$C$34*0.1</formula>
    </cfRule>
  </conditionalFormatting>
  <conditionalFormatting sqref="D32">
    <cfRule type="cellIs" dxfId="299" priority="15" stopIfTrue="1" operator="greaterThan">
      <formula>$D$34*0.1</formula>
    </cfRule>
  </conditionalFormatting>
  <conditionalFormatting sqref="E32">
    <cfRule type="cellIs" dxfId="298" priority="14" stopIfTrue="1" operator="greaterThan">
      <formula>$E$34*0.1</formula>
    </cfRule>
  </conditionalFormatting>
  <conditionalFormatting sqref="C19">
    <cfRule type="cellIs" dxfId="297" priority="12" stopIfTrue="1" operator="greaterThan">
      <formula>$C$21*0.1</formula>
    </cfRule>
  </conditionalFormatting>
  <conditionalFormatting sqref="E19">
    <cfRule type="cellIs" dxfId="296" priority="11" stopIfTrue="1" operator="greaterThan">
      <formula>$E$21*0.1+E41</formula>
    </cfRule>
  </conditionalFormatting>
  <conditionalFormatting sqref="E37">
    <cfRule type="cellIs" dxfId="295" priority="10" stopIfTrue="1" operator="greaterThan">
      <formula>$E$34/0.95-$E$34</formula>
    </cfRule>
  </conditionalFormatting>
  <conditionalFormatting sqref="E77">
    <cfRule type="cellIs" dxfId="294" priority="9" stopIfTrue="1" operator="greaterThan">
      <formula>$E$74/0.95-$E$74</formula>
    </cfRule>
  </conditionalFormatting>
  <conditionalFormatting sqref="C34">
    <cfRule type="cellIs" dxfId="293" priority="8" stopIfTrue="1" operator="greaterThan">
      <formula>$C$36</formula>
    </cfRule>
  </conditionalFormatting>
  <conditionalFormatting sqref="D75">
    <cfRule type="cellIs" dxfId="292" priority="7" stopIfTrue="1" operator="lessThan">
      <formula>0</formula>
    </cfRule>
  </conditionalFormatting>
  <conditionalFormatting sqref="D34">
    <cfRule type="cellIs" dxfId="291" priority="6" stopIfTrue="1" operator="greaterThan">
      <formula>$D$36</formula>
    </cfRule>
  </conditionalFormatting>
  <conditionalFormatting sqref="C74">
    <cfRule type="cellIs" dxfId="290" priority="4" stopIfTrue="1" operator="greaterThan">
      <formula>$C$76</formula>
    </cfRule>
  </conditionalFormatting>
  <conditionalFormatting sqref="D74">
    <cfRule type="cellIs" dxfId="289" priority="2" stopIfTrue="1" operator="greaterThan">
      <formula>$D$76</formula>
    </cfRule>
  </conditionalFormatting>
  <pageMargins left="0.75" right="0.75" top="1" bottom="1" header="0.5" footer="0.5"/>
  <pageSetup scale="50" orientation="portrait" blackAndWhite="1" r:id="rId1"/>
  <headerFooter alignWithMargins="0">
    <oddHeader>&amp;RState of Kansas
City</oddHeader>
  </headerFooter>
  <ignoredErrors>
    <ignoredError sqref="C61" formulaRange="1"/>
  </ignoredErrors>
</worksheet>
</file>

<file path=xl/worksheets/sheet16.xml><?xml version="1.0" encoding="utf-8"?>
<worksheet xmlns="http://schemas.openxmlformats.org/spreadsheetml/2006/main" xmlns:r="http://schemas.openxmlformats.org/officeDocument/2006/relationships">
  <sheetPr>
    <pageSetUpPr fitToPage="1"/>
  </sheetPr>
  <dimension ref="B1:K97"/>
  <sheetViews>
    <sheetView zoomScaleNormal="100" workbookViewId="0">
      <selection activeCell="D67" sqref="D67"/>
    </sheetView>
  </sheetViews>
  <sheetFormatPr defaultRowHeight="15.75"/>
  <cols>
    <col min="1" max="1" width="2.44140625" style="45" customWidth="1"/>
    <col min="2" max="2" width="31.109375" style="45" customWidth="1"/>
    <col min="3" max="4" width="15.77734375" style="45" customWidth="1"/>
    <col min="5" max="5" width="16.21875" style="45" customWidth="1"/>
    <col min="6" max="6" width="8.88671875" style="45"/>
    <col min="7" max="7" width="10.21875" style="45" customWidth="1"/>
    <col min="8" max="8" width="8.88671875" style="45"/>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t="s">
        <v>173</v>
      </c>
      <c r="C3" s="201"/>
      <c r="D3" s="201"/>
      <c r="E3" s="288"/>
    </row>
    <row r="4" spans="2:5">
      <c r="B4" s="52" t="s">
        <v>106</v>
      </c>
      <c r="C4" s="715" t="s">
        <v>950</v>
      </c>
      <c r="D4" s="716" t="s">
        <v>951</v>
      </c>
      <c r="E4" s="144" t="s">
        <v>952</v>
      </c>
    </row>
    <row r="5" spans="2:5">
      <c r="B5" s="535" t="str">
        <f>inputPrYr!B21</f>
        <v>Airport</v>
      </c>
      <c r="C5" s="225" t="str">
        <f>CONCATENATE("Actual for ",E1-2,"")</f>
        <v>Actual for 2012</v>
      </c>
      <c r="D5" s="225" t="str">
        <f>CONCATENATE("Estimate for ",E1-1,"")</f>
        <v>Estimate for 2013</v>
      </c>
      <c r="E5" s="208" t="str">
        <f>CONCATENATE("Year for ",E1,"")</f>
        <v>Year for 2014</v>
      </c>
    </row>
    <row r="6" spans="2:5">
      <c r="B6" s="252" t="s">
        <v>228</v>
      </c>
      <c r="C6" s="257">
        <v>10259</v>
      </c>
      <c r="D6" s="255">
        <f>C34</f>
        <v>4446</v>
      </c>
      <c r="E6" s="228">
        <f>D34</f>
        <v>4814</v>
      </c>
    </row>
    <row r="7" spans="2:5">
      <c r="B7" s="256" t="s">
        <v>230</v>
      </c>
      <c r="C7" s="159"/>
      <c r="D7" s="159"/>
      <c r="E7" s="87"/>
    </row>
    <row r="8" spans="2:5">
      <c r="B8" s="150" t="s">
        <v>107</v>
      </c>
      <c r="C8" s="257">
        <v>27744</v>
      </c>
      <c r="D8" s="255">
        <f>IF(inputPrYr!H16&gt;0,inputPrYr!G21,inputPrYr!E21)</f>
        <v>37553</v>
      </c>
      <c r="E8" s="286" t="s">
        <v>95</v>
      </c>
    </row>
    <row r="9" spans="2:5">
      <c r="B9" s="150" t="s">
        <v>108</v>
      </c>
      <c r="C9" s="257"/>
      <c r="D9" s="257"/>
      <c r="E9" s="67"/>
    </row>
    <row r="10" spans="2:5">
      <c r="B10" s="150" t="s">
        <v>109</v>
      </c>
      <c r="C10" s="257">
        <v>4338</v>
      </c>
      <c r="D10" s="257">
        <v>3943</v>
      </c>
      <c r="E10" s="228">
        <f>mvalloc!D10</f>
        <v>5228</v>
      </c>
    </row>
    <row r="11" spans="2:5">
      <c r="B11" s="150" t="s">
        <v>110</v>
      </c>
      <c r="C11" s="257">
        <v>68</v>
      </c>
      <c r="D11" s="257">
        <v>64</v>
      </c>
      <c r="E11" s="228">
        <f>mvalloc!E10</f>
        <v>79</v>
      </c>
    </row>
    <row r="12" spans="2:5">
      <c r="B12" s="159" t="s">
        <v>205</v>
      </c>
      <c r="C12" s="257">
        <v>68</v>
      </c>
      <c r="D12" s="257">
        <v>78</v>
      </c>
      <c r="E12" s="228">
        <f>mvalloc!F10</f>
        <v>86</v>
      </c>
    </row>
    <row r="13" spans="2:5">
      <c r="B13" s="67" t="s">
        <v>1042</v>
      </c>
      <c r="C13" s="257">
        <v>6553</v>
      </c>
      <c r="D13" s="257">
        <v>6500</v>
      </c>
      <c r="E13" s="67">
        <v>6500</v>
      </c>
    </row>
    <row r="14" spans="2:5">
      <c r="B14" s="67" t="s">
        <v>1043</v>
      </c>
      <c r="C14" s="257">
        <v>14430</v>
      </c>
      <c r="D14" s="257">
        <v>18000</v>
      </c>
      <c r="E14" s="67">
        <v>20000</v>
      </c>
    </row>
    <row r="15" spans="2:5">
      <c r="B15" s="273"/>
      <c r="C15" s="257"/>
      <c r="D15" s="257"/>
      <c r="E15" s="67"/>
    </row>
    <row r="16" spans="2:5">
      <c r="B16" s="273"/>
      <c r="C16" s="257"/>
      <c r="D16" s="257"/>
      <c r="E16" s="67"/>
    </row>
    <row r="17" spans="2:10">
      <c r="B17" s="261" t="s">
        <v>114</v>
      </c>
      <c r="C17" s="257"/>
      <c r="D17" s="257"/>
      <c r="E17" s="67"/>
    </row>
    <row r="18" spans="2:10">
      <c r="B18" s="159" t="s">
        <v>14</v>
      </c>
      <c r="C18" s="257">
        <v>609</v>
      </c>
      <c r="D18" s="257">
        <v>1000</v>
      </c>
      <c r="E18" s="67">
        <v>1000</v>
      </c>
    </row>
    <row r="19" spans="2:10">
      <c r="B19" s="252" t="s">
        <v>784</v>
      </c>
      <c r="C19" s="262" t="str">
        <f>IF(C20*0.1&lt;C18,"Exceed 10% Rule","")</f>
        <v/>
      </c>
      <c r="D19" s="262" t="str">
        <f>IF(D20*0.1&lt;D18,"Exceed 10% Rule","")</f>
        <v/>
      </c>
      <c r="E19" s="299" t="str">
        <f>IF(E20*0.1+E40&lt;E18,"Exceed 10% Rule","")</f>
        <v/>
      </c>
    </row>
    <row r="20" spans="2:10">
      <c r="B20" s="264" t="s">
        <v>115</v>
      </c>
      <c r="C20" s="266">
        <f>SUM(C8:C18)</f>
        <v>53810</v>
      </c>
      <c r="D20" s="266">
        <f>SUM(D8:D18)</f>
        <v>67138</v>
      </c>
      <c r="E20" s="267">
        <f>SUM(E8:E18)</f>
        <v>32893</v>
      </c>
    </row>
    <row r="21" spans="2:10">
      <c r="B21" s="264" t="s">
        <v>116</v>
      </c>
      <c r="C21" s="270">
        <f>C6+C20</f>
        <v>64069</v>
      </c>
      <c r="D21" s="270">
        <f>D6+D20</f>
        <v>71584</v>
      </c>
      <c r="E21" s="82">
        <f>E6+E20</f>
        <v>37707</v>
      </c>
    </row>
    <row r="22" spans="2:10">
      <c r="B22" s="150" t="s">
        <v>118</v>
      </c>
      <c r="C22" s="274"/>
      <c r="D22" s="274"/>
      <c r="E22" s="65"/>
    </row>
    <row r="23" spans="2:10">
      <c r="B23" s="273" t="s">
        <v>1047</v>
      </c>
      <c r="C23" s="257">
        <v>53</v>
      </c>
      <c r="D23" s="257">
        <v>0</v>
      </c>
      <c r="E23" s="67">
        <v>0</v>
      </c>
    </row>
    <row r="24" spans="2:10">
      <c r="B24" s="273" t="s">
        <v>1053</v>
      </c>
      <c r="C24" s="257">
        <v>36102</v>
      </c>
      <c r="D24" s="257">
        <v>40670</v>
      </c>
      <c r="E24" s="67">
        <v>42928</v>
      </c>
      <c r="G24" s="804" t="str">
        <f>CONCATENATE("Desired Carryover Into ",E1+1,"")</f>
        <v>Desired Carryover Into 2015</v>
      </c>
      <c r="H24" s="799"/>
      <c r="I24" s="799"/>
      <c r="J24" s="800"/>
    </row>
    <row r="25" spans="2:10">
      <c r="B25" s="273" t="s">
        <v>1015</v>
      </c>
      <c r="C25" s="257">
        <v>21072</v>
      </c>
      <c r="D25" s="257">
        <v>21100</v>
      </c>
      <c r="E25" s="67">
        <v>21100</v>
      </c>
      <c r="G25" s="652"/>
      <c r="H25" s="653"/>
      <c r="I25" s="654"/>
      <c r="J25" s="655"/>
    </row>
    <row r="26" spans="2:10">
      <c r="B26" s="273" t="s">
        <v>1016</v>
      </c>
      <c r="C26" s="257">
        <v>2396</v>
      </c>
      <c r="D26" s="257">
        <v>5000</v>
      </c>
      <c r="E26" s="67">
        <v>2500</v>
      </c>
      <c r="G26" s="656" t="s">
        <v>772</v>
      </c>
      <c r="H26" s="654"/>
      <c r="I26" s="654"/>
      <c r="J26" s="657">
        <v>0</v>
      </c>
    </row>
    <row r="27" spans="2:10">
      <c r="B27" s="273"/>
      <c r="C27" s="257"/>
      <c r="D27" s="257"/>
      <c r="E27" s="67"/>
      <c r="G27" s="652" t="s">
        <v>773</v>
      </c>
      <c r="H27" s="653"/>
      <c r="I27" s="653"/>
      <c r="J27" s="658" t="str">
        <f>IF(J26=0,"",ROUND((J26+E40-G39)/inputOth!E7*1000,3)-G44)</f>
        <v/>
      </c>
    </row>
    <row r="28" spans="2:10">
      <c r="B28" s="273"/>
      <c r="C28" s="257"/>
      <c r="D28" s="257"/>
      <c r="E28" s="67"/>
      <c r="G28" s="659" t="str">
        <f>CONCATENATE("",E1," Tot Exp/Non-Appr Must Be:")</f>
        <v>2014 Tot Exp/Non-Appr Must Be:</v>
      </c>
      <c r="H28" s="660"/>
      <c r="I28" s="661"/>
      <c r="J28" s="662">
        <f>IF(J26&gt;0,IF(E37&lt;E21,IF(J26=G39,E37,((J26-G39)*(1-D39))+E21),E37+(J26-G39)),0)</f>
        <v>0</v>
      </c>
    </row>
    <row r="29" spans="2:10">
      <c r="B29" s="273"/>
      <c r="C29" s="257"/>
      <c r="D29" s="257"/>
      <c r="E29" s="67"/>
      <c r="G29" s="663" t="s">
        <v>892</v>
      </c>
      <c r="H29" s="664"/>
      <c r="I29" s="664"/>
      <c r="J29" s="665">
        <f>IF(J26&gt;0,J28-E37,0)</f>
        <v>0</v>
      </c>
    </row>
    <row r="30" spans="2:10">
      <c r="B30" s="274" t="s">
        <v>13</v>
      </c>
      <c r="C30" s="257"/>
      <c r="D30" s="257"/>
      <c r="E30" s="82">
        <f>nhood!E9</f>
        <v>573</v>
      </c>
      <c r="J30" s="2"/>
    </row>
    <row r="31" spans="2:10">
      <c r="B31" s="274" t="s">
        <v>14</v>
      </c>
      <c r="C31" s="257"/>
      <c r="D31" s="257"/>
      <c r="E31" s="67"/>
      <c r="G31" s="804" t="str">
        <f>CONCATENATE("Projected Carryover Into ",E1+1,"")</f>
        <v>Projected Carryover Into 2015</v>
      </c>
      <c r="H31" s="808"/>
      <c r="I31" s="808"/>
      <c r="J31" s="806"/>
    </row>
    <row r="32" spans="2:10">
      <c r="B32" s="274" t="s">
        <v>785</v>
      </c>
      <c r="C32" s="262" t="str">
        <f>IF(C33*0.1&lt;C31,"Exceed 10% Rule","")</f>
        <v/>
      </c>
      <c r="D32" s="262" t="str">
        <f>IF(D33*0.1&lt;D31,"Exceed 10% Rule","")</f>
        <v/>
      </c>
      <c r="E32" s="299" t="str">
        <f>IF(E33*0.1&lt;E31,"Exceed 10% Rule","")</f>
        <v/>
      </c>
      <c r="G32" s="652"/>
      <c r="H32" s="654"/>
      <c r="I32" s="654"/>
      <c r="J32" s="667"/>
    </row>
    <row r="33" spans="2:11">
      <c r="B33" s="264" t="s">
        <v>122</v>
      </c>
      <c r="C33" s="266">
        <f>SUM(C23:C31)</f>
        <v>59623</v>
      </c>
      <c r="D33" s="266">
        <f>SUM(D23:D31)</f>
        <v>66770</v>
      </c>
      <c r="E33" s="267">
        <f>SUM(E23:E31)</f>
        <v>67101</v>
      </c>
      <c r="G33" s="668">
        <f>D34</f>
        <v>4814</v>
      </c>
      <c r="H33" s="635" t="str">
        <f>CONCATENATE("",E1-1," Ending Cash Balance (est.)")</f>
        <v>2013 Ending Cash Balance (est.)</v>
      </c>
      <c r="I33" s="669"/>
      <c r="J33" s="667"/>
    </row>
    <row r="34" spans="2:11">
      <c r="B34" s="150" t="s">
        <v>229</v>
      </c>
      <c r="C34" s="270">
        <f>C21-C33</f>
        <v>4446</v>
      </c>
      <c r="D34" s="270">
        <f>D21-D33</f>
        <v>4814</v>
      </c>
      <c r="E34" s="286" t="s">
        <v>95</v>
      </c>
      <c r="G34" s="668">
        <f>E20</f>
        <v>32893</v>
      </c>
      <c r="H34" s="654" t="str">
        <f>CONCATENATE("",E1," Non-AV Receipts (est.)")</f>
        <v>2014 Non-AV Receipts (est.)</v>
      </c>
      <c r="I34" s="669"/>
      <c r="J34" s="667"/>
    </row>
    <row r="35" spans="2:11">
      <c r="B35" s="136" t="str">
        <f>CONCATENATE("",E1-2,"/",E1-1," Budget Authority Amount:")</f>
        <v>2012/2013 Budget Authority Amount:</v>
      </c>
      <c r="C35" s="241">
        <f>inputOth!B63</f>
        <v>64533</v>
      </c>
      <c r="D35" s="241">
        <f>inputPrYr!D21</f>
        <v>65377</v>
      </c>
      <c r="E35" s="286" t="s">
        <v>95</v>
      </c>
      <c r="F35" s="276"/>
      <c r="G35" s="670">
        <f>IF(E39&gt;0,E38,E40)</f>
        <v>29394</v>
      </c>
      <c r="H35" s="654" t="str">
        <f>CONCATENATE("",E1," Ad Valorem Tax (est.)")</f>
        <v>2014 Ad Valorem Tax (est.)</v>
      </c>
      <c r="I35" s="669"/>
      <c r="J35" s="648"/>
      <c r="K35" s="644" t="str">
        <f>IF(G35=E40,"","Note: Does not include Delinquent Taxes")</f>
        <v/>
      </c>
    </row>
    <row r="36" spans="2:11">
      <c r="B36" s="136"/>
      <c r="C36" s="793" t="s">
        <v>671</v>
      </c>
      <c r="D36" s="794"/>
      <c r="E36" s="67"/>
      <c r="F36" s="739" t="str">
        <f>IF(E33/0.95-E33&lt;E36,"Exceeds 5%","")</f>
        <v/>
      </c>
      <c r="G36" s="668">
        <f>SUM(G33:G35)</f>
        <v>67101</v>
      </c>
      <c r="H36" s="654" t="str">
        <f>CONCATENATE("Total ",E1," Resources Available")</f>
        <v>Total 2014 Resources Available</v>
      </c>
      <c r="I36" s="669"/>
      <c r="J36" s="667"/>
    </row>
    <row r="37" spans="2:11">
      <c r="B37" s="531" t="str">
        <f>CONCATENATE(C94,"     ",D94)</f>
        <v xml:space="preserve">     </v>
      </c>
      <c r="C37" s="795" t="s">
        <v>672</v>
      </c>
      <c r="D37" s="796"/>
      <c r="E37" s="228">
        <f>E33+E36</f>
        <v>67101</v>
      </c>
      <c r="G37" s="705"/>
      <c r="H37" s="654"/>
      <c r="I37" s="654"/>
      <c r="J37" s="667"/>
    </row>
    <row r="38" spans="2:11">
      <c r="B38" s="531" t="str">
        <f>CONCATENATE(C95,"     ",D95)</f>
        <v xml:space="preserve">     </v>
      </c>
      <c r="C38" s="277"/>
      <c r="D38" s="169" t="s">
        <v>123</v>
      </c>
      <c r="E38" s="82">
        <f>IF(E37-E21&gt;0,E37-E21,0)</f>
        <v>29394</v>
      </c>
      <c r="G38" s="670">
        <f>ROUND(C33*0.05+C33,0)</f>
        <v>62604</v>
      </c>
      <c r="H38" s="654" t="str">
        <f>CONCATENATE("Less ",E1-2," Expenditures + 5%")</f>
        <v>Less 2012 Expenditures + 5%</v>
      </c>
      <c r="I38" s="669"/>
      <c r="J38" s="667"/>
    </row>
    <row r="39" spans="2:11">
      <c r="B39" s="169"/>
      <c r="C39" s="387" t="s">
        <v>670</v>
      </c>
      <c r="D39" s="729">
        <f>inputOth!$E$47</f>
        <v>0</v>
      </c>
      <c r="E39" s="228">
        <f>ROUND(IF(D39&gt;0,(E38*D39),0),0)</f>
        <v>0</v>
      </c>
      <c r="G39" s="706">
        <f>G36-G38</f>
        <v>4497</v>
      </c>
      <c r="H39" s="707" t="str">
        <f>CONCATENATE("Projected ",E1+1," carryover (est.)")</f>
        <v>Projected 2015 carryover (est.)</v>
      </c>
      <c r="I39" s="708"/>
      <c r="J39" s="680"/>
    </row>
    <row r="40" spans="2:11" ht="16.5" thickBot="1">
      <c r="B40" s="169"/>
      <c r="C40" s="797" t="str">
        <f>CONCATENATE("Amount of  ",$E$1-1," Ad Valorem Tax")</f>
        <v>Amount of  2013 Ad Valorem Tax</v>
      </c>
      <c r="D40" s="798"/>
      <c r="E40" s="651">
        <f>E38+E39</f>
        <v>29394</v>
      </c>
      <c r="G40" s="2"/>
      <c r="H40" s="2"/>
      <c r="I40" s="2"/>
      <c r="J40" s="2"/>
    </row>
    <row r="41" spans="2:11" ht="16.5" thickTop="1">
      <c r="B41" s="47"/>
      <c r="C41" s="797"/>
      <c r="D41" s="807"/>
      <c r="E41" s="76"/>
      <c r="G41" s="787" t="s">
        <v>891</v>
      </c>
      <c r="H41" s="788"/>
      <c r="I41" s="788"/>
      <c r="J41" s="789"/>
    </row>
    <row r="42" spans="2:11">
      <c r="B42" s="52"/>
      <c r="C42" s="289"/>
      <c r="D42" s="289"/>
      <c r="E42" s="289"/>
      <c r="G42" s="634"/>
      <c r="H42" s="635"/>
      <c r="I42" s="636"/>
      <c r="J42" s="637"/>
    </row>
    <row r="43" spans="2:11">
      <c r="B43" s="52" t="s">
        <v>106</v>
      </c>
      <c r="C43" s="715" t="s">
        <v>950</v>
      </c>
      <c r="D43" s="716" t="s">
        <v>951</v>
      </c>
      <c r="E43" s="144" t="s">
        <v>952</v>
      </c>
      <c r="G43" s="638">
        <f>summ!H18</f>
        <v>1.651</v>
      </c>
      <c r="H43" s="635" t="str">
        <f>CONCATENATE("",E1," Fund Mill Rate")</f>
        <v>2014 Fund Mill Rate</v>
      </c>
      <c r="I43" s="636"/>
      <c r="J43" s="637"/>
    </row>
    <row r="44" spans="2:11">
      <c r="B44" s="535" t="str">
        <f>(inputPrYr!B22)</f>
        <v>Park</v>
      </c>
      <c r="C44" s="225" t="str">
        <f>CONCATENATE("Actual for ",E1-2,"")</f>
        <v>Actual for 2012</v>
      </c>
      <c r="D44" s="225" t="str">
        <f>CONCATENATE("Estimate for ",E1-1,"")</f>
        <v>Estimate for 2013</v>
      </c>
      <c r="E44" s="208" t="str">
        <f>CONCATENATE("Year for ",E1,"")</f>
        <v>Year for 2014</v>
      </c>
      <c r="G44" s="639">
        <f>summ!E18</f>
        <v>2.08</v>
      </c>
      <c r="H44" s="635" t="str">
        <f>CONCATENATE("",E1-1," Fund Mill Rate")</f>
        <v>2013 Fund Mill Rate</v>
      </c>
      <c r="I44" s="636"/>
      <c r="J44" s="637"/>
    </row>
    <row r="45" spans="2:11">
      <c r="B45" s="252" t="s">
        <v>228</v>
      </c>
      <c r="C45" s="257">
        <v>10646</v>
      </c>
      <c r="D45" s="255">
        <f>C74</f>
        <v>5317</v>
      </c>
      <c r="E45" s="228">
        <f>D74</f>
        <v>12398</v>
      </c>
      <c r="G45" s="640">
        <f>summ!H52</f>
        <v>42.765000000000001</v>
      </c>
      <c r="H45" s="635" t="str">
        <f>CONCATENATE("Total ",E1," Mill Rate")</f>
        <v>Total 2014 Mill Rate</v>
      </c>
      <c r="I45" s="636"/>
      <c r="J45" s="637"/>
    </row>
    <row r="46" spans="2:11">
      <c r="B46" s="256" t="s">
        <v>230</v>
      </c>
      <c r="C46" s="159"/>
      <c r="D46" s="159"/>
      <c r="E46" s="87"/>
      <c r="G46" s="639">
        <f>summ!E52</f>
        <v>42.893999999999998</v>
      </c>
      <c r="H46" s="641" t="str">
        <f>CONCATENATE("Total ",E1-1," Mill Rate")</f>
        <v>Total 2013 Mill Rate</v>
      </c>
      <c r="I46" s="642"/>
      <c r="J46" s="643"/>
    </row>
    <row r="47" spans="2:11">
      <c r="B47" s="150" t="s">
        <v>107</v>
      </c>
      <c r="C47" s="257">
        <v>91088</v>
      </c>
      <c r="D47" s="255">
        <f>IF(inputPrYr!H16&gt;0,inputPrYr!G22,inputPrYr!E22)</f>
        <v>100573</v>
      </c>
      <c r="E47" s="286" t="s">
        <v>95</v>
      </c>
    </row>
    <row r="48" spans="2:11">
      <c r="B48" s="150" t="s">
        <v>108</v>
      </c>
      <c r="C48" s="257"/>
      <c r="D48" s="257"/>
      <c r="E48" s="67"/>
    </row>
    <row r="49" spans="2:10">
      <c r="B49" s="150" t="s">
        <v>109</v>
      </c>
      <c r="C49" s="257">
        <v>10703</v>
      </c>
      <c r="D49" s="257">
        <v>13003</v>
      </c>
      <c r="E49" s="228">
        <f>mvalloc!D11</f>
        <v>14002</v>
      </c>
    </row>
    <row r="50" spans="2:10">
      <c r="B50" s="150" t="s">
        <v>110</v>
      </c>
      <c r="C50" s="257">
        <v>164</v>
      </c>
      <c r="D50" s="257">
        <v>211</v>
      </c>
      <c r="E50" s="228">
        <f>mvalloc!E11</f>
        <v>213</v>
      </c>
    </row>
    <row r="51" spans="2:10">
      <c r="B51" s="159" t="s">
        <v>205</v>
      </c>
      <c r="C51" s="257">
        <v>311</v>
      </c>
      <c r="D51" s="257">
        <v>257</v>
      </c>
      <c r="E51" s="228">
        <f>mvalloc!F11</f>
        <v>229</v>
      </c>
    </row>
    <row r="52" spans="2:10">
      <c r="B52" s="273" t="s">
        <v>1045</v>
      </c>
      <c r="C52" s="257">
        <v>26571</v>
      </c>
      <c r="D52" s="257">
        <v>26751</v>
      </c>
      <c r="E52" s="67">
        <v>26571</v>
      </c>
    </row>
    <row r="53" spans="2:10">
      <c r="B53" s="273" t="s">
        <v>1044</v>
      </c>
      <c r="C53" s="257">
        <v>610</v>
      </c>
      <c r="D53" s="257">
        <v>12000</v>
      </c>
      <c r="E53" s="67">
        <v>12000</v>
      </c>
    </row>
    <row r="54" spans="2:10">
      <c r="B54" s="273" t="s">
        <v>1046</v>
      </c>
      <c r="C54" s="257">
        <v>29840</v>
      </c>
      <c r="D54" s="257">
        <v>0</v>
      </c>
      <c r="E54" s="67">
        <v>0</v>
      </c>
    </row>
    <row r="55" spans="2:10">
      <c r="B55" s="273"/>
      <c r="C55" s="257"/>
      <c r="D55" s="257"/>
      <c r="E55" s="67"/>
    </row>
    <row r="56" spans="2:10">
      <c r="B56" s="273"/>
      <c r="C56" s="257"/>
      <c r="D56" s="257"/>
      <c r="E56" s="67"/>
    </row>
    <row r="57" spans="2:10">
      <c r="B57" s="261" t="s">
        <v>114</v>
      </c>
      <c r="C57" s="257"/>
      <c r="D57" s="257"/>
      <c r="E57" s="67"/>
    </row>
    <row r="58" spans="2:10">
      <c r="B58" s="159" t="s">
        <v>14</v>
      </c>
      <c r="C58" s="257">
        <v>92</v>
      </c>
      <c r="D58" s="257">
        <v>2100</v>
      </c>
      <c r="E58" s="67">
        <v>100</v>
      </c>
    </row>
    <row r="59" spans="2:10">
      <c r="B59" s="252" t="s">
        <v>784</v>
      </c>
      <c r="C59" s="262" t="str">
        <f>IF(C60*0.1&lt;C58,"Exceed 10% Rule","")</f>
        <v/>
      </c>
      <c r="D59" s="262" t="str">
        <f>IF(D60*0.1&lt;D58,"Exceed 10% Rule","")</f>
        <v/>
      </c>
      <c r="E59" s="299" t="str">
        <f>IF(E60*0.1+E80&lt;E58,"Exceed 10% Rule","")</f>
        <v/>
      </c>
    </row>
    <row r="60" spans="2:10">
      <c r="B60" s="264" t="s">
        <v>115</v>
      </c>
      <c r="C60" s="266">
        <f>SUM(C47:C58)</f>
        <v>159379</v>
      </c>
      <c r="D60" s="266">
        <f>SUM(D47:D58)</f>
        <v>154895</v>
      </c>
      <c r="E60" s="267">
        <f>SUM(E47:E58)</f>
        <v>53115</v>
      </c>
    </row>
    <row r="61" spans="2:10">
      <c r="B61" s="264" t="s">
        <v>116</v>
      </c>
      <c r="C61" s="266">
        <f>C45+C60</f>
        <v>170025</v>
      </c>
      <c r="D61" s="266">
        <f>D45+D60</f>
        <v>160212</v>
      </c>
      <c r="E61" s="267">
        <f>E45+E60</f>
        <v>65513</v>
      </c>
    </row>
    <row r="62" spans="2:10">
      <c r="B62" s="150" t="s">
        <v>118</v>
      </c>
      <c r="C62" s="274"/>
      <c r="D62" s="274"/>
      <c r="E62" s="65"/>
    </row>
    <row r="63" spans="2:10">
      <c r="B63" s="273" t="s">
        <v>1047</v>
      </c>
      <c r="C63" s="257">
        <v>83322</v>
      </c>
      <c r="D63" s="257">
        <v>82214</v>
      </c>
      <c r="E63" s="67">
        <v>84958</v>
      </c>
    </row>
    <row r="64" spans="2:10">
      <c r="B64" s="273" t="s">
        <v>1053</v>
      </c>
      <c r="C64" s="257">
        <v>46326</v>
      </c>
      <c r="D64" s="257">
        <v>18100</v>
      </c>
      <c r="E64" s="67">
        <v>20650</v>
      </c>
      <c r="G64" s="804" t="str">
        <f>CONCATENATE("Desired Carryover Into ",E1+1,"")</f>
        <v>Desired Carryover Into 2015</v>
      </c>
      <c r="H64" s="799"/>
      <c r="I64" s="799"/>
      <c r="J64" s="800"/>
    </row>
    <row r="65" spans="2:11">
      <c r="B65" s="273" t="s">
        <v>1015</v>
      </c>
      <c r="C65" s="257">
        <v>30049</v>
      </c>
      <c r="D65" s="257">
        <v>31000</v>
      </c>
      <c r="E65" s="67">
        <v>32500</v>
      </c>
      <c r="G65" s="652"/>
      <c r="H65" s="653"/>
      <c r="I65" s="654"/>
      <c r="J65" s="655"/>
    </row>
    <row r="66" spans="2:11">
      <c r="B66" s="273" t="s">
        <v>1016</v>
      </c>
      <c r="C66" s="257">
        <v>5011</v>
      </c>
      <c r="D66" s="257">
        <v>16500</v>
      </c>
      <c r="E66" s="67">
        <v>16500</v>
      </c>
      <c r="G66" s="656" t="s">
        <v>772</v>
      </c>
      <c r="H66" s="654"/>
      <c r="I66" s="654"/>
      <c r="J66" s="657">
        <v>0</v>
      </c>
    </row>
    <row r="67" spans="2:11">
      <c r="B67" s="273"/>
      <c r="C67" s="257"/>
      <c r="D67" s="257"/>
      <c r="E67" s="67"/>
      <c r="G67" s="652" t="s">
        <v>773</v>
      </c>
      <c r="H67" s="653"/>
      <c r="I67" s="653"/>
      <c r="J67" s="658" t="str">
        <f>IF(J66=0,"",ROUND((J66+E80-G79)/inputOth!E7*1000,3)-G84)</f>
        <v/>
      </c>
    </row>
    <row r="68" spans="2:11">
      <c r="B68" s="273"/>
      <c r="C68" s="257"/>
      <c r="D68" s="257"/>
      <c r="E68" s="67"/>
      <c r="G68" s="659" t="str">
        <f>CONCATENATE("",E1," Tot Exp/Non-Appr Must Be:")</f>
        <v>2014 Tot Exp/Non-Appr Must Be:</v>
      </c>
      <c r="H68" s="660"/>
      <c r="I68" s="661"/>
      <c r="J68" s="662">
        <f>IF(J66&gt;0,IF(E77&lt;E61,IF(J66=G79,E77,((J66-G79)*(1-D79))+E61),E77+(J66-G79)),0)</f>
        <v>0</v>
      </c>
    </row>
    <row r="69" spans="2:11">
      <c r="B69" s="273"/>
      <c r="C69" s="257"/>
      <c r="D69" s="257"/>
      <c r="E69" s="67"/>
      <c r="G69" s="663" t="s">
        <v>892</v>
      </c>
      <c r="H69" s="664"/>
      <c r="I69" s="664"/>
      <c r="J69" s="665">
        <f>IF(J66&gt;0,J68-E77,0)</f>
        <v>0</v>
      </c>
    </row>
    <row r="70" spans="2:11">
      <c r="B70" s="274" t="s">
        <v>13</v>
      </c>
      <c r="C70" s="257"/>
      <c r="D70" s="257"/>
      <c r="E70" s="82">
        <f>nhood!E10</f>
        <v>1535</v>
      </c>
      <c r="J70" s="2"/>
    </row>
    <row r="71" spans="2:11">
      <c r="B71" s="274" t="s">
        <v>14</v>
      </c>
      <c r="C71" s="257"/>
      <c r="D71" s="257"/>
      <c r="E71" s="67"/>
      <c r="G71" s="804" t="str">
        <f>CONCATENATE("Projected Carryover Into ",E1+1,"")</f>
        <v>Projected Carryover Into 2015</v>
      </c>
      <c r="H71" s="805"/>
      <c r="I71" s="805"/>
      <c r="J71" s="806"/>
    </row>
    <row r="72" spans="2:11">
      <c r="B72" s="274" t="s">
        <v>785</v>
      </c>
      <c r="C72" s="262" t="str">
        <f>IF(C73*0.1&lt;C71,"Exceed 10% Rule","")</f>
        <v/>
      </c>
      <c r="D72" s="262" t="str">
        <f>IF(D73*0.1&lt;D71,"Exceed 10% Rule","")</f>
        <v/>
      </c>
      <c r="E72" s="299" t="str">
        <f>IF(E73*0.1&lt;E71,"Exceed 10% Rule","")</f>
        <v/>
      </c>
      <c r="G72" s="666"/>
      <c r="H72" s="653"/>
      <c r="I72" s="653"/>
      <c r="J72" s="673"/>
    </row>
    <row r="73" spans="2:11">
      <c r="B73" s="264" t="s">
        <v>122</v>
      </c>
      <c r="C73" s="266">
        <f>SUM(C63:C71)</f>
        <v>164708</v>
      </c>
      <c r="D73" s="266">
        <f>SUM(D63:D71)</f>
        <v>147814</v>
      </c>
      <c r="E73" s="267">
        <f>SUM(E63:E71)</f>
        <v>156143</v>
      </c>
      <c r="G73" s="668">
        <f>D74</f>
        <v>12398</v>
      </c>
      <c r="H73" s="635" t="str">
        <f>CONCATENATE("",E1-1," Ending Cash Balance (est.)")</f>
        <v>2013 Ending Cash Balance (est.)</v>
      </c>
      <c r="I73" s="669"/>
      <c r="J73" s="673"/>
    </row>
    <row r="74" spans="2:11">
      <c r="B74" s="150" t="s">
        <v>229</v>
      </c>
      <c r="C74" s="270">
        <f>C61-C73</f>
        <v>5317</v>
      </c>
      <c r="D74" s="270">
        <f>D61-D73</f>
        <v>12398</v>
      </c>
      <c r="E74" s="286" t="s">
        <v>95</v>
      </c>
      <c r="G74" s="668">
        <f>E60</f>
        <v>53115</v>
      </c>
      <c r="H74" s="654" t="str">
        <f>CONCATENATE("",E1," Non-AV Receipts (est.)")</f>
        <v>2014 Non-AV Receipts (est.)</v>
      </c>
      <c r="I74" s="669"/>
      <c r="J74" s="673"/>
    </row>
    <row r="75" spans="2:11">
      <c r="B75" s="136" t="str">
        <f>CONCATENATE("",E1-2,"/",E1-1," Budget Authority Amount:")</f>
        <v>2012/2013 Budget Authority Amount:</v>
      </c>
      <c r="C75" s="241">
        <f>inputOth!B64</f>
        <v>182251</v>
      </c>
      <c r="D75" s="241">
        <f>inputPrYr!D22</f>
        <v>155362</v>
      </c>
      <c r="E75" s="286" t="s">
        <v>95</v>
      </c>
      <c r="F75" s="276"/>
      <c r="G75" s="670">
        <f>IF(D79&gt;0,E78,E80)</f>
        <v>90630</v>
      </c>
      <c r="H75" s="654" t="str">
        <f>CONCATENATE("",E1," Ad Valorem Tax (est.)")</f>
        <v>2014 Ad Valorem Tax (est.)</v>
      </c>
      <c r="I75" s="669"/>
      <c r="J75" s="673"/>
      <c r="K75" s="644" t="str">
        <f>IF(G75=E80,"","Note: Does not include Delinquent Taxes")</f>
        <v/>
      </c>
    </row>
    <row r="76" spans="2:11">
      <c r="B76" s="136"/>
      <c r="C76" s="793" t="s">
        <v>671</v>
      </c>
      <c r="D76" s="794"/>
      <c r="E76" s="67"/>
      <c r="F76" s="739" t="str">
        <f>IF(E73/0.95-E73&lt;E76,"Exceeds 5%","")</f>
        <v/>
      </c>
      <c r="G76" s="672">
        <f>SUM(G73:G75)</f>
        <v>156143</v>
      </c>
      <c r="H76" s="654" t="str">
        <f>CONCATENATE("Total ",E1," Resources Available")</f>
        <v>Total 2014 Resources Available</v>
      </c>
      <c r="I76" s="673"/>
      <c r="J76" s="673"/>
    </row>
    <row r="77" spans="2:11">
      <c r="B77" s="531" t="str">
        <f>CONCATENATE(C96,"     ",D96)</f>
        <v xml:space="preserve">     </v>
      </c>
      <c r="C77" s="795" t="s">
        <v>672</v>
      </c>
      <c r="D77" s="796"/>
      <c r="E77" s="228">
        <f>E73+E76</f>
        <v>156143</v>
      </c>
      <c r="G77" s="674"/>
      <c r="H77" s="675"/>
      <c r="I77" s="653"/>
      <c r="J77" s="673"/>
    </row>
    <row r="78" spans="2:11">
      <c r="B78" s="531" t="str">
        <f>CONCATENATE(C97,"     ",D97)</f>
        <v xml:space="preserve">     </v>
      </c>
      <c r="C78" s="277"/>
      <c r="D78" s="169" t="s">
        <v>123</v>
      </c>
      <c r="E78" s="82">
        <f>IF(E77-E61&gt;0,E77-E61,0)</f>
        <v>90630</v>
      </c>
      <c r="G78" s="676">
        <f>ROUND(C73*0.05+C73,0)</f>
        <v>172943</v>
      </c>
      <c r="H78" s="675" t="str">
        <f>CONCATENATE("Less ",E1-2," Expenditures + 5%")</f>
        <v>Less 2012 Expenditures + 5%</v>
      </c>
      <c r="I78" s="673"/>
      <c r="J78" s="673"/>
    </row>
    <row r="79" spans="2:11">
      <c r="B79" s="169"/>
      <c r="C79" s="387" t="s">
        <v>670</v>
      </c>
      <c r="D79" s="729">
        <f>inputOth!$E$47</f>
        <v>0</v>
      </c>
      <c r="E79" s="228">
        <f>ROUND(IF(D79&gt;0,(E78*D79),0),0)</f>
        <v>0</v>
      </c>
      <c r="G79" s="677">
        <f>G76-G78</f>
        <v>-16800</v>
      </c>
      <c r="H79" s="678" t="str">
        <f>CONCATENATE("Projected ",E1+1," carryover (est.)")</f>
        <v>Projected 2015 carryover (est.)</v>
      </c>
      <c r="I79" s="679"/>
      <c r="J79" s="680"/>
    </row>
    <row r="80" spans="2:11" ht="16.5" thickBot="1">
      <c r="B80" s="47"/>
      <c r="C80" s="797" t="str">
        <f>CONCATENATE("Amount of  ",$E$1-1," Ad Valorem Tax")</f>
        <v>Amount of  2013 Ad Valorem Tax</v>
      </c>
      <c r="D80" s="798"/>
      <c r="E80" s="651">
        <f>E78+E79</f>
        <v>90630</v>
      </c>
      <c r="G80" s="2"/>
      <c r="H80" s="2"/>
      <c r="I80" s="2"/>
    </row>
    <row r="81" spans="2:10" ht="16.5" thickTop="1">
      <c r="B81" s="405" t="s">
        <v>125</v>
      </c>
      <c r="C81" s="282">
        <v>10</v>
      </c>
      <c r="D81" s="47"/>
      <c r="E81" s="47"/>
      <c r="G81" s="787" t="s">
        <v>891</v>
      </c>
      <c r="H81" s="788"/>
      <c r="I81" s="788"/>
      <c r="J81" s="789"/>
    </row>
    <row r="82" spans="2:10">
      <c r="B82" s="32"/>
      <c r="G82" s="634"/>
      <c r="H82" s="635"/>
      <c r="I82" s="636"/>
      <c r="J82" s="637"/>
    </row>
    <row r="83" spans="2:10">
      <c r="G83" s="638">
        <f>summ!H19</f>
        <v>5.09</v>
      </c>
      <c r="H83" s="635" t="str">
        <f>CONCATENATE("",E1," Fund Mill Rate")</f>
        <v>2014 Fund Mill Rate</v>
      </c>
      <c r="I83" s="636"/>
      <c r="J83" s="637"/>
    </row>
    <row r="84" spans="2:10">
      <c r="G84" s="639">
        <f>summ!E19</f>
        <v>9.1050000000000004</v>
      </c>
      <c r="H84" s="635" t="str">
        <f>CONCATENATE("",E1-1," Fund Mill Rate")</f>
        <v>2013 Fund Mill Rate</v>
      </c>
      <c r="I84" s="636"/>
      <c r="J84" s="637"/>
    </row>
    <row r="85" spans="2:10">
      <c r="G85" s="640">
        <f>summ!H52</f>
        <v>42.765000000000001</v>
      </c>
      <c r="H85" s="635" t="str">
        <f>CONCATENATE("Total ",E1," Mill Rate")</f>
        <v>Total 2014 Mill Rate</v>
      </c>
      <c r="I85" s="636"/>
      <c r="J85" s="637"/>
    </row>
    <row r="86" spans="2:10">
      <c r="G86" s="639">
        <f>summ!E52</f>
        <v>42.893999999999998</v>
      </c>
      <c r="H86" s="641" t="str">
        <f>CONCATENATE("Total ",E1-1," Mill Rate")</f>
        <v>Total 2013 Mill Rate</v>
      </c>
      <c r="I86" s="642"/>
      <c r="J86" s="643"/>
    </row>
    <row r="94" spans="2:10" hidden="1">
      <c r="C94" s="530" t="str">
        <f>IF(C33&gt;C35,"See Tab A","")</f>
        <v/>
      </c>
      <c r="D94" s="530" t="str">
        <f>IF(D31&gt;D35,"See Tab C","")</f>
        <v/>
      </c>
    </row>
    <row r="95" spans="2:10" hidden="1">
      <c r="C95" s="530" t="str">
        <f>IF(C34&lt;0,"See Tab B","")</f>
        <v/>
      </c>
      <c r="D95" s="530" t="str">
        <f>IF(D34&lt;0,"See Tab D","")</f>
        <v/>
      </c>
    </row>
    <row r="96" spans="2:10" hidden="1">
      <c r="C96" s="530" t="str">
        <f>IF(C71&gt;C75,"See Tab A","")</f>
        <v/>
      </c>
      <c r="D96" s="530" t="str">
        <f>IF(D71&gt;D75,"See Tab C","")</f>
        <v/>
      </c>
    </row>
    <row r="97" spans="3:4" hidden="1">
      <c r="C97" s="530" t="str">
        <f>IF(C74&lt;0,"See Tab B","")</f>
        <v/>
      </c>
      <c r="D97" s="530" t="str">
        <f>IF(D74&lt;0,"See Tab D","")</f>
        <v/>
      </c>
    </row>
  </sheetData>
  <sheetProtection sheet="1" objects="1" scenarios="1"/>
  <mergeCells count="13">
    <mergeCell ref="G24:J24"/>
    <mergeCell ref="G31:J31"/>
    <mergeCell ref="G41:J41"/>
    <mergeCell ref="G64:J64"/>
    <mergeCell ref="G71:J71"/>
    <mergeCell ref="G81:J81"/>
    <mergeCell ref="C76:D76"/>
    <mergeCell ref="C77:D77"/>
    <mergeCell ref="C36:D36"/>
    <mergeCell ref="C37:D37"/>
    <mergeCell ref="C41:D41"/>
    <mergeCell ref="C80:D80"/>
    <mergeCell ref="C40:D40"/>
  </mergeCells>
  <phoneticPr fontId="0" type="noConversion"/>
  <conditionalFormatting sqref="E71">
    <cfRule type="cellIs" dxfId="288" priority="3" stopIfTrue="1" operator="greaterThan">
      <formula>$E$73*0.1</formula>
    </cfRule>
  </conditionalFormatting>
  <conditionalFormatting sqref="E76">
    <cfRule type="cellIs" dxfId="287" priority="4" stopIfTrue="1" operator="greaterThan">
      <formula>$E$73/0.95-$E$73</formula>
    </cfRule>
  </conditionalFormatting>
  <conditionalFormatting sqref="E31">
    <cfRule type="cellIs" dxfId="286" priority="5" stopIfTrue="1" operator="greaterThan">
      <formula>$E$33*0.1</formula>
    </cfRule>
  </conditionalFormatting>
  <conditionalFormatting sqref="E36">
    <cfRule type="cellIs" dxfId="285" priority="6" stopIfTrue="1" operator="greaterThan">
      <formula>$E$33/0.95-$E$33</formula>
    </cfRule>
  </conditionalFormatting>
  <conditionalFormatting sqref="C31">
    <cfRule type="cellIs" dxfId="284" priority="7" stopIfTrue="1" operator="greaterThan">
      <formula>$C$33*0.1</formula>
    </cfRule>
  </conditionalFormatting>
  <conditionalFormatting sqref="D31">
    <cfRule type="cellIs" dxfId="283" priority="8" stopIfTrue="1" operator="greaterThan">
      <formula>$D$33*0.1</formula>
    </cfRule>
  </conditionalFormatting>
  <conditionalFormatting sqref="D33">
    <cfRule type="cellIs" dxfId="282" priority="9" stopIfTrue="1" operator="greaterThan">
      <formula>$D$35</formula>
    </cfRule>
  </conditionalFormatting>
  <conditionalFormatting sqref="C33">
    <cfRule type="cellIs" dxfId="281" priority="10" stopIfTrue="1" operator="greaterThan">
      <formula>$C$35</formula>
    </cfRule>
  </conditionalFormatting>
  <conditionalFormatting sqref="C34 C74">
    <cfRule type="cellIs" dxfId="280" priority="11" stopIfTrue="1" operator="lessThan">
      <formula>0</formula>
    </cfRule>
  </conditionalFormatting>
  <conditionalFormatting sqref="C71">
    <cfRule type="cellIs" dxfId="279" priority="12" stopIfTrue="1" operator="greaterThan">
      <formula>$C$73*0.1</formula>
    </cfRule>
  </conditionalFormatting>
  <conditionalFormatting sqref="D71">
    <cfRule type="cellIs" dxfId="278" priority="13" stopIfTrue="1" operator="greaterThan">
      <formula>$D$73*0.1</formula>
    </cfRule>
  </conditionalFormatting>
  <conditionalFormatting sqref="D73">
    <cfRule type="cellIs" dxfId="277" priority="14" stopIfTrue="1" operator="greaterThan">
      <formula>$D$75</formula>
    </cfRule>
  </conditionalFormatting>
  <conditionalFormatting sqref="C73">
    <cfRule type="cellIs" dxfId="276" priority="15" stopIfTrue="1" operator="greaterThan">
      <formula>$C$75</formula>
    </cfRule>
  </conditionalFormatting>
  <conditionalFormatting sqref="D18">
    <cfRule type="cellIs" dxfId="275" priority="16" stopIfTrue="1" operator="greaterThan">
      <formula>$D$20*0.1</formula>
    </cfRule>
  </conditionalFormatting>
  <conditionalFormatting sqref="C18">
    <cfRule type="cellIs" dxfId="274" priority="17" stopIfTrue="1" operator="greaterThan">
      <formula>$C$20*0.1</formula>
    </cfRule>
  </conditionalFormatting>
  <conditionalFormatting sqref="D58">
    <cfRule type="cellIs" dxfId="273" priority="18" stopIfTrue="1" operator="greaterThan">
      <formula>$D$60*0.1</formula>
    </cfRule>
  </conditionalFormatting>
  <conditionalFormatting sqref="C58">
    <cfRule type="cellIs" dxfId="272" priority="19" stopIfTrue="1" operator="greaterThan">
      <formula>$C$60*0.1</formula>
    </cfRule>
  </conditionalFormatting>
  <conditionalFormatting sqref="E18">
    <cfRule type="cellIs" dxfId="271" priority="20" stopIfTrue="1" operator="greaterThan">
      <formula>$E$20*0.1+E40</formula>
    </cfRule>
  </conditionalFormatting>
  <conditionalFormatting sqref="E58">
    <cfRule type="cellIs" dxfId="270" priority="21" stopIfTrue="1" operator="greaterThan">
      <formula>$E$60*0.1+E80</formula>
    </cfRule>
  </conditionalFormatting>
  <conditionalFormatting sqref="D74 D34">
    <cfRule type="cellIs" dxfId="269" priority="2" stopIfTrue="1" operator="lessThan">
      <formula>0</formula>
    </cfRule>
  </conditionalFormatting>
  <pageMargins left="0.5" right="0.5" top="1" bottom="0.5" header="0.5" footer="0.5"/>
  <pageSetup scale="54"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9"/>
  <sheetViews>
    <sheetView zoomScaleNormal="100" workbookViewId="0">
      <selection activeCell="E28" sqref="E28"/>
    </sheetView>
  </sheetViews>
  <sheetFormatPr defaultRowHeight="15.75"/>
  <cols>
    <col min="1" max="1" width="2.44140625" style="45" customWidth="1"/>
    <col min="2" max="2" width="31.109375" style="45" customWidth="1"/>
    <col min="3" max="4" width="15.77734375" style="45" customWidth="1"/>
    <col min="5" max="5" width="16.33203125" style="45" customWidth="1"/>
    <col min="6" max="6" width="8.88671875" style="45"/>
    <col min="7" max="7" width="10.21875" style="45" customWidth="1"/>
    <col min="8" max="8" width="8.88671875" style="45"/>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t="s">
        <v>173</v>
      </c>
      <c r="C3" s="201"/>
      <c r="D3" s="201"/>
      <c r="E3" s="288"/>
    </row>
    <row r="4" spans="2:5">
      <c r="B4" s="52" t="s">
        <v>106</v>
      </c>
      <c r="C4" s="715" t="s">
        <v>950</v>
      </c>
      <c r="D4" s="716" t="s">
        <v>951</v>
      </c>
      <c r="E4" s="144" t="s">
        <v>952</v>
      </c>
    </row>
    <row r="5" spans="2:5">
      <c r="B5" s="535" t="str">
        <f>inputPrYr!B23</f>
        <v xml:space="preserve">Recreation </v>
      </c>
      <c r="C5" s="225" t="str">
        <f>CONCATENATE("Actual for ",E1-2,"")</f>
        <v>Actual for 2012</v>
      </c>
      <c r="D5" s="225" t="str">
        <f>CONCATENATE("Estimate for ",E1-1,"")</f>
        <v>Estimate for 2013</v>
      </c>
      <c r="E5" s="208" t="str">
        <f>CONCATENATE("Year for ",E1,"")</f>
        <v>Year for 2014</v>
      </c>
    </row>
    <row r="6" spans="2:5">
      <c r="B6" s="252" t="s">
        <v>228</v>
      </c>
      <c r="C6" s="257">
        <v>55468</v>
      </c>
      <c r="D6" s="255">
        <f>C36</f>
        <v>67907</v>
      </c>
      <c r="E6" s="228">
        <f>D36</f>
        <v>34212</v>
      </c>
    </row>
    <row r="7" spans="2:5">
      <c r="B7" s="256" t="s">
        <v>230</v>
      </c>
      <c r="C7" s="255"/>
      <c r="D7" s="255"/>
      <c r="E7" s="228"/>
    </row>
    <row r="8" spans="2:5">
      <c r="B8" s="150" t="s">
        <v>107</v>
      </c>
      <c r="C8" s="257">
        <v>71483</v>
      </c>
      <c r="D8" s="255">
        <f>IF(inputPrYr!H16&gt;0,inputPrYr!G23,inputPrYr!E23)</f>
        <v>67307</v>
      </c>
      <c r="E8" s="286" t="s">
        <v>95</v>
      </c>
    </row>
    <row r="9" spans="2:5">
      <c r="B9" s="150" t="s">
        <v>108</v>
      </c>
      <c r="C9" s="257"/>
      <c r="D9" s="257"/>
      <c r="E9" s="67"/>
    </row>
    <row r="10" spans="2:5">
      <c r="B10" s="150" t="s">
        <v>109</v>
      </c>
      <c r="C10" s="257">
        <v>10979</v>
      </c>
      <c r="D10" s="257">
        <v>10153</v>
      </c>
      <c r="E10" s="228">
        <f>mvalloc!D12</f>
        <v>9371</v>
      </c>
    </row>
    <row r="11" spans="2:5">
      <c r="B11" s="150" t="s">
        <v>110</v>
      </c>
      <c r="C11" s="257">
        <v>170</v>
      </c>
      <c r="D11" s="257">
        <v>164</v>
      </c>
      <c r="E11" s="228">
        <f>mvalloc!E12</f>
        <v>142</v>
      </c>
    </row>
    <row r="12" spans="2:5">
      <c r="B12" s="159" t="s">
        <v>205</v>
      </c>
      <c r="C12" s="257">
        <v>237</v>
      </c>
      <c r="D12" s="257">
        <v>201</v>
      </c>
      <c r="E12" s="228">
        <f>mvalloc!F12</f>
        <v>153</v>
      </c>
    </row>
    <row r="13" spans="2:5">
      <c r="B13" s="273" t="s">
        <v>1048</v>
      </c>
      <c r="C13" s="257">
        <v>17497</v>
      </c>
      <c r="D13" s="257">
        <v>15000</v>
      </c>
      <c r="E13" s="67">
        <v>16000</v>
      </c>
    </row>
    <row r="14" spans="2:5">
      <c r="B14" s="273" t="s">
        <v>1049</v>
      </c>
      <c r="C14" s="257">
        <v>902</v>
      </c>
      <c r="D14" s="257">
        <v>1000</v>
      </c>
      <c r="E14" s="67">
        <v>1000</v>
      </c>
    </row>
    <row r="15" spans="2:5">
      <c r="B15" s="273" t="s">
        <v>1050</v>
      </c>
      <c r="C15" s="257">
        <v>6200</v>
      </c>
      <c r="D15" s="257">
        <v>6000</v>
      </c>
      <c r="E15" s="67">
        <v>6000</v>
      </c>
    </row>
    <row r="16" spans="2:5">
      <c r="B16" s="273" t="s">
        <v>1051</v>
      </c>
      <c r="C16" s="257">
        <v>25790</v>
      </c>
      <c r="D16" s="257">
        <v>20000</v>
      </c>
      <c r="E16" s="67">
        <v>20000</v>
      </c>
    </row>
    <row r="17" spans="2:10">
      <c r="B17" s="273" t="s">
        <v>1141</v>
      </c>
      <c r="C17" s="257">
        <v>11405</v>
      </c>
      <c r="D17" s="257">
        <v>0</v>
      </c>
      <c r="E17" s="67">
        <v>0</v>
      </c>
    </row>
    <row r="18" spans="2:10">
      <c r="B18" s="273" t="s">
        <v>1052</v>
      </c>
      <c r="C18" s="257">
        <v>9437</v>
      </c>
      <c r="D18" s="257">
        <v>12000</v>
      </c>
      <c r="E18" s="67">
        <v>12000</v>
      </c>
    </row>
    <row r="19" spans="2:10">
      <c r="B19" s="261" t="s">
        <v>114</v>
      </c>
      <c r="C19" s="257"/>
      <c r="D19" s="257"/>
      <c r="E19" s="67"/>
    </row>
    <row r="20" spans="2:10">
      <c r="B20" s="159" t="s">
        <v>14</v>
      </c>
      <c r="C20" s="257">
        <v>815</v>
      </c>
      <c r="D20" s="257">
        <v>100</v>
      </c>
      <c r="E20" s="67">
        <v>100</v>
      </c>
    </row>
    <row r="21" spans="2:10">
      <c r="B21" s="252" t="s">
        <v>784</v>
      </c>
      <c r="C21" s="262" t="str">
        <f>IF(C22*0.1&lt;C20,"Exceed 10% Rule","")</f>
        <v/>
      </c>
      <c r="D21" s="262" t="str">
        <f>IF(D22*0.1&lt;D20,"Exceed 10% Rule","")</f>
        <v/>
      </c>
      <c r="E21" s="299" t="str">
        <f>IF(E22*0.1+E42&lt;E20,"Exceed 10% Rule","")</f>
        <v/>
      </c>
    </row>
    <row r="22" spans="2:10">
      <c r="B22" s="264" t="s">
        <v>115</v>
      </c>
      <c r="C22" s="266">
        <f>SUM(C8:C20)</f>
        <v>154915</v>
      </c>
      <c r="D22" s="266">
        <f>SUM(D8:D20)</f>
        <v>131925</v>
      </c>
      <c r="E22" s="267">
        <f>SUM(E8:E20)</f>
        <v>64766</v>
      </c>
    </row>
    <row r="23" spans="2:10">
      <c r="B23" s="264" t="s">
        <v>116</v>
      </c>
      <c r="C23" s="266">
        <f>C6+C22</f>
        <v>210383</v>
      </c>
      <c r="D23" s="266">
        <f>D6+D22</f>
        <v>199832</v>
      </c>
      <c r="E23" s="267">
        <f>E6+E22</f>
        <v>98978</v>
      </c>
    </row>
    <row r="24" spans="2:10">
      <c r="B24" s="150" t="s">
        <v>118</v>
      </c>
      <c r="C24" s="274"/>
      <c r="D24" s="274"/>
      <c r="E24" s="65"/>
      <c r="F24" s="290"/>
    </row>
    <row r="25" spans="2:10">
      <c r="B25" s="291" t="s">
        <v>1047</v>
      </c>
      <c r="C25" s="257">
        <v>112155</v>
      </c>
      <c r="D25" s="257">
        <v>124120</v>
      </c>
      <c r="E25" s="103">
        <v>117737</v>
      </c>
    </row>
    <row r="26" spans="2:10">
      <c r="B26" s="291" t="s">
        <v>1053</v>
      </c>
      <c r="C26" s="257">
        <v>4554</v>
      </c>
      <c r="D26" s="257">
        <v>9300</v>
      </c>
      <c r="E26" s="103">
        <v>12200</v>
      </c>
      <c r="G26" s="804" t="str">
        <f>CONCATENATE("Desired Carryover Into ",E1+1,"")</f>
        <v>Desired Carryover Into 2015</v>
      </c>
      <c r="H26" s="799"/>
      <c r="I26" s="799"/>
      <c r="J26" s="800"/>
    </row>
    <row r="27" spans="2:10">
      <c r="B27" s="291" t="s">
        <v>1015</v>
      </c>
      <c r="C27" s="257">
        <v>25265</v>
      </c>
      <c r="D27" s="257">
        <v>28200</v>
      </c>
      <c r="E27" s="103">
        <v>32500</v>
      </c>
      <c r="G27" s="652"/>
      <c r="H27" s="653"/>
      <c r="I27" s="654"/>
      <c r="J27" s="655"/>
    </row>
    <row r="28" spans="2:10">
      <c r="B28" s="273" t="s">
        <v>1016</v>
      </c>
      <c r="C28" s="257">
        <v>502</v>
      </c>
      <c r="D28" s="257">
        <v>4000</v>
      </c>
      <c r="E28" s="67">
        <v>5000</v>
      </c>
      <c r="G28" s="656" t="s">
        <v>772</v>
      </c>
      <c r="H28" s="654"/>
      <c r="I28" s="654"/>
      <c r="J28" s="657">
        <v>0</v>
      </c>
    </row>
    <row r="29" spans="2:10">
      <c r="B29" s="273"/>
      <c r="C29" s="257"/>
      <c r="D29" s="257"/>
      <c r="E29" s="67"/>
      <c r="G29" s="652" t="s">
        <v>773</v>
      </c>
      <c r="H29" s="653"/>
      <c r="I29" s="653"/>
      <c r="J29" s="658" t="str">
        <f>IF(J28=0,"",ROUND((J28+E42-G41)/inputOth!E7*1000,3)-G46)</f>
        <v/>
      </c>
    </row>
    <row r="30" spans="2:10">
      <c r="B30" s="273"/>
      <c r="C30" s="257"/>
      <c r="D30" s="257"/>
      <c r="E30" s="67"/>
      <c r="G30" s="659" t="str">
        <f>CONCATENATE("",E1," Tot Exp/Non-Appr Must Be:")</f>
        <v>2014 Tot Exp/Non-Appr Must Be:</v>
      </c>
      <c r="H30" s="660"/>
      <c r="I30" s="661"/>
      <c r="J30" s="662">
        <f>IF(J28&gt;0,IF(E39&lt;E23,IF(J28=G41,E39,((J28-G41)*(1-D41))+E23),E39+(J28-G41)),0)</f>
        <v>0</v>
      </c>
    </row>
    <row r="31" spans="2:10">
      <c r="B31" s="273"/>
      <c r="C31" s="257"/>
      <c r="D31" s="257"/>
      <c r="E31" s="67"/>
      <c r="G31" s="663" t="s">
        <v>892</v>
      </c>
      <c r="H31" s="664"/>
      <c r="I31" s="664"/>
      <c r="J31" s="665">
        <f>IF(J28&gt;0,J30-E39,0)</f>
        <v>0</v>
      </c>
    </row>
    <row r="32" spans="2:10">
      <c r="B32" s="274" t="s">
        <v>13</v>
      </c>
      <c r="C32" s="257"/>
      <c r="D32" s="257"/>
      <c r="E32" s="82">
        <f>nhood!E11</f>
        <v>1027</v>
      </c>
      <c r="J32" s="2"/>
    </row>
    <row r="33" spans="2:11">
      <c r="B33" s="274" t="s">
        <v>14</v>
      </c>
      <c r="C33" s="257"/>
      <c r="D33" s="257"/>
      <c r="E33" s="67"/>
      <c r="G33" s="804" t="str">
        <f>CONCATENATE("Projected Carryover Into ",E1+1,"")</f>
        <v>Projected Carryover Into 2015</v>
      </c>
      <c r="H33" s="808"/>
      <c r="I33" s="808"/>
      <c r="J33" s="806"/>
    </row>
    <row r="34" spans="2:11">
      <c r="B34" s="274" t="s">
        <v>785</v>
      </c>
      <c r="C34" s="262" t="str">
        <f>IF(C35*0.1&lt;C33,"Exceed 10% Rule","")</f>
        <v/>
      </c>
      <c r="D34" s="262" t="str">
        <f>IF(D35*0.1&lt;D33,"Exceed 10% Rule","")</f>
        <v/>
      </c>
      <c r="E34" s="299" t="str">
        <f>IF(E35*0.1&lt;E33,"Exceed 10% Rule","")</f>
        <v/>
      </c>
      <c r="G34" s="652"/>
      <c r="H34" s="654"/>
      <c r="I34" s="654"/>
      <c r="J34" s="667"/>
    </row>
    <row r="35" spans="2:11">
      <c r="B35" s="264" t="s">
        <v>122</v>
      </c>
      <c r="C35" s="266">
        <f>SUM(C25:C33)</f>
        <v>142476</v>
      </c>
      <c r="D35" s="266">
        <f>SUM(D25:D33)</f>
        <v>165620</v>
      </c>
      <c r="E35" s="267">
        <f>SUM(E25:E33)</f>
        <v>168464</v>
      </c>
      <c r="G35" s="668">
        <f>D36</f>
        <v>34212</v>
      </c>
      <c r="H35" s="635" t="str">
        <f>CONCATENATE("",E1-1," Ending Cash Balance (est.)")</f>
        <v>2013 Ending Cash Balance (est.)</v>
      </c>
      <c r="I35" s="669"/>
      <c r="J35" s="667"/>
    </row>
    <row r="36" spans="2:11">
      <c r="B36" s="150" t="s">
        <v>229</v>
      </c>
      <c r="C36" s="270">
        <f>C23-C35</f>
        <v>67907</v>
      </c>
      <c r="D36" s="270">
        <f>D23-D35</f>
        <v>34212</v>
      </c>
      <c r="E36" s="286" t="s">
        <v>95</v>
      </c>
      <c r="G36" s="668">
        <f>E22</f>
        <v>64766</v>
      </c>
      <c r="H36" s="654" t="str">
        <f>CONCATENATE("",E1," Non-AV Receipts (est.)")</f>
        <v>2014 Non-AV Receipts (est.)</v>
      </c>
      <c r="I36" s="669"/>
      <c r="J36" s="667"/>
    </row>
    <row r="37" spans="2:11">
      <c r="B37" s="136" t="str">
        <f>CONCATENATE("",E1-2,"/",E1-1," Budget Authority Amount:")</f>
        <v>2012/2013 Budget Authority Amount:</v>
      </c>
      <c r="C37" s="241">
        <f>inputOth!B65</f>
        <v>174347</v>
      </c>
      <c r="D37" s="241">
        <f>inputPrYr!D23</f>
        <v>174225</v>
      </c>
      <c r="E37" s="286" t="s">
        <v>95</v>
      </c>
      <c r="F37" s="276"/>
      <c r="G37" s="670">
        <f>IF(E41&gt;0,E40,E42)</f>
        <v>69486</v>
      </c>
      <c r="H37" s="654" t="str">
        <f>CONCATENATE("",E1," Ad Valorem Tax (est.)")</f>
        <v>2014 Ad Valorem Tax (est.)</v>
      </c>
      <c r="I37" s="669"/>
      <c r="J37" s="648"/>
      <c r="K37" s="644" t="str">
        <f>IF(G37=E42,"","Note: Does not include Delinquent Taxes")</f>
        <v/>
      </c>
    </row>
    <row r="38" spans="2:11">
      <c r="B38" s="136"/>
      <c r="C38" s="793" t="s">
        <v>671</v>
      </c>
      <c r="D38" s="794"/>
      <c r="E38" s="67"/>
      <c r="F38" s="739" t="str">
        <f>IF(E35/0.95-E35&lt;E38,"Exceeds 5%","")</f>
        <v/>
      </c>
      <c r="G38" s="668">
        <f>SUM(G35:G37)</f>
        <v>168464</v>
      </c>
      <c r="H38" s="654" t="str">
        <f>CONCATENATE("Total ",E1," Resources Available")</f>
        <v>Total 2014 Resources Available</v>
      </c>
      <c r="I38" s="669"/>
      <c r="J38" s="667"/>
    </row>
    <row r="39" spans="2:11">
      <c r="B39" s="531" t="str">
        <f>CONCATENATE(C96,"     ",D96)</f>
        <v xml:space="preserve">     </v>
      </c>
      <c r="C39" s="795" t="s">
        <v>672</v>
      </c>
      <c r="D39" s="796"/>
      <c r="E39" s="228">
        <f>E35+E38</f>
        <v>168464</v>
      </c>
      <c r="G39" s="705"/>
      <c r="H39" s="654"/>
      <c r="I39" s="654"/>
      <c r="J39" s="667"/>
    </row>
    <row r="40" spans="2:11">
      <c r="B40" s="531" t="str">
        <f>CONCATENATE(C97,"     ",D97)</f>
        <v xml:space="preserve">     </v>
      </c>
      <c r="C40" s="277"/>
      <c r="D40" s="169" t="s">
        <v>123</v>
      </c>
      <c r="E40" s="82">
        <f>IF(E39-E23&gt;0,E39-E23,0)</f>
        <v>69486</v>
      </c>
      <c r="G40" s="670">
        <f>ROUND(C35*0.05+C35,0)</f>
        <v>149600</v>
      </c>
      <c r="H40" s="654" t="str">
        <f>CONCATENATE("Less ",E1-2," Expenditures + 5%")</f>
        <v>Less 2012 Expenditures + 5%</v>
      </c>
      <c r="I40" s="669"/>
      <c r="J40" s="667"/>
    </row>
    <row r="41" spans="2:11">
      <c r="B41" s="169"/>
      <c r="C41" s="387" t="s">
        <v>670</v>
      </c>
      <c r="D41" s="729">
        <f>inputOth!$E$47</f>
        <v>0</v>
      </c>
      <c r="E41" s="228">
        <f>ROUND(IF(D41&gt;0,(E40*D41),0),0)</f>
        <v>0</v>
      </c>
      <c r="G41" s="706">
        <f>G38-G40</f>
        <v>18864</v>
      </c>
      <c r="H41" s="707" t="str">
        <f>CONCATENATE("Projected ",E1+1," carryover (est.)")</f>
        <v>Projected 2015 carryover (est.)</v>
      </c>
      <c r="I41" s="708"/>
      <c r="J41" s="680"/>
    </row>
    <row r="42" spans="2:11" ht="16.5" thickBot="1">
      <c r="B42" s="169"/>
      <c r="C42" s="797" t="str">
        <f>CONCATENATE("Amount of  ",$E$1-1," Ad Valorem Tax")</f>
        <v>Amount of  2013 Ad Valorem Tax</v>
      </c>
      <c r="D42" s="798"/>
      <c r="E42" s="651">
        <f>E40+E41</f>
        <v>69486</v>
      </c>
      <c r="G42" s="2"/>
      <c r="H42" s="2"/>
      <c r="I42" s="2"/>
      <c r="J42" s="2"/>
    </row>
    <row r="43" spans="2:11" ht="16.5" thickTop="1">
      <c r="B43" s="47"/>
      <c r="C43" s="797"/>
      <c r="D43" s="807"/>
      <c r="E43" s="76"/>
      <c r="G43" s="787" t="s">
        <v>891</v>
      </c>
      <c r="H43" s="788"/>
      <c r="I43" s="788"/>
      <c r="J43" s="789"/>
    </row>
    <row r="44" spans="2:11">
      <c r="B44" s="52"/>
      <c r="C44" s="289"/>
      <c r="D44" s="289"/>
      <c r="E44" s="289"/>
      <c r="G44" s="634"/>
      <c r="H44" s="635"/>
      <c r="I44" s="636"/>
      <c r="J44" s="637"/>
    </row>
    <row r="45" spans="2:11">
      <c r="B45" s="52" t="s">
        <v>106</v>
      </c>
      <c r="C45" s="715" t="s">
        <v>950</v>
      </c>
      <c r="D45" s="716" t="s">
        <v>951</v>
      </c>
      <c r="E45" s="144" t="s">
        <v>952</v>
      </c>
      <c r="G45" s="638">
        <f>summ!H20</f>
        <v>3.9020000000000001</v>
      </c>
      <c r="H45" s="635" t="str">
        <f>CONCATENATE("",E1," Fund Mill Rate")</f>
        <v>2014 Fund Mill Rate</v>
      </c>
      <c r="I45" s="636"/>
      <c r="J45" s="637"/>
    </row>
    <row r="46" spans="2:11">
      <c r="B46" s="535" t="str">
        <f>inputPrYr!B24</f>
        <v>Law Enforcement</v>
      </c>
      <c r="C46" s="225" t="str">
        <f>CONCATENATE("Actual for ",E1-2,"")</f>
        <v>Actual for 2012</v>
      </c>
      <c r="D46" s="225" t="str">
        <f>CONCATENATE("Estimate for ",E1-1,"")</f>
        <v>Estimate for 2013</v>
      </c>
      <c r="E46" s="208" t="str">
        <f>CONCATENATE("Year for ",E1,"")</f>
        <v>Year for 2014</v>
      </c>
      <c r="G46" s="639">
        <f>summ!E20</f>
        <v>14.686</v>
      </c>
      <c r="H46" s="635" t="str">
        <f>CONCATENATE("",E1-1," Fund Mill Rate")</f>
        <v>2013 Fund Mill Rate</v>
      </c>
      <c r="I46" s="636"/>
      <c r="J46" s="637"/>
    </row>
    <row r="47" spans="2:11">
      <c r="B47" s="252" t="s">
        <v>228</v>
      </c>
      <c r="C47" s="257">
        <v>54032</v>
      </c>
      <c r="D47" s="255">
        <f>C76</f>
        <v>50457</v>
      </c>
      <c r="E47" s="228">
        <f>D76</f>
        <v>47894</v>
      </c>
      <c r="G47" s="640">
        <f>summ!H52</f>
        <v>42.765000000000001</v>
      </c>
      <c r="H47" s="635" t="str">
        <f>CONCATENATE("Total ",E1," Mill Rate")</f>
        <v>Total 2014 Mill Rate</v>
      </c>
      <c r="I47" s="636"/>
      <c r="J47" s="637"/>
    </row>
    <row r="48" spans="2:11">
      <c r="B48" s="256" t="s">
        <v>230</v>
      </c>
      <c r="C48" s="159"/>
      <c r="D48" s="159"/>
      <c r="E48" s="87"/>
      <c r="G48" s="639">
        <f>summ!E52</f>
        <v>42.893999999999998</v>
      </c>
      <c r="H48" s="641" t="str">
        <f>CONCATENATE("Total ",E1-1," Mill Rate")</f>
        <v>Total 2013 Mill Rate</v>
      </c>
      <c r="I48" s="642"/>
      <c r="J48" s="643"/>
    </row>
    <row r="49" spans="2:5">
      <c r="B49" s="150" t="s">
        <v>107</v>
      </c>
      <c r="C49" s="257">
        <v>232468</v>
      </c>
      <c r="D49" s="255">
        <f>IF(inputPrYr!H16&gt;0,inputPrYr!G24,inputPrYr!E24)</f>
        <v>265118</v>
      </c>
      <c r="E49" s="286" t="s">
        <v>95</v>
      </c>
    </row>
    <row r="50" spans="2:5">
      <c r="B50" s="150" t="s">
        <v>108</v>
      </c>
      <c r="C50" s="257"/>
      <c r="D50" s="257"/>
      <c r="E50" s="67"/>
    </row>
    <row r="51" spans="2:5">
      <c r="B51" s="150" t="s">
        <v>109</v>
      </c>
      <c r="C51" s="257">
        <v>33259</v>
      </c>
      <c r="D51" s="257">
        <v>33056</v>
      </c>
      <c r="E51" s="228">
        <f>mvalloc!D13</f>
        <v>36911</v>
      </c>
    </row>
    <row r="52" spans="2:5">
      <c r="B52" s="150" t="s">
        <v>110</v>
      </c>
      <c r="C52" s="257">
        <v>515</v>
      </c>
      <c r="D52" s="257">
        <v>535</v>
      </c>
      <c r="E52" s="228">
        <f>mvalloc!E13</f>
        <v>561</v>
      </c>
    </row>
    <row r="53" spans="2:5">
      <c r="B53" s="159" t="s">
        <v>205</v>
      </c>
      <c r="C53" s="257">
        <v>717</v>
      </c>
      <c r="D53" s="257">
        <v>653</v>
      </c>
      <c r="E53" s="228">
        <f>mvalloc!F13</f>
        <v>604</v>
      </c>
    </row>
    <row r="54" spans="2:5">
      <c r="B54" s="67" t="s">
        <v>1054</v>
      </c>
      <c r="C54" s="257">
        <v>127121</v>
      </c>
      <c r="D54" s="257">
        <v>100000</v>
      </c>
      <c r="E54" s="67">
        <v>105000</v>
      </c>
    </row>
    <row r="55" spans="2:5">
      <c r="B55" s="67"/>
      <c r="C55" s="257"/>
      <c r="D55" s="257"/>
      <c r="E55" s="67"/>
    </row>
    <row r="56" spans="2:5">
      <c r="B56" s="67"/>
      <c r="C56" s="257"/>
      <c r="D56" s="257"/>
      <c r="E56" s="67"/>
    </row>
    <row r="57" spans="2:5">
      <c r="B57" s="273"/>
      <c r="C57" s="257"/>
      <c r="D57" s="257"/>
      <c r="E57" s="67"/>
    </row>
    <row r="58" spans="2:5">
      <c r="B58" s="273"/>
      <c r="C58" s="257"/>
      <c r="D58" s="257"/>
      <c r="E58" s="67"/>
    </row>
    <row r="59" spans="2:5">
      <c r="B59" s="261" t="s">
        <v>114</v>
      </c>
      <c r="C59" s="257"/>
      <c r="D59" s="257"/>
      <c r="E59" s="67"/>
    </row>
    <row r="60" spans="2:5">
      <c r="B60" s="159" t="s">
        <v>14</v>
      </c>
      <c r="C60" s="257">
        <v>7865</v>
      </c>
      <c r="D60" s="257">
        <v>5000</v>
      </c>
      <c r="E60" s="67">
        <v>5000</v>
      </c>
    </row>
    <row r="61" spans="2:5">
      <c r="B61" s="252" t="s">
        <v>784</v>
      </c>
      <c r="C61" s="262" t="str">
        <f>IF(C62*0.1&lt;C60,"Exceed 10% Rule","")</f>
        <v/>
      </c>
      <c r="D61" s="262" t="str">
        <f>IF(D62*0.1&lt;D60,"Exceed 10% Rule","")</f>
        <v/>
      </c>
      <c r="E61" s="299" t="str">
        <f>IF(E62*0.1+E82&lt;E60,"Exceed 10% Rule","")</f>
        <v/>
      </c>
    </row>
    <row r="62" spans="2:5">
      <c r="B62" s="264" t="s">
        <v>115</v>
      </c>
      <c r="C62" s="266">
        <f>SUM(C49:C60)</f>
        <v>401945</v>
      </c>
      <c r="D62" s="266">
        <f>SUM(D49:D60)</f>
        <v>404362</v>
      </c>
      <c r="E62" s="267">
        <f>SUM(E50:E60)</f>
        <v>148076</v>
      </c>
    </row>
    <row r="63" spans="2:5">
      <c r="B63" s="264" t="s">
        <v>116</v>
      </c>
      <c r="C63" s="266">
        <f>C47+C62</f>
        <v>455977</v>
      </c>
      <c r="D63" s="266">
        <f>D47+D62</f>
        <v>454819</v>
      </c>
      <c r="E63" s="267">
        <f>E47+E62</f>
        <v>195970</v>
      </c>
    </row>
    <row r="64" spans="2:5">
      <c r="B64" s="150" t="s">
        <v>118</v>
      </c>
      <c r="C64" s="274"/>
      <c r="D64" s="274"/>
      <c r="E64" s="65"/>
    </row>
    <row r="65" spans="2:11">
      <c r="B65" s="273" t="s">
        <v>1055</v>
      </c>
      <c r="C65" s="257">
        <v>300904</v>
      </c>
      <c r="D65" s="257">
        <v>306775</v>
      </c>
      <c r="E65" s="67">
        <v>315031</v>
      </c>
    </row>
    <row r="66" spans="2:11">
      <c r="B66" s="273" t="s">
        <v>1014</v>
      </c>
      <c r="C66" s="257">
        <v>47566</v>
      </c>
      <c r="D66" s="257">
        <v>59150</v>
      </c>
      <c r="E66" s="67">
        <v>63650</v>
      </c>
      <c r="G66" s="804" t="str">
        <f>CONCATENATE("Desired Carryover Into ",E1+1,"")</f>
        <v>Desired Carryover Into 2015</v>
      </c>
      <c r="H66" s="799"/>
      <c r="I66" s="799"/>
      <c r="J66" s="800"/>
    </row>
    <row r="67" spans="2:11">
      <c r="B67" s="273" t="s">
        <v>1015</v>
      </c>
      <c r="C67" s="257">
        <v>31497</v>
      </c>
      <c r="D67" s="257">
        <v>39000</v>
      </c>
      <c r="E67" s="67">
        <v>42500</v>
      </c>
      <c r="G67" s="652"/>
      <c r="H67" s="653"/>
      <c r="I67" s="654"/>
      <c r="J67" s="655"/>
    </row>
    <row r="68" spans="2:11">
      <c r="B68" s="273" t="s">
        <v>1016</v>
      </c>
      <c r="C68" s="257">
        <v>25553</v>
      </c>
      <c r="D68" s="257">
        <v>2000</v>
      </c>
      <c r="E68" s="67">
        <v>28000</v>
      </c>
      <c r="G68" s="656" t="s">
        <v>772</v>
      </c>
      <c r="H68" s="654"/>
      <c r="I68" s="654"/>
      <c r="J68" s="657">
        <v>0</v>
      </c>
    </row>
    <row r="69" spans="2:11">
      <c r="B69" s="273"/>
      <c r="C69" s="257"/>
      <c r="D69" s="257"/>
      <c r="E69" s="67"/>
      <c r="G69" s="652" t="s">
        <v>773</v>
      </c>
      <c r="H69" s="653"/>
      <c r="I69" s="653"/>
      <c r="J69" s="658" t="str">
        <f>IF(J68=0,"",ROUND((J68+E82-G81)/inputOth!E7*1000,3)-G86)</f>
        <v/>
      </c>
    </row>
    <row r="70" spans="2:11">
      <c r="B70" s="273"/>
      <c r="C70" s="257"/>
      <c r="D70" s="257"/>
      <c r="E70" s="67"/>
      <c r="G70" s="659" t="str">
        <f>CONCATENATE("",E1," Tot Exp/Non-Appr Must Be:")</f>
        <v>2014 Tot Exp/Non-Appr Must Be:</v>
      </c>
      <c r="H70" s="660"/>
      <c r="I70" s="661"/>
      <c r="J70" s="662">
        <f>IF(J68&gt;0,IF(E79&lt;E63,IF(J68=G81,E79,((J68-G81)*(1-D81))+E63),E79+(J68-G81)),0)</f>
        <v>0</v>
      </c>
    </row>
    <row r="71" spans="2:11">
      <c r="B71" s="273"/>
      <c r="C71" s="257"/>
      <c r="D71" s="257"/>
      <c r="E71" s="67"/>
      <c r="G71" s="663" t="s">
        <v>892</v>
      </c>
      <c r="H71" s="664"/>
      <c r="I71" s="664"/>
      <c r="J71" s="665">
        <f>IF(J68&gt;0,J70-E79,0)</f>
        <v>0</v>
      </c>
    </row>
    <row r="72" spans="2:11">
      <c r="B72" s="274" t="s">
        <v>13</v>
      </c>
      <c r="C72" s="257"/>
      <c r="D72" s="257"/>
      <c r="E72" s="82">
        <f>nhood!E12</f>
        <v>4047</v>
      </c>
      <c r="J72" s="2"/>
    </row>
    <row r="73" spans="2:11">
      <c r="B73" s="274" t="s">
        <v>14</v>
      </c>
      <c r="C73" s="257"/>
      <c r="D73" s="257"/>
      <c r="E73" s="67"/>
      <c r="G73" s="804" t="str">
        <f>CONCATENATE("Projected Carryover Into ",E1+1,"")</f>
        <v>Projected Carryover Into 2015</v>
      </c>
      <c r="H73" s="805"/>
      <c r="I73" s="805"/>
      <c r="J73" s="806"/>
    </row>
    <row r="74" spans="2:11">
      <c r="B74" s="274" t="s">
        <v>785</v>
      </c>
      <c r="C74" s="262" t="str">
        <f>IF(C75*0.1&lt;C73,"Exceed 10% Rule","")</f>
        <v/>
      </c>
      <c r="D74" s="262" t="str">
        <f>IF(D75*0.1&lt;D73,"Exceed 10% Rule","")</f>
        <v/>
      </c>
      <c r="E74" s="299" t="str">
        <f>IF(E75*0.1&lt;E73,"Exceed 10% Rule","")</f>
        <v/>
      </c>
      <c r="G74" s="666"/>
      <c r="H74" s="653"/>
      <c r="I74" s="653"/>
      <c r="J74" s="673"/>
    </row>
    <row r="75" spans="2:11">
      <c r="B75" s="264" t="s">
        <v>122</v>
      </c>
      <c r="C75" s="266">
        <f>SUM(C65:C73)</f>
        <v>405520</v>
      </c>
      <c r="D75" s="266">
        <f>SUM(D65:D73)</f>
        <v>406925</v>
      </c>
      <c r="E75" s="267">
        <f>SUM(E65:E73)</f>
        <v>453228</v>
      </c>
      <c r="G75" s="668">
        <f>D76</f>
        <v>47894</v>
      </c>
      <c r="H75" s="635" t="str">
        <f>CONCATENATE("",E1-1," Ending Cash Balance (est.)")</f>
        <v>2013 Ending Cash Balance (est.)</v>
      </c>
      <c r="I75" s="669"/>
      <c r="J75" s="673"/>
    </row>
    <row r="76" spans="2:11">
      <c r="B76" s="150" t="s">
        <v>229</v>
      </c>
      <c r="C76" s="270">
        <f>C63-C75</f>
        <v>50457</v>
      </c>
      <c r="D76" s="270">
        <f>D63-D75</f>
        <v>47894</v>
      </c>
      <c r="E76" s="286" t="s">
        <v>95</v>
      </c>
      <c r="G76" s="668">
        <f>E62</f>
        <v>148076</v>
      </c>
      <c r="H76" s="654" t="str">
        <f>CONCATENATE("",E1," Non-AV Receipts (est.)")</f>
        <v>2014 Non-AV Receipts (est.)</v>
      </c>
      <c r="I76" s="669"/>
      <c r="J76" s="673"/>
    </row>
    <row r="77" spans="2:11">
      <c r="B77" s="136" t="str">
        <f>CONCATENATE("",E1-2,"/",E1-1," Budget Authority Amount:")</f>
        <v>2012/2013 Budget Authority Amount:</v>
      </c>
      <c r="C77" s="241">
        <f>inputOth!B66</f>
        <v>430506</v>
      </c>
      <c r="D77" s="241">
        <f>inputPrYr!D24</f>
        <v>415824</v>
      </c>
      <c r="E77" s="286" t="s">
        <v>95</v>
      </c>
      <c r="F77" s="276"/>
      <c r="G77" s="670">
        <f>IF(D81&gt;0,E80,E82)</f>
        <v>257258</v>
      </c>
      <c r="H77" s="654" t="str">
        <f>CONCATENATE("",E1," Ad Valorem Tax (est.)")</f>
        <v>2014 Ad Valorem Tax (est.)</v>
      </c>
      <c r="I77" s="669"/>
      <c r="J77" s="673"/>
      <c r="K77" s="644" t="str">
        <f>IF(G77=E82,"","Note: Does not include Delinquent Taxes")</f>
        <v/>
      </c>
    </row>
    <row r="78" spans="2:11">
      <c r="B78" s="136"/>
      <c r="C78" s="793" t="s">
        <v>671</v>
      </c>
      <c r="D78" s="794"/>
      <c r="E78" s="67"/>
      <c r="F78" s="739" t="str">
        <f>IF(E75/0.95-E75&lt;E78,"Exceeds 5%","")</f>
        <v/>
      </c>
      <c r="G78" s="672">
        <f>SUM(G75:G77)</f>
        <v>453228</v>
      </c>
      <c r="H78" s="654" t="str">
        <f>CONCATENATE("Total ",E1," Resources Available")</f>
        <v>Total 2014 Resources Available</v>
      </c>
      <c r="I78" s="673"/>
      <c r="J78" s="673"/>
    </row>
    <row r="79" spans="2:11">
      <c r="B79" s="531" t="str">
        <f>CONCATENATE(C98,"     ",D98)</f>
        <v xml:space="preserve">     </v>
      </c>
      <c r="C79" s="795" t="s">
        <v>672</v>
      </c>
      <c r="D79" s="796"/>
      <c r="E79" s="228">
        <f>E75+E78</f>
        <v>453228</v>
      </c>
      <c r="G79" s="674"/>
      <c r="H79" s="675"/>
      <c r="I79" s="653"/>
      <c r="J79" s="673"/>
    </row>
    <row r="80" spans="2:11">
      <c r="B80" s="531" t="str">
        <f>CONCATENATE(C99,"     ",D99)</f>
        <v xml:space="preserve">     </v>
      </c>
      <c r="C80" s="277"/>
      <c r="D80" s="169" t="s">
        <v>123</v>
      </c>
      <c r="E80" s="82">
        <f>IF(E79-E63&gt;0,E79-E63,0)</f>
        <v>257258</v>
      </c>
      <c r="G80" s="676">
        <f>ROUND(C75*0.05+C75,0)</f>
        <v>425796</v>
      </c>
      <c r="H80" s="675" t="str">
        <f>CONCATENATE("Less ",E1-2," Expenditures + 5%")</f>
        <v>Less 2012 Expenditures + 5%</v>
      </c>
      <c r="I80" s="673"/>
      <c r="J80" s="673"/>
    </row>
    <row r="81" spans="2:10">
      <c r="B81" s="169"/>
      <c r="C81" s="387" t="s">
        <v>670</v>
      </c>
      <c r="D81" s="729">
        <f>inputOth!$E$47</f>
        <v>0</v>
      </c>
      <c r="E81" s="228">
        <f>ROUND(IF(D81&gt;0,(E80*D81),0),0)</f>
        <v>0</v>
      </c>
      <c r="G81" s="677">
        <f>G78-G80</f>
        <v>27432</v>
      </c>
      <c r="H81" s="678" t="str">
        <f>CONCATENATE("Projected ",E1+1," carryover (est.)")</f>
        <v>Projected 2015 carryover (est.)</v>
      </c>
      <c r="I81" s="679"/>
      <c r="J81" s="680"/>
    </row>
    <row r="82" spans="2:10" ht="16.5" thickBot="1">
      <c r="B82" s="47"/>
      <c r="C82" s="797" t="str">
        <f>CONCATENATE("Amount of  ",$E$1-1," Ad Valorem Tax")</f>
        <v>Amount of  2013 Ad Valorem Tax</v>
      </c>
      <c r="D82" s="798"/>
      <c r="E82" s="651">
        <f>E80+E81</f>
        <v>257258</v>
      </c>
      <c r="G82" s="2"/>
      <c r="H82" s="2"/>
      <c r="I82" s="2"/>
    </row>
    <row r="83" spans="2:10" ht="16.5" thickTop="1">
      <c r="B83" s="47"/>
      <c r="C83" s="47"/>
      <c r="D83" s="47"/>
      <c r="E83" s="47"/>
      <c r="G83" s="787" t="s">
        <v>891</v>
      </c>
      <c r="H83" s="788"/>
      <c r="I83" s="788"/>
      <c r="J83" s="789"/>
    </row>
    <row r="84" spans="2:10">
      <c r="B84" s="405" t="s">
        <v>125</v>
      </c>
      <c r="C84" s="282">
        <v>11</v>
      </c>
      <c r="D84" s="47"/>
      <c r="E84" s="47"/>
      <c r="G84" s="634"/>
      <c r="H84" s="635"/>
      <c r="I84" s="636"/>
      <c r="J84" s="637"/>
    </row>
    <row r="85" spans="2:10">
      <c r="G85" s="638">
        <f>summ!H21</f>
        <v>14.448</v>
      </c>
      <c r="H85" s="635" t="str">
        <f>CONCATENATE("",E1," Fund Mill Rate")</f>
        <v>2014 Fund Mill Rate</v>
      </c>
      <c r="I85" s="636"/>
      <c r="J85" s="637"/>
    </row>
    <row r="86" spans="2:10">
      <c r="G86" s="639">
        <f>summ!E21</f>
        <v>5.5709999999999997</v>
      </c>
      <c r="H86" s="635" t="str">
        <f>CONCATENATE("",E1-1," Fund Mill Rate")</f>
        <v>2013 Fund Mill Rate</v>
      </c>
      <c r="I86" s="636"/>
      <c r="J86" s="637"/>
    </row>
    <row r="87" spans="2:10">
      <c r="G87" s="640">
        <f>summ!H52</f>
        <v>42.765000000000001</v>
      </c>
      <c r="H87" s="635" t="str">
        <f>CONCATENATE("Total ",E1," Mill Rate")</f>
        <v>Total 2014 Mill Rate</v>
      </c>
      <c r="I87" s="636"/>
      <c r="J87" s="637"/>
    </row>
    <row r="88" spans="2:10">
      <c r="G88" s="639">
        <f>summ!E52</f>
        <v>42.893999999999998</v>
      </c>
      <c r="H88" s="641" t="str">
        <f>CONCATENATE("Total ",E1-1," Mill Rate")</f>
        <v>Total 2013 Mill Rate</v>
      </c>
      <c r="I88" s="642"/>
      <c r="J88" s="643"/>
    </row>
    <row r="96" spans="2:10" hidden="1">
      <c r="C96" s="530" t="str">
        <f>IF(C35&gt;C37,"See Tab A","")</f>
        <v/>
      </c>
      <c r="D96" s="530" t="str">
        <f>IF(D33&gt;D37,"See Tab C","")</f>
        <v/>
      </c>
    </row>
    <row r="97" spans="3:4" hidden="1">
      <c r="C97" s="530" t="str">
        <f>IF(C36&lt;0,"See Tab B","")</f>
        <v/>
      </c>
      <c r="D97" s="530" t="str">
        <f>IF(D36&lt;0,"See Tab D","")</f>
        <v/>
      </c>
    </row>
    <row r="98" spans="3:4" hidden="1">
      <c r="C98" s="530" t="str">
        <f>IF(C73&gt;C77,"See Tab A","")</f>
        <v/>
      </c>
      <c r="D98" s="530" t="str">
        <f>IF(D73&gt;D77,"See Tab C","")</f>
        <v/>
      </c>
    </row>
    <row r="99" spans="3:4" hidden="1">
      <c r="C99" s="530" t="str">
        <f>IF(C76&lt;0,"See Tab B","")</f>
        <v/>
      </c>
      <c r="D99" s="530" t="str">
        <f>IF(D76&lt;0,"See Tab D","")</f>
        <v/>
      </c>
    </row>
  </sheetData>
  <mergeCells count="13">
    <mergeCell ref="G26:J26"/>
    <mergeCell ref="G33:J33"/>
    <mergeCell ref="G43:J43"/>
    <mergeCell ref="G66:J66"/>
    <mergeCell ref="G73:J73"/>
    <mergeCell ref="G83:J83"/>
    <mergeCell ref="C82:D82"/>
    <mergeCell ref="C78:D78"/>
    <mergeCell ref="C79:D79"/>
    <mergeCell ref="C38:D38"/>
    <mergeCell ref="C39:D39"/>
    <mergeCell ref="C43:D43"/>
    <mergeCell ref="C42:D42"/>
  </mergeCells>
  <phoneticPr fontId="0" type="noConversion"/>
  <conditionalFormatting sqref="E73">
    <cfRule type="cellIs" dxfId="268" priority="3" stopIfTrue="1" operator="greaterThan">
      <formula>$E$75*0.1</formula>
    </cfRule>
  </conditionalFormatting>
  <conditionalFormatting sqref="E78">
    <cfRule type="cellIs" dxfId="267" priority="4" stopIfTrue="1" operator="greaterThan">
      <formula>$E$75/0.95-$E$75</formula>
    </cfRule>
  </conditionalFormatting>
  <conditionalFormatting sqref="E33">
    <cfRule type="cellIs" dxfId="266" priority="5" stopIfTrue="1" operator="greaterThan">
      <formula>$E$35*0.1</formula>
    </cfRule>
  </conditionalFormatting>
  <conditionalFormatting sqref="E38">
    <cfRule type="cellIs" dxfId="265" priority="6" stopIfTrue="1" operator="greaterThan">
      <formula>$E$35/0.95-$E$35</formula>
    </cfRule>
  </conditionalFormatting>
  <conditionalFormatting sqref="C33">
    <cfRule type="cellIs" dxfId="264" priority="7" stopIfTrue="1" operator="greaterThan">
      <formula>$C$35*0.1</formula>
    </cfRule>
  </conditionalFormatting>
  <conditionalFormatting sqref="D33">
    <cfRule type="cellIs" dxfId="263" priority="8" stopIfTrue="1" operator="greaterThan">
      <formula>$D$35*0.1</formula>
    </cfRule>
  </conditionalFormatting>
  <conditionalFormatting sqref="D35">
    <cfRule type="cellIs" dxfId="262" priority="9" stopIfTrue="1" operator="greaterThan">
      <formula>$D$37</formula>
    </cfRule>
  </conditionalFormatting>
  <conditionalFormatting sqref="C35">
    <cfRule type="cellIs" dxfId="261" priority="10" stopIfTrue="1" operator="greaterThan">
      <formula>$C$37</formula>
    </cfRule>
  </conditionalFormatting>
  <conditionalFormatting sqref="C36 C76">
    <cfRule type="cellIs" dxfId="260" priority="11" stopIfTrue="1" operator="lessThan">
      <formula>0</formula>
    </cfRule>
  </conditionalFormatting>
  <conditionalFormatting sqref="C73">
    <cfRule type="cellIs" dxfId="259" priority="12" stopIfTrue="1" operator="greaterThan">
      <formula>$C$75*0.1</formula>
    </cfRule>
  </conditionalFormatting>
  <conditionalFormatting sqref="D73">
    <cfRule type="cellIs" dxfId="258" priority="13" stopIfTrue="1" operator="greaterThan">
      <formula>$D$75*0.1</formula>
    </cfRule>
  </conditionalFormatting>
  <conditionalFormatting sqref="D75">
    <cfRule type="cellIs" dxfId="257" priority="14" stopIfTrue="1" operator="greaterThan">
      <formula>$D$77</formula>
    </cfRule>
  </conditionalFormatting>
  <conditionalFormatting sqref="C75">
    <cfRule type="cellIs" dxfId="256" priority="15" stopIfTrue="1" operator="greaterThan">
      <formula>$C$77</formula>
    </cfRule>
  </conditionalFormatting>
  <conditionalFormatting sqref="D20">
    <cfRule type="cellIs" dxfId="255" priority="16" stopIfTrue="1" operator="greaterThan">
      <formula>$D$22*0.1</formula>
    </cfRule>
  </conditionalFormatting>
  <conditionalFormatting sqref="C20">
    <cfRule type="cellIs" dxfId="254" priority="17" stopIfTrue="1" operator="greaterThan">
      <formula>$C$22*0.1</formula>
    </cfRule>
  </conditionalFormatting>
  <conditionalFormatting sqref="D60">
    <cfRule type="cellIs" dxfId="253" priority="18" stopIfTrue="1" operator="greaterThan">
      <formula>$D$62*0.1</formula>
    </cfRule>
  </conditionalFormatting>
  <conditionalFormatting sqref="C60">
    <cfRule type="cellIs" dxfId="252" priority="19" stopIfTrue="1" operator="greaterThan">
      <formula>$C$62*0.1</formula>
    </cfRule>
  </conditionalFormatting>
  <conditionalFormatting sqref="E60">
    <cfRule type="cellIs" dxfId="251" priority="20" stopIfTrue="1" operator="greaterThan">
      <formula>$E$62*0.1+E82</formula>
    </cfRule>
  </conditionalFormatting>
  <conditionalFormatting sqref="E20">
    <cfRule type="cellIs" dxfId="250" priority="21" stopIfTrue="1" operator="greaterThan">
      <formula>$E$22*0.1+E42</formula>
    </cfRule>
  </conditionalFormatting>
  <conditionalFormatting sqref="D76 D36">
    <cfRule type="cellIs" dxfId="249" priority="2" stopIfTrue="1" operator="lessThan">
      <formula>0</formula>
    </cfRule>
  </conditionalFormatting>
  <pageMargins left="0.5" right="0.5" top="1" bottom="0.5" header="0.5" footer="0.5"/>
  <pageSetup scale="52" orientation="portrait" blackAndWhite="1" horizontalDpi="120" verticalDpi="144"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100"/>
  <sheetViews>
    <sheetView zoomScaleNormal="100" workbookViewId="0">
      <selection activeCell="B17" sqref="B17"/>
    </sheetView>
  </sheetViews>
  <sheetFormatPr defaultRowHeight="15.75"/>
  <cols>
    <col min="1" max="1" width="2.44140625" style="45" customWidth="1"/>
    <col min="2" max="2" width="31.109375" style="45" customWidth="1"/>
    <col min="3" max="4" width="15.77734375" style="45" customWidth="1"/>
    <col min="5" max="5" width="16.21875" style="45" customWidth="1"/>
    <col min="6" max="6" width="8.88671875" style="45"/>
    <col min="7" max="7" width="10.21875" style="45" customWidth="1"/>
    <col min="8" max="8" width="8.88671875" style="45"/>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t="s">
        <v>173</v>
      </c>
      <c r="C3" s="201"/>
      <c r="D3" s="201"/>
      <c r="E3" s="288"/>
    </row>
    <row r="4" spans="2:5">
      <c r="B4" s="52" t="s">
        <v>106</v>
      </c>
      <c r="C4" s="715" t="s">
        <v>950</v>
      </c>
      <c r="D4" s="716" t="s">
        <v>951</v>
      </c>
      <c r="E4" s="144" t="s">
        <v>952</v>
      </c>
    </row>
    <row r="5" spans="2:5">
      <c r="B5" s="535" t="str">
        <f>inputPrYr!B25</f>
        <v>Employee Benefits</v>
      </c>
      <c r="C5" s="225" t="str">
        <f>CONCATENATE("Actual for ",E1-2,"")</f>
        <v>Actual for 2012</v>
      </c>
      <c r="D5" s="225" t="str">
        <f>CONCATENATE("Estimate for ",E1-1,"")</f>
        <v>Estimate for 2013</v>
      </c>
      <c r="E5" s="208" t="str">
        <f>CONCATENATE("Year for ",E1,"")</f>
        <v>Year for 2014</v>
      </c>
    </row>
    <row r="6" spans="2:5">
      <c r="B6" s="252" t="s">
        <v>228</v>
      </c>
      <c r="C6" s="257">
        <v>2657</v>
      </c>
      <c r="D6" s="255">
        <f>C37</f>
        <v>7173</v>
      </c>
      <c r="E6" s="228">
        <f>D37</f>
        <v>22805</v>
      </c>
    </row>
    <row r="7" spans="2:5">
      <c r="B7" s="256" t="s">
        <v>230</v>
      </c>
      <c r="C7" s="159"/>
      <c r="D7" s="159"/>
      <c r="E7" s="87"/>
    </row>
    <row r="8" spans="2:5">
      <c r="B8" s="150" t="s">
        <v>107</v>
      </c>
      <c r="C8" s="257">
        <v>157694</v>
      </c>
      <c r="D8" s="255">
        <f>IF(inputPrYr!H16&gt;0,inputPrYr!G25,inputPrYr!E25)</f>
        <v>164371</v>
      </c>
      <c r="E8" s="286" t="s">
        <v>95</v>
      </c>
    </row>
    <row r="9" spans="2:5">
      <c r="B9" s="150" t="s">
        <v>108</v>
      </c>
      <c r="C9" s="257"/>
      <c r="D9" s="257"/>
      <c r="E9" s="67"/>
    </row>
    <row r="10" spans="2:5">
      <c r="B10" s="150" t="s">
        <v>109</v>
      </c>
      <c r="C10" s="257">
        <v>21975</v>
      </c>
      <c r="D10" s="257">
        <v>22539</v>
      </c>
      <c r="E10" s="228">
        <f>mvalloc!D14</f>
        <v>22885</v>
      </c>
    </row>
    <row r="11" spans="2:5">
      <c r="B11" s="150" t="s">
        <v>110</v>
      </c>
      <c r="C11" s="257">
        <v>343</v>
      </c>
      <c r="D11" s="257">
        <v>365</v>
      </c>
      <c r="E11" s="228">
        <f>mvalloc!E14</f>
        <v>348</v>
      </c>
    </row>
    <row r="12" spans="2:5">
      <c r="B12" s="159" t="s">
        <v>205</v>
      </c>
      <c r="C12" s="257">
        <v>332</v>
      </c>
      <c r="D12" s="257">
        <v>445</v>
      </c>
      <c r="E12" s="228">
        <f>mvalloc!F14</f>
        <v>374</v>
      </c>
    </row>
    <row r="13" spans="2:5">
      <c r="B13" s="273" t="s">
        <v>1056</v>
      </c>
      <c r="C13" s="257">
        <v>259937</v>
      </c>
      <c r="D13" s="257">
        <v>334367</v>
      </c>
      <c r="E13" s="67">
        <v>312235</v>
      </c>
    </row>
    <row r="14" spans="2:5">
      <c r="B14" s="273" t="s">
        <v>1057</v>
      </c>
      <c r="C14" s="257">
        <v>246650</v>
      </c>
      <c r="D14" s="257">
        <v>253702</v>
      </c>
      <c r="E14" s="67">
        <v>281640</v>
      </c>
    </row>
    <row r="15" spans="2:5">
      <c r="B15" s="273" t="s">
        <v>1058</v>
      </c>
      <c r="C15" s="257">
        <v>187843</v>
      </c>
      <c r="D15" s="257">
        <v>228000</v>
      </c>
      <c r="E15" s="67">
        <v>228000</v>
      </c>
    </row>
    <row r="16" spans="2:5">
      <c r="B16" s="273" t="s">
        <v>1023</v>
      </c>
      <c r="C16" s="257">
        <v>10000</v>
      </c>
      <c r="D16" s="257">
        <v>10000</v>
      </c>
      <c r="E16" s="67">
        <v>15000</v>
      </c>
    </row>
    <row r="17" spans="2:10">
      <c r="B17" s="273" t="s">
        <v>1024</v>
      </c>
      <c r="C17" s="257">
        <v>10000</v>
      </c>
      <c r="D17" s="257">
        <v>10000</v>
      </c>
      <c r="E17" s="67">
        <v>15000</v>
      </c>
    </row>
    <row r="18" spans="2:10">
      <c r="B18" s="273" t="s">
        <v>1060</v>
      </c>
      <c r="C18" s="257">
        <v>10000</v>
      </c>
      <c r="D18" s="257">
        <v>10000</v>
      </c>
      <c r="E18" s="67">
        <v>15000</v>
      </c>
    </row>
    <row r="19" spans="2:10">
      <c r="B19" s="273" t="s">
        <v>1146</v>
      </c>
      <c r="C19" s="257">
        <v>0</v>
      </c>
      <c r="D19" s="257">
        <v>0</v>
      </c>
      <c r="E19" s="67">
        <v>20000</v>
      </c>
    </row>
    <row r="20" spans="2:10">
      <c r="B20" s="261" t="s">
        <v>114</v>
      </c>
      <c r="C20" s="257"/>
      <c r="D20" s="257"/>
      <c r="E20" s="67"/>
    </row>
    <row r="21" spans="2:10">
      <c r="B21" s="159" t="s">
        <v>14</v>
      </c>
      <c r="C21" s="257">
        <v>7937</v>
      </c>
      <c r="D21" s="257">
        <v>6000</v>
      </c>
      <c r="E21" s="67">
        <v>5000</v>
      </c>
    </row>
    <row r="22" spans="2:10">
      <c r="B22" s="252" t="s">
        <v>784</v>
      </c>
      <c r="C22" s="262" t="str">
        <f>IF(C23*0.1&lt;C21,"Exceed 10% Rule","")</f>
        <v/>
      </c>
      <c r="D22" s="262" t="str">
        <f>IF(D23*0.1&lt;D21,"Exceed 10% Rule","")</f>
        <v/>
      </c>
      <c r="E22" s="299" t="str">
        <f>IF(E23*0.1+E43&lt;E21,"Exceed 10% Rule","")</f>
        <v/>
      </c>
    </row>
    <row r="23" spans="2:10">
      <c r="B23" s="264" t="s">
        <v>115</v>
      </c>
      <c r="C23" s="266">
        <f>SUM(C8:C21)</f>
        <v>912711</v>
      </c>
      <c r="D23" s="266">
        <f>SUM(D8:D21)</f>
        <v>1039789</v>
      </c>
      <c r="E23" s="267">
        <f>SUM(E8:E21)</f>
        <v>915482</v>
      </c>
    </row>
    <row r="24" spans="2:10">
      <c r="B24" s="264" t="s">
        <v>116</v>
      </c>
      <c r="C24" s="266">
        <f>C6+C23</f>
        <v>915368</v>
      </c>
      <c r="D24" s="266">
        <f>D6+D23</f>
        <v>1046962</v>
      </c>
      <c r="E24" s="267">
        <f>E6+E23</f>
        <v>938287</v>
      </c>
    </row>
    <row r="25" spans="2:10">
      <c r="B25" s="150" t="s">
        <v>118</v>
      </c>
      <c r="C25" s="274"/>
      <c r="D25" s="274"/>
      <c r="E25" s="65"/>
    </row>
    <row r="26" spans="2:10">
      <c r="B26" s="273" t="s">
        <v>1055</v>
      </c>
      <c r="C26" s="257">
        <v>908195</v>
      </c>
      <c r="D26" s="257">
        <v>1024157</v>
      </c>
      <c r="E26" s="67">
        <v>1099395</v>
      </c>
    </row>
    <row r="27" spans="2:10">
      <c r="B27" s="273"/>
      <c r="C27" s="257"/>
      <c r="D27" s="257"/>
      <c r="E27" s="67"/>
      <c r="G27" s="804" t="str">
        <f>CONCATENATE("Desired Carryover Into ",E1+1,"")</f>
        <v>Desired Carryover Into 2015</v>
      </c>
      <c r="H27" s="799"/>
      <c r="I27" s="799"/>
      <c r="J27" s="800"/>
    </row>
    <row r="28" spans="2:10">
      <c r="B28" s="273"/>
      <c r="C28" s="257"/>
      <c r="D28" s="257"/>
      <c r="E28" s="67"/>
      <c r="G28" s="652"/>
      <c r="H28" s="653"/>
      <c r="I28" s="654"/>
      <c r="J28" s="655"/>
    </row>
    <row r="29" spans="2:10">
      <c r="B29" s="273"/>
      <c r="C29" s="257"/>
      <c r="D29" s="257"/>
      <c r="E29" s="67"/>
      <c r="G29" s="656" t="s">
        <v>772</v>
      </c>
      <c r="H29" s="654"/>
      <c r="I29" s="654"/>
      <c r="J29" s="657">
        <v>0</v>
      </c>
    </row>
    <row r="30" spans="2:10">
      <c r="B30" s="273"/>
      <c r="C30" s="257"/>
      <c r="D30" s="257"/>
      <c r="E30" s="67"/>
      <c r="G30" s="652" t="s">
        <v>773</v>
      </c>
      <c r="H30" s="653"/>
      <c r="I30" s="653"/>
      <c r="J30" s="658" t="str">
        <f>IF(J29=0,"",ROUND((J29+E43-G42)/inputOth!E7*1000,3)-G47)</f>
        <v/>
      </c>
    </row>
    <row r="31" spans="2:10">
      <c r="B31" s="273"/>
      <c r="C31" s="257"/>
      <c r="D31" s="257"/>
      <c r="E31" s="67"/>
      <c r="G31" s="659" t="str">
        <f>CONCATENATE("",E1," Tot Exp/Non-Appr Must Be:")</f>
        <v>2014 Tot Exp/Non-Appr Must Be:</v>
      </c>
      <c r="H31" s="660"/>
      <c r="I31" s="661"/>
      <c r="J31" s="662">
        <f>IF(J29&gt;0,IF(E40&lt;E24,IF(J29=G42,E40,((J29-G42)*(1-D42))+E24),E40+(J29-G42)),0)</f>
        <v>0</v>
      </c>
    </row>
    <row r="32" spans="2:10">
      <c r="B32" s="273"/>
      <c r="C32" s="257"/>
      <c r="D32" s="257"/>
      <c r="E32" s="67"/>
      <c r="G32" s="663" t="s">
        <v>892</v>
      </c>
      <c r="H32" s="664"/>
      <c r="I32" s="664"/>
      <c r="J32" s="665">
        <f>IF(J29&gt;0,J31-E41,0)</f>
        <v>0</v>
      </c>
    </row>
    <row r="33" spans="2:11">
      <c r="B33" s="274" t="s">
        <v>13</v>
      </c>
      <c r="C33" s="257"/>
      <c r="D33" s="257"/>
      <c r="E33" s="82">
        <f>nhood!E13</f>
        <v>2509</v>
      </c>
      <c r="J33" s="2"/>
    </row>
    <row r="34" spans="2:11">
      <c r="B34" s="274" t="s">
        <v>14</v>
      </c>
      <c r="C34" s="257"/>
      <c r="D34" s="257"/>
      <c r="E34" s="67"/>
      <c r="G34" s="804" t="str">
        <f>CONCATENATE("Projected Carryover Into ",E1+1,"")</f>
        <v>Projected Carryover Into 2015</v>
      </c>
      <c r="H34" s="808"/>
      <c r="I34" s="808"/>
      <c r="J34" s="806"/>
    </row>
    <row r="35" spans="2:11">
      <c r="B35" s="274" t="s">
        <v>785</v>
      </c>
      <c r="C35" s="262" t="str">
        <f>IF(C36*0.1&lt;C34,"Exceed 10% Rule","")</f>
        <v/>
      </c>
      <c r="D35" s="262" t="str">
        <f>IF(D36*0.1&lt;D34,"Exceed 10% Rule","")</f>
        <v/>
      </c>
      <c r="E35" s="299" t="str">
        <f>IF(E36*0.1&lt;E34,"Exceed 10% Rule","")</f>
        <v/>
      </c>
      <c r="G35" s="652"/>
      <c r="H35" s="654"/>
      <c r="I35" s="654"/>
      <c r="J35" s="667"/>
    </row>
    <row r="36" spans="2:11">
      <c r="B36" s="264" t="s">
        <v>122</v>
      </c>
      <c r="C36" s="266">
        <f>SUM(C26:C34)</f>
        <v>908195</v>
      </c>
      <c r="D36" s="266">
        <f>SUM(D26:D34)</f>
        <v>1024157</v>
      </c>
      <c r="E36" s="267">
        <f>SUM(E26:E34)</f>
        <v>1101904</v>
      </c>
      <c r="G36" s="668">
        <f>D37</f>
        <v>22805</v>
      </c>
      <c r="H36" s="635" t="str">
        <f>CONCATENATE("",E1-1," Ending Cash Balance (est.)")</f>
        <v>2013 Ending Cash Balance (est.)</v>
      </c>
      <c r="I36" s="669"/>
      <c r="J36" s="667"/>
    </row>
    <row r="37" spans="2:11">
      <c r="B37" s="150" t="s">
        <v>229</v>
      </c>
      <c r="C37" s="270">
        <f>C24-C36</f>
        <v>7173</v>
      </c>
      <c r="D37" s="270">
        <f>D24-D36</f>
        <v>22805</v>
      </c>
      <c r="E37" s="286" t="s">
        <v>95</v>
      </c>
      <c r="G37" s="668">
        <f>E23</f>
        <v>915482</v>
      </c>
      <c r="H37" s="654" t="str">
        <f>CONCATENATE("",E1," Non-AV Receipts (est.)")</f>
        <v>2014 Non-AV Receipts (est.)</v>
      </c>
      <c r="I37" s="669"/>
      <c r="J37" s="667"/>
    </row>
    <row r="38" spans="2:11">
      <c r="B38" s="136" t="str">
        <f>CONCATENATE("",E1-2,"/",E1-1," Budget Authority Amount:")</f>
        <v>2012/2013 Budget Authority Amount:</v>
      </c>
      <c r="C38" s="241">
        <f>inputOth!B67</f>
        <v>1001854</v>
      </c>
      <c r="D38" s="241">
        <f>inputPrYr!D25</f>
        <v>1046633</v>
      </c>
      <c r="E38" s="286" t="s">
        <v>95</v>
      </c>
      <c r="F38" s="276"/>
      <c r="G38" s="670">
        <f>IF(E42&gt;0,E41,E43)</f>
        <v>163617</v>
      </c>
      <c r="H38" s="654" t="str">
        <f>CONCATENATE("",E1," Ad Valorem Tax (est.)")</f>
        <v>2014 Ad Valorem Tax (est.)</v>
      </c>
      <c r="I38" s="669"/>
      <c r="J38" s="648"/>
      <c r="K38" s="644" t="str">
        <f>IF(G38=E43,"","Note: Does not include Delinquent Taxes")</f>
        <v/>
      </c>
    </row>
    <row r="39" spans="2:11">
      <c r="B39" s="136"/>
      <c r="C39" s="793" t="s">
        <v>671</v>
      </c>
      <c r="D39" s="794"/>
      <c r="E39" s="67"/>
      <c r="F39" s="739" t="str">
        <f>IF(E36/0.95-E36&lt;E39,"Exceeds 5%","")</f>
        <v/>
      </c>
      <c r="G39" s="668">
        <f>SUM(G36:G38)</f>
        <v>1101904</v>
      </c>
      <c r="H39" s="654" t="str">
        <f>CONCATENATE("Total ",E1," Resources Available")</f>
        <v>Total 2014 Resources Available</v>
      </c>
      <c r="I39" s="669"/>
      <c r="J39" s="667"/>
    </row>
    <row r="40" spans="2:11">
      <c r="B40" s="531" t="str">
        <f>CONCATENATE(C97,"     ",D97)</f>
        <v xml:space="preserve">     </v>
      </c>
      <c r="C40" s="795" t="s">
        <v>672</v>
      </c>
      <c r="D40" s="796"/>
      <c r="E40" s="228">
        <f>E36+E39</f>
        <v>1101904</v>
      </c>
      <c r="G40" s="705"/>
      <c r="H40" s="654"/>
      <c r="I40" s="654"/>
      <c r="J40" s="667"/>
    </row>
    <row r="41" spans="2:11">
      <c r="B41" s="531" t="str">
        <f>CONCATENATE(C98,"     ",D98)</f>
        <v xml:space="preserve">     </v>
      </c>
      <c r="C41" s="277"/>
      <c r="D41" s="169" t="s">
        <v>123</v>
      </c>
      <c r="E41" s="82">
        <f>IF(E40-E24&gt;0,E40-E24,0)</f>
        <v>163617</v>
      </c>
      <c r="G41" s="670">
        <f>ROUND(C36*0.05+C36,0)</f>
        <v>953605</v>
      </c>
      <c r="H41" s="654" t="str">
        <f>CONCATENATE("Less ",E1-2," Expenditures + 5%")</f>
        <v>Less 2012 Expenditures + 5%</v>
      </c>
      <c r="I41" s="669"/>
      <c r="J41" s="667"/>
    </row>
    <row r="42" spans="2:11">
      <c r="B42" s="169"/>
      <c r="C42" s="387" t="s">
        <v>670</v>
      </c>
      <c r="D42" s="729">
        <f>inputOth!$E$47</f>
        <v>0</v>
      </c>
      <c r="E42" s="228">
        <f>ROUND(IF(D42&gt;0,(E41*D42),0),0)</f>
        <v>0</v>
      </c>
      <c r="G42" s="706">
        <f>G39-G41</f>
        <v>148299</v>
      </c>
      <c r="H42" s="707" t="str">
        <f>CONCATENATE("Projected ",E1+1," carryover (est.)")</f>
        <v>Projected 2015 carryover (est.)</v>
      </c>
      <c r="I42" s="708"/>
      <c r="J42" s="680"/>
    </row>
    <row r="43" spans="2:11" ht="16.5" thickBot="1">
      <c r="B43" s="98"/>
      <c r="C43" s="797" t="str">
        <f>CONCATENATE("Amount of  ",$E$1-1," Ad Valorem Tax")</f>
        <v>Amount of  2013 Ad Valorem Tax</v>
      </c>
      <c r="D43" s="798"/>
      <c r="E43" s="651">
        <f>E41+E42</f>
        <v>163617</v>
      </c>
      <c r="G43" s="2"/>
      <c r="H43" s="2"/>
      <c r="I43" s="2"/>
      <c r="J43" s="2"/>
    </row>
    <row r="44" spans="2:11" ht="16.5" thickTop="1">
      <c r="B44" s="47"/>
      <c r="C44" s="98"/>
      <c r="D44" s="98"/>
      <c r="E44" s="47"/>
      <c r="G44" s="787" t="s">
        <v>891</v>
      </c>
      <c r="H44" s="788"/>
      <c r="I44" s="788"/>
      <c r="J44" s="789"/>
    </row>
    <row r="45" spans="2:11">
      <c r="B45" s="52"/>
      <c r="C45" s="289"/>
      <c r="D45" s="289"/>
      <c r="E45" s="289"/>
      <c r="G45" s="634"/>
      <c r="H45" s="635"/>
      <c r="I45" s="636"/>
      <c r="J45" s="637"/>
    </row>
    <row r="46" spans="2:11">
      <c r="B46" s="52" t="s">
        <v>106</v>
      </c>
      <c r="C46" s="715" t="s">
        <v>950</v>
      </c>
      <c r="D46" s="716" t="s">
        <v>951</v>
      </c>
      <c r="E46" s="144" t="s">
        <v>952</v>
      </c>
      <c r="G46" s="638">
        <f>summ!H22</f>
        <v>9.1890000000000001</v>
      </c>
      <c r="H46" s="635" t="str">
        <f>CONCATENATE("",E1," Fund Mill Rate")</f>
        <v>2014 Fund Mill Rate</v>
      </c>
      <c r="I46" s="636"/>
      <c r="J46" s="637"/>
    </row>
    <row r="47" spans="2:11">
      <c r="B47" s="535">
        <f>inputPrYr!B26</f>
        <v>0</v>
      </c>
      <c r="C47" s="225" t="str">
        <f>CONCATENATE("Actual for ",E1-2,"")</f>
        <v>Actual for 2012</v>
      </c>
      <c r="D47" s="225" t="str">
        <f>CONCATENATE("Estimate for ",E1-1,"")</f>
        <v>Estimate for 2013</v>
      </c>
      <c r="E47" s="208" t="str">
        <f>CONCATENATE("Year for ",E1,"")</f>
        <v>Year for 2014</v>
      </c>
      <c r="G47" s="639">
        <f>summ!E22</f>
        <v>3.7290000000000001</v>
      </c>
      <c r="H47" s="635" t="str">
        <f>CONCATENATE("",E1-1," Fund Mill Rate")</f>
        <v>2013 Fund Mill Rate</v>
      </c>
      <c r="I47" s="636"/>
      <c r="J47" s="637"/>
    </row>
    <row r="48" spans="2:11">
      <c r="B48" s="252" t="s">
        <v>228</v>
      </c>
      <c r="C48" s="257"/>
      <c r="D48" s="255">
        <f>C77</f>
        <v>0</v>
      </c>
      <c r="E48" s="228">
        <f>D77</f>
        <v>0</v>
      </c>
      <c r="G48" s="640">
        <f>summ!H52</f>
        <v>42.765000000000001</v>
      </c>
      <c r="H48" s="635" t="str">
        <f>CONCATENATE("Total ",E1," Mill Rate")</f>
        <v>Total 2014 Mill Rate</v>
      </c>
      <c r="I48" s="636"/>
      <c r="J48" s="637"/>
    </row>
    <row r="49" spans="2:10">
      <c r="B49" s="256" t="s">
        <v>230</v>
      </c>
      <c r="C49" s="159"/>
      <c r="D49" s="159"/>
      <c r="E49" s="87"/>
      <c r="G49" s="639">
        <f>summ!E52</f>
        <v>42.893999999999998</v>
      </c>
      <c r="H49" s="641" t="str">
        <f>CONCATENATE("Total ",E1-1," Mill Rate")</f>
        <v>Total 2013 Mill Rate</v>
      </c>
      <c r="I49" s="642"/>
      <c r="J49" s="643"/>
    </row>
    <row r="50" spans="2:10">
      <c r="B50" s="150" t="s">
        <v>107</v>
      </c>
      <c r="C50" s="257"/>
      <c r="D50" s="255">
        <f>IF(inputPrYr!H16&gt;0,inputPrYr!G26,inputPrYr!E26)</f>
        <v>0</v>
      </c>
      <c r="E50" s="286" t="s">
        <v>95</v>
      </c>
    </row>
    <row r="51" spans="2:10">
      <c r="B51" s="150" t="s">
        <v>108</v>
      </c>
      <c r="C51" s="257"/>
      <c r="D51" s="257"/>
      <c r="E51" s="67"/>
    </row>
    <row r="52" spans="2:10">
      <c r="B52" s="150" t="s">
        <v>109</v>
      </c>
      <c r="C52" s="257"/>
      <c r="D52" s="257"/>
      <c r="E52" s="228" t="str">
        <f>mvalloc!D15</f>
        <v xml:space="preserve">  </v>
      </c>
    </row>
    <row r="53" spans="2:10">
      <c r="B53" s="150" t="s">
        <v>110</v>
      </c>
      <c r="C53" s="257"/>
      <c r="D53" s="257"/>
      <c r="E53" s="228" t="str">
        <f>mvalloc!E15</f>
        <v xml:space="preserve"> </v>
      </c>
    </row>
    <row r="54" spans="2:10">
      <c r="B54" s="159" t="s">
        <v>205</v>
      </c>
      <c r="C54" s="257"/>
      <c r="D54" s="257"/>
      <c r="E54" s="228" t="str">
        <f>mvalloc!F15</f>
        <v xml:space="preserve"> </v>
      </c>
    </row>
    <row r="55" spans="2:10">
      <c r="B55" s="273"/>
      <c r="C55" s="257"/>
      <c r="D55" s="257"/>
      <c r="E55" s="67"/>
    </row>
    <row r="56" spans="2:10">
      <c r="B56" s="273"/>
      <c r="C56" s="257"/>
      <c r="D56" s="257"/>
      <c r="E56" s="67"/>
    </row>
    <row r="57" spans="2:10">
      <c r="B57" s="273"/>
      <c r="C57" s="257"/>
      <c r="D57" s="257"/>
      <c r="E57" s="67"/>
    </row>
    <row r="58" spans="2:10">
      <c r="B58" s="273"/>
      <c r="C58" s="257"/>
      <c r="D58" s="257"/>
      <c r="E58" s="67"/>
    </row>
    <row r="59" spans="2:10">
      <c r="B59" s="273"/>
      <c r="C59" s="257"/>
      <c r="D59" s="257"/>
      <c r="E59" s="67"/>
    </row>
    <row r="60" spans="2:10">
      <c r="B60" s="261" t="s">
        <v>114</v>
      </c>
      <c r="C60" s="257"/>
      <c r="D60" s="257"/>
      <c r="E60" s="67"/>
    </row>
    <row r="61" spans="2:10">
      <c r="B61" s="159" t="s">
        <v>14</v>
      </c>
      <c r="C61" s="257"/>
      <c r="D61" s="257"/>
      <c r="E61" s="67"/>
    </row>
    <row r="62" spans="2:10">
      <c r="B62" s="252" t="s">
        <v>784</v>
      </c>
      <c r="C62" s="262" t="str">
        <f>IF(C63*0.1&lt;C61,"Exceed 10% Rule","")</f>
        <v/>
      </c>
      <c r="D62" s="262" t="str">
        <f>IF(D63*0.1&lt;D61,"Exceed 10% Rule","")</f>
        <v/>
      </c>
      <c r="E62" s="299" t="str">
        <f>IF(E63*0.1+E83&lt;E61,"Exceed 10% Rule","")</f>
        <v/>
      </c>
    </row>
    <row r="63" spans="2:10">
      <c r="B63" s="264" t="s">
        <v>115</v>
      </c>
      <c r="C63" s="266">
        <f>SUM(C50:C61)</f>
        <v>0</v>
      </c>
      <c r="D63" s="266">
        <f>SUM(D50:D61)</f>
        <v>0</v>
      </c>
      <c r="E63" s="267">
        <f>SUM(E50:E61)</f>
        <v>0</v>
      </c>
    </row>
    <row r="64" spans="2:10">
      <c r="B64" s="264" t="s">
        <v>116</v>
      </c>
      <c r="C64" s="266">
        <f>C48+C63</f>
        <v>0</v>
      </c>
      <c r="D64" s="266">
        <f>D48+D63</f>
        <v>0</v>
      </c>
      <c r="E64" s="267">
        <f>E48+E63</f>
        <v>0</v>
      </c>
    </row>
    <row r="65" spans="2:11">
      <c r="B65" s="150" t="s">
        <v>118</v>
      </c>
      <c r="C65" s="274"/>
      <c r="D65" s="274"/>
      <c r="E65" s="65"/>
    </row>
    <row r="66" spans="2:11">
      <c r="B66" s="273"/>
      <c r="C66" s="257"/>
      <c r="D66" s="257"/>
      <c r="E66" s="67"/>
    </row>
    <row r="67" spans="2:11">
      <c r="B67" s="273"/>
      <c r="C67" s="257"/>
      <c r="D67" s="257"/>
      <c r="E67" s="67"/>
      <c r="G67" s="804" t="str">
        <f>CONCATENATE("Desired Carryover Into ",E1+1,"")</f>
        <v>Desired Carryover Into 2015</v>
      </c>
      <c r="H67" s="799"/>
      <c r="I67" s="799"/>
      <c r="J67" s="800"/>
    </row>
    <row r="68" spans="2:11">
      <c r="B68" s="273"/>
      <c r="C68" s="257"/>
      <c r="D68" s="257"/>
      <c r="E68" s="67"/>
      <c r="G68" s="652"/>
      <c r="H68" s="653"/>
      <c r="I68" s="654"/>
      <c r="J68" s="655"/>
    </row>
    <row r="69" spans="2:11">
      <c r="B69" s="273"/>
      <c r="C69" s="257"/>
      <c r="D69" s="257"/>
      <c r="E69" s="67"/>
      <c r="G69" s="656" t="s">
        <v>772</v>
      </c>
      <c r="H69" s="654"/>
      <c r="I69" s="654"/>
      <c r="J69" s="657">
        <v>0</v>
      </c>
    </row>
    <row r="70" spans="2:11">
      <c r="B70" s="273"/>
      <c r="C70" s="257"/>
      <c r="D70" s="257"/>
      <c r="E70" s="67"/>
      <c r="G70" s="652" t="s">
        <v>773</v>
      </c>
      <c r="H70" s="653"/>
      <c r="I70" s="653"/>
      <c r="J70" s="658" t="str">
        <f>IF(J69=0,"",ROUND((J69+E83-G82)/inputOth!E7*1000,3)-G87)</f>
        <v/>
      </c>
    </row>
    <row r="71" spans="2:11">
      <c r="B71" s="273"/>
      <c r="C71" s="257"/>
      <c r="D71" s="257"/>
      <c r="E71" s="67"/>
      <c r="G71" s="659" t="str">
        <f>CONCATENATE("",E1," Tot Exp/Non-Appr Must Be:")</f>
        <v>2014 Tot Exp/Non-Appr Must Be:</v>
      </c>
      <c r="H71" s="660"/>
      <c r="I71" s="661"/>
      <c r="J71" s="662">
        <f>IF(J69&gt;0,IF(E80&lt;E64,IF(J69=G82,E80,((J69-G82)*(1-D82))+E64),E80+(J69-G82)),0)</f>
        <v>0</v>
      </c>
    </row>
    <row r="72" spans="2:11">
      <c r="B72" s="273"/>
      <c r="C72" s="257"/>
      <c r="D72" s="257"/>
      <c r="E72" s="385"/>
      <c r="G72" s="663" t="s">
        <v>892</v>
      </c>
      <c r="H72" s="664"/>
      <c r="I72" s="664"/>
      <c r="J72" s="665">
        <f>IF(J69&gt;0,J71-E80,0)</f>
        <v>0</v>
      </c>
    </row>
    <row r="73" spans="2:11">
      <c r="B73" s="274" t="s">
        <v>13</v>
      </c>
      <c r="C73" s="257"/>
      <c r="D73" s="257"/>
      <c r="E73" s="82" t="str">
        <f>nhood!E14</f>
        <v/>
      </c>
      <c r="J73" s="2"/>
    </row>
    <row r="74" spans="2:11">
      <c r="B74" s="274" t="s">
        <v>14</v>
      </c>
      <c r="C74" s="257"/>
      <c r="D74" s="257"/>
      <c r="E74" s="67"/>
      <c r="G74" s="804" t="str">
        <f>CONCATENATE("Projected Carryover Into ",E1+1,"")</f>
        <v>Projected Carryover Into 2015</v>
      </c>
      <c r="H74" s="805"/>
      <c r="I74" s="805"/>
      <c r="J74" s="806"/>
    </row>
    <row r="75" spans="2:11">
      <c r="B75" s="274" t="s">
        <v>785</v>
      </c>
      <c r="C75" s="262" t="str">
        <f>IF(C76*0.1&lt;C74,"Exceed 10% Rule","")</f>
        <v/>
      </c>
      <c r="D75" s="262" t="str">
        <f>IF(D76*0.1&lt;D74,"Exceed 10% Rule","")</f>
        <v/>
      </c>
      <c r="E75" s="299" t="str">
        <f>IF(E76*0.1&lt;E74,"Exceed 10% Rule","")</f>
        <v/>
      </c>
      <c r="G75" s="666"/>
      <c r="H75" s="653"/>
      <c r="I75" s="653"/>
      <c r="J75" s="673"/>
    </row>
    <row r="76" spans="2:11">
      <c r="B76" s="264" t="s">
        <v>122</v>
      </c>
      <c r="C76" s="266">
        <f>SUM(C66:C74)</f>
        <v>0</v>
      </c>
      <c r="D76" s="266">
        <f>SUM(D66:D74)</f>
        <v>0</v>
      </c>
      <c r="E76" s="267">
        <f>SUM(E66:E74)</f>
        <v>0</v>
      </c>
      <c r="G76" s="668">
        <f>D77</f>
        <v>0</v>
      </c>
      <c r="H76" s="635" t="str">
        <f>CONCATENATE("",E1-1," Ending Cash Balance (est.)")</f>
        <v>2013 Ending Cash Balance (est.)</v>
      </c>
      <c r="I76" s="669"/>
      <c r="J76" s="673"/>
    </row>
    <row r="77" spans="2:11">
      <c r="B77" s="150" t="s">
        <v>229</v>
      </c>
      <c r="C77" s="270">
        <f>C64-C76</f>
        <v>0</v>
      </c>
      <c r="D77" s="270">
        <f>D64-D76</f>
        <v>0</v>
      </c>
      <c r="E77" s="286" t="s">
        <v>95</v>
      </c>
      <c r="G77" s="668">
        <f>E63</f>
        <v>0</v>
      </c>
      <c r="H77" s="654" t="str">
        <f>CONCATENATE("",E1," Non-AV Receipts (est.)")</f>
        <v>2014 Non-AV Receipts (est.)</v>
      </c>
      <c r="I77" s="669"/>
      <c r="J77" s="673"/>
    </row>
    <row r="78" spans="2:11">
      <c r="B78" s="136" t="str">
        <f>CONCATENATE("",E1-2,"/",E1-1," Budget Authority Amount:")</f>
        <v>2012/2013 Budget Authority Amount:</v>
      </c>
      <c r="C78" s="241">
        <f>inputOth!B68</f>
        <v>0</v>
      </c>
      <c r="D78" s="241">
        <f>inputPrYr!D26</f>
        <v>0</v>
      </c>
      <c r="E78" s="286" t="s">
        <v>95</v>
      </c>
      <c r="F78" s="276"/>
      <c r="G78" s="670">
        <f>IF(D82&gt;0,E81,E83)</f>
        <v>0</v>
      </c>
      <c r="H78" s="654" t="str">
        <f>CONCATENATE("",E1," Ad Valorem Tax (est.)")</f>
        <v>2014 Ad Valorem Tax (est.)</v>
      </c>
      <c r="I78" s="669"/>
      <c r="J78" s="673"/>
      <c r="K78" s="644" t="str">
        <f>IF(G78=E83,"","Note: Does not include Delinquent Taxes")</f>
        <v/>
      </c>
    </row>
    <row r="79" spans="2:11">
      <c r="B79" s="136"/>
      <c r="C79" s="793" t="s">
        <v>671</v>
      </c>
      <c r="D79" s="794"/>
      <c r="E79" s="67"/>
      <c r="F79" s="739" t="str">
        <f>IF(E76/0.95-E76&lt;E79,"Exceeds 5%","")</f>
        <v/>
      </c>
      <c r="G79" s="672">
        <f>SUM(G76:G78)</f>
        <v>0</v>
      </c>
      <c r="H79" s="654" t="str">
        <f>CONCATENATE("Total ",E1," Resources Available")</f>
        <v>Total 2014 Resources Available</v>
      </c>
      <c r="I79" s="673"/>
      <c r="J79" s="673"/>
    </row>
    <row r="80" spans="2:11">
      <c r="B80" s="531" t="str">
        <f>CONCATENATE(C99,"     ",D99)</f>
        <v xml:space="preserve">     </v>
      </c>
      <c r="C80" s="795" t="s">
        <v>672</v>
      </c>
      <c r="D80" s="796"/>
      <c r="E80" s="228">
        <f>E76+E79</f>
        <v>0</v>
      </c>
      <c r="G80" s="674"/>
      <c r="H80" s="675"/>
      <c r="I80" s="653"/>
      <c r="J80" s="673"/>
    </row>
    <row r="81" spans="2:10">
      <c r="B81" s="531" t="str">
        <f>CONCATENATE(C100,"     ",D100)</f>
        <v xml:space="preserve">     </v>
      </c>
      <c r="C81" s="277"/>
      <c r="D81" s="169" t="s">
        <v>123</v>
      </c>
      <c r="E81" s="82">
        <f>IF(E80-E64&gt;0,E80-E64,0)</f>
        <v>0</v>
      </c>
      <c r="G81" s="676">
        <f>ROUND(C76*0.05+C76,0)</f>
        <v>0</v>
      </c>
      <c r="H81" s="675" t="str">
        <f>CONCATENATE("Less ",E1-2," Expenditures + 5%")</f>
        <v>Less 2012 Expenditures + 5%</v>
      </c>
      <c r="I81" s="673"/>
      <c r="J81" s="673"/>
    </row>
    <row r="82" spans="2:10">
      <c r="B82" s="136"/>
      <c r="C82" s="387" t="s">
        <v>670</v>
      </c>
      <c r="D82" s="729">
        <f>inputOth!$E$47</f>
        <v>0</v>
      </c>
      <c r="E82" s="228">
        <f>ROUND(IF(D82&gt;0,(E81*D82),0),0)</f>
        <v>0</v>
      </c>
      <c r="G82" s="677">
        <f>G79-G81</f>
        <v>0</v>
      </c>
      <c r="H82" s="678" t="str">
        <f>CONCATENATE("Projected ",E1+1," carryover (est.)")</f>
        <v>Projected 2015 carryover (est.)</v>
      </c>
      <c r="I82" s="679"/>
      <c r="J82" s="680"/>
    </row>
    <row r="83" spans="2:10" ht="16.5" thickBot="1">
      <c r="B83" s="169"/>
      <c r="C83" s="797" t="str">
        <f>CONCATENATE("Amount of  ",$E$1-1," Ad Valorem Tax")</f>
        <v>Amount of  2013 Ad Valorem Tax</v>
      </c>
      <c r="D83" s="798"/>
      <c r="E83" s="651">
        <f>E81+E82</f>
        <v>0</v>
      </c>
      <c r="G83" s="2"/>
      <c r="H83" s="2"/>
      <c r="I83" s="2"/>
    </row>
    <row r="84" spans="2:10" ht="16.5" thickTop="1">
      <c r="B84" s="47"/>
      <c r="C84" s="47"/>
      <c r="D84" s="47"/>
      <c r="E84" s="47"/>
      <c r="G84" s="787" t="s">
        <v>891</v>
      </c>
      <c r="H84" s="788"/>
      <c r="I84" s="788"/>
      <c r="J84" s="789"/>
    </row>
    <row r="85" spans="2:10">
      <c r="B85" s="405" t="s">
        <v>125</v>
      </c>
      <c r="C85" s="282">
        <v>12</v>
      </c>
      <c r="D85" s="47"/>
      <c r="E85" s="47"/>
      <c r="G85" s="634"/>
      <c r="H85" s="635"/>
      <c r="I85" s="636"/>
      <c r="J85" s="637"/>
    </row>
    <row r="86" spans="2:10">
      <c r="B86" s="169"/>
      <c r="G86" s="638" t="str">
        <f>summ!H23</f>
        <v xml:space="preserve">  </v>
      </c>
      <c r="H86" s="635" t="str">
        <f>CONCATENATE("",E1," Fund Mill Rate")</f>
        <v>2014 Fund Mill Rate</v>
      </c>
      <c r="I86" s="636"/>
      <c r="J86" s="637"/>
    </row>
    <row r="87" spans="2:10">
      <c r="G87" s="639" t="str">
        <f>summ!E23</f>
        <v xml:space="preserve">  </v>
      </c>
      <c r="H87" s="635" t="str">
        <f>CONCATENATE("",E1-1," Fund Mill Rate")</f>
        <v>2013 Fund Mill Rate</v>
      </c>
      <c r="I87" s="636"/>
      <c r="J87" s="637"/>
    </row>
    <row r="88" spans="2:10">
      <c r="G88" s="640">
        <f>summ!H52</f>
        <v>42.765000000000001</v>
      </c>
      <c r="H88" s="635" t="str">
        <f>CONCATENATE("Total ",E1," Mill Rate")</f>
        <v>Total 2014 Mill Rate</v>
      </c>
      <c r="I88" s="636"/>
      <c r="J88" s="637"/>
    </row>
    <row r="89" spans="2:10">
      <c r="G89" s="639">
        <f>summ!E52</f>
        <v>42.893999999999998</v>
      </c>
      <c r="H89" s="641" t="str">
        <f>CONCATENATE("Total ",E1-1," Mill Rate")</f>
        <v>Total 2013 Mill Rate</v>
      </c>
      <c r="I89" s="642"/>
      <c r="J89" s="643"/>
    </row>
    <row r="97" spans="3:4" hidden="1">
      <c r="C97" s="530" t="str">
        <f>IF(C36&gt;C38,"See Tab A","")</f>
        <v/>
      </c>
      <c r="D97" s="530" t="str">
        <f>IF(D34&gt;D38,"See Tab C","")</f>
        <v/>
      </c>
    </row>
    <row r="98" spans="3:4" hidden="1">
      <c r="C98" s="530" t="str">
        <f>IF(C37&lt;0,"See Tab B","")</f>
        <v/>
      </c>
      <c r="D98" s="530" t="str">
        <f>IF(D37&lt;0,"See Tab D","")</f>
        <v/>
      </c>
    </row>
    <row r="99" spans="3:4" hidden="1">
      <c r="C99" s="530" t="str">
        <f>IF(C74&gt;C78,"See Tab A","")</f>
        <v/>
      </c>
      <c r="D99" s="530" t="str">
        <f>IF(D74&gt;D78,"See Tab C","")</f>
        <v/>
      </c>
    </row>
    <row r="100" spans="3:4" hidden="1">
      <c r="C100" s="530" t="str">
        <f>IF(C77&lt;0,"See Tab B","")</f>
        <v/>
      </c>
      <c r="D100" s="530" t="str">
        <f>IF(D77&lt;0,"See Tab D","")</f>
        <v/>
      </c>
    </row>
  </sheetData>
  <mergeCells count="12">
    <mergeCell ref="G27:J27"/>
    <mergeCell ref="G34:J34"/>
    <mergeCell ref="G44:J44"/>
    <mergeCell ref="G67:J67"/>
    <mergeCell ref="G74:J74"/>
    <mergeCell ref="G84:J84"/>
    <mergeCell ref="C39:D39"/>
    <mergeCell ref="C40:D40"/>
    <mergeCell ref="C79:D79"/>
    <mergeCell ref="C80:D80"/>
    <mergeCell ref="C83:D83"/>
    <mergeCell ref="C43:D43"/>
  </mergeCells>
  <phoneticPr fontId="0" type="noConversion"/>
  <conditionalFormatting sqref="E34">
    <cfRule type="cellIs" dxfId="248" priority="4" stopIfTrue="1" operator="greaterThan">
      <formula>$E$36*0.1</formula>
    </cfRule>
  </conditionalFormatting>
  <conditionalFormatting sqref="E39">
    <cfRule type="cellIs" dxfId="247" priority="5" stopIfTrue="1" operator="greaterThan">
      <formula>$E$36/0.95-$E$36</formula>
    </cfRule>
  </conditionalFormatting>
  <conditionalFormatting sqref="E74">
    <cfRule type="cellIs" dxfId="246" priority="6" stopIfTrue="1" operator="greaterThan">
      <formula>$E$76*0.1</formula>
    </cfRule>
  </conditionalFormatting>
  <conditionalFormatting sqref="E79">
    <cfRule type="cellIs" dxfId="245" priority="7" stopIfTrue="1" operator="greaterThan">
      <formula>$E$76/0.95-$E$76</formula>
    </cfRule>
  </conditionalFormatting>
  <conditionalFormatting sqref="C34">
    <cfRule type="cellIs" dxfId="244" priority="8" stopIfTrue="1" operator="greaterThan">
      <formula>$C$36*0.1</formula>
    </cfRule>
  </conditionalFormatting>
  <conditionalFormatting sqref="D34">
    <cfRule type="cellIs" dxfId="243" priority="9" stopIfTrue="1" operator="greaterThan">
      <formula>$D$36*0.1</formula>
    </cfRule>
  </conditionalFormatting>
  <conditionalFormatting sqref="D36">
    <cfRule type="cellIs" dxfId="242" priority="10" stopIfTrue="1" operator="greaterThan">
      <formula>$D$38</formula>
    </cfRule>
  </conditionalFormatting>
  <conditionalFormatting sqref="C36">
    <cfRule type="cellIs" dxfId="241" priority="11" stopIfTrue="1" operator="greaterThan">
      <formula>$C$38</formula>
    </cfRule>
  </conditionalFormatting>
  <conditionalFormatting sqref="C37 C77">
    <cfRule type="cellIs" dxfId="240" priority="12" stopIfTrue="1" operator="lessThan">
      <formula>0</formula>
    </cfRule>
  </conditionalFormatting>
  <conditionalFormatting sqref="C74">
    <cfRule type="cellIs" dxfId="239" priority="13" stopIfTrue="1" operator="greaterThan">
      <formula>$C$76*0.1</formula>
    </cfRule>
  </conditionalFormatting>
  <conditionalFormatting sqref="D74">
    <cfRule type="cellIs" dxfId="238" priority="14" stopIfTrue="1" operator="greaterThan">
      <formula>$D$76*0.1</formula>
    </cfRule>
  </conditionalFormatting>
  <conditionalFormatting sqref="D76">
    <cfRule type="cellIs" dxfId="237" priority="15" stopIfTrue="1" operator="greaterThan">
      <formula>$D$78</formula>
    </cfRule>
  </conditionalFormatting>
  <conditionalFormatting sqref="C76">
    <cfRule type="cellIs" dxfId="236" priority="16" stopIfTrue="1" operator="greaterThan">
      <formula>$C$78</formula>
    </cfRule>
  </conditionalFormatting>
  <conditionalFormatting sqref="D21">
    <cfRule type="cellIs" dxfId="235" priority="17" stopIfTrue="1" operator="greaterThan">
      <formula>$D$23*0.1</formula>
    </cfRule>
  </conditionalFormatting>
  <conditionalFormatting sqref="C21">
    <cfRule type="cellIs" dxfId="234" priority="18" stopIfTrue="1" operator="greaterThan">
      <formula>$C$23*0.1</formula>
    </cfRule>
  </conditionalFormatting>
  <conditionalFormatting sqref="D61">
    <cfRule type="cellIs" dxfId="233" priority="19" stopIfTrue="1" operator="greaterThan">
      <formula>$D$63*0.1</formula>
    </cfRule>
  </conditionalFormatting>
  <conditionalFormatting sqref="C61">
    <cfRule type="cellIs" dxfId="232" priority="20" stopIfTrue="1" operator="greaterThan">
      <formula>$C$63*0.1</formula>
    </cfRule>
  </conditionalFormatting>
  <conditionalFormatting sqref="E21">
    <cfRule type="cellIs" dxfId="231" priority="21" stopIfTrue="1" operator="greaterThan">
      <formula>$E$23*0.1+E43</formula>
    </cfRule>
  </conditionalFormatting>
  <conditionalFormatting sqref="D77 D37">
    <cfRule type="cellIs" dxfId="230" priority="3" stopIfTrue="1" operator="lessThan">
      <formula>0</formula>
    </cfRule>
  </conditionalFormatting>
  <conditionalFormatting sqref="E61">
    <cfRule type="cellIs" dxfId="229" priority="1" stopIfTrue="1" operator="greaterThan">
      <formula>$E$63*0.1+$E$83</formula>
    </cfRule>
  </conditionalFormatting>
  <pageMargins left="0.5" right="0.5" top="1" bottom="0.5" header="0.5" footer="0.5"/>
  <pageSetup scale="51" orientation="portrait" blackAndWhite="1" horizontalDpi="120" verticalDpi="144" r:id="rId1"/>
  <headerFooter alignWithMargins="0">
    <oddHeader>&amp;RState of Kansas
City</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7"/>
  <sheetViews>
    <sheetView zoomScaleNormal="100" workbookViewId="0">
      <selection activeCell="B11" sqref="B11"/>
    </sheetView>
  </sheetViews>
  <sheetFormatPr defaultRowHeight="15.75"/>
  <cols>
    <col min="1" max="1" width="2.44140625" style="45" customWidth="1"/>
    <col min="2" max="2" width="31.109375" style="45" customWidth="1"/>
    <col min="3" max="4" width="15.77734375" style="45" customWidth="1"/>
    <col min="5" max="5" width="16.21875" style="45" customWidth="1"/>
    <col min="6" max="16384" width="8.88671875" style="45"/>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(inputPrYr!B34)</f>
        <v>Special Highway</v>
      </c>
      <c r="C5" s="225" t="str">
        <f>CONCATENATE("Actual for ",E1-2,"")</f>
        <v>Actual for 2012</v>
      </c>
      <c r="D5" s="225" t="str">
        <f>CONCATENATE("Estimate for ",E1-1,"")</f>
        <v>Estimate for 2013</v>
      </c>
      <c r="E5" s="208" t="str">
        <f>CONCATENATE("Year for ",E1,"")</f>
        <v>Year for 2014</v>
      </c>
    </row>
    <row r="6" spans="2:5">
      <c r="B6" s="252" t="s">
        <v>228</v>
      </c>
      <c r="C6" s="67">
        <v>6017</v>
      </c>
      <c r="D6" s="228">
        <f>C31</f>
        <v>13876</v>
      </c>
      <c r="E6" s="228">
        <f>D31</f>
        <v>15454</v>
      </c>
    </row>
    <row r="7" spans="2:5">
      <c r="B7" s="256" t="s">
        <v>230</v>
      </c>
      <c r="C7" s="87"/>
      <c r="D7" s="87"/>
      <c r="E7" s="87"/>
    </row>
    <row r="8" spans="2:5">
      <c r="B8" s="274" t="s">
        <v>208</v>
      </c>
      <c r="C8" s="67">
        <v>88301</v>
      </c>
      <c r="D8" s="292">
        <f>inputOth!E52</f>
        <v>88800</v>
      </c>
      <c r="E8" s="228">
        <f>inputOth!E50</f>
        <v>88550</v>
      </c>
    </row>
    <row r="9" spans="2:5">
      <c r="B9" s="293" t="s">
        <v>278</v>
      </c>
      <c r="C9" s="67"/>
      <c r="D9" s="292">
        <f>inputOth!E53</f>
        <v>0</v>
      </c>
      <c r="E9" s="292">
        <f>inputOth!E51</f>
        <v>0</v>
      </c>
    </row>
    <row r="10" spans="2:5">
      <c r="B10" s="273"/>
      <c r="C10" s="67"/>
      <c r="D10" s="67"/>
      <c r="E10" s="67"/>
    </row>
    <row r="11" spans="2:5">
      <c r="B11" s="273"/>
      <c r="C11" s="67"/>
      <c r="D11" s="67"/>
      <c r="E11" s="67"/>
    </row>
    <row r="12" spans="2:5">
      <c r="B12" s="273"/>
      <c r="C12" s="67"/>
      <c r="D12" s="67"/>
      <c r="E12" s="67"/>
    </row>
    <row r="13" spans="2:5">
      <c r="B13" s="273"/>
      <c r="C13" s="67"/>
      <c r="D13" s="67"/>
      <c r="E13" s="67"/>
    </row>
    <row r="14" spans="2:5">
      <c r="B14" s="261" t="s">
        <v>114</v>
      </c>
      <c r="C14" s="67"/>
      <c r="D14" s="67"/>
      <c r="E14" s="67"/>
    </row>
    <row r="15" spans="2:5">
      <c r="B15" s="159" t="s">
        <v>14</v>
      </c>
      <c r="C15" s="67"/>
      <c r="D15" s="258">
        <v>0</v>
      </c>
      <c r="E15" s="258"/>
    </row>
    <row r="16" spans="2:5">
      <c r="B16" s="252" t="s">
        <v>784</v>
      </c>
      <c r="C16" s="299" t="str">
        <f>IF(C17*0.1&lt;C15,"Exceed 10% Rule","")</f>
        <v/>
      </c>
      <c r="D16" s="263" t="str">
        <f>IF(D17*0.1&lt;D15,"Exceed 10% Rule","")</f>
        <v/>
      </c>
      <c r="E16" s="263" t="str">
        <f>IF(E17*0.1&lt;E15,"Exceed 10% Rule","")</f>
        <v/>
      </c>
    </row>
    <row r="17" spans="2:5">
      <c r="B17" s="264" t="s">
        <v>115</v>
      </c>
      <c r="C17" s="267">
        <f>SUM(C8:C15)</f>
        <v>88301</v>
      </c>
      <c r="D17" s="267">
        <f>SUM(D8:D15)</f>
        <v>88800</v>
      </c>
      <c r="E17" s="267">
        <f>SUM(E8:E15)</f>
        <v>88550</v>
      </c>
    </row>
    <row r="18" spans="2:5">
      <c r="B18" s="264" t="s">
        <v>116</v>
      </c>
      <c r="C18" s="267">
        <f>C6+C17</f>
        <v>94318</v>
      </c>
      <c r="D18" s="267">
        <f>D6+D17</f>
        <v>102676</v>
      </c>
      <c r="E18" s="267">
        <f>E6+E17</f>
        <v>104004</v>
      </c>
    </row>
    <row r="19" spans="2:5">
      <c r="B19" s="150" t="s">
        <v>118</v>
      </c>
      <c r="C19" s="228"/>
      <c r="D19" s="228"/>
      <c r="E19" s="228"/>
    </row>
    <row r="20" spans="2:5">
      <c r="B20" s="273" t="s">
        <v>1055</v>
      </c>
      <c r="C20" s="67">
        <v>80397</v>
      </c>
      <c r="D20" s="67">
        <v>86722</v>
      </c>
      <c r="E20" s="67">
        <v>90790</v>
      </c>
    </row>
    <row r="21" spans="2:5">
      <c r="B21" s="273" t="s">
        <v>1015</v>
      </c>
      <c r="C21" s="67">
        <v>45</v>
      </c>
      <c r="D21" s="67">
        <v>500</v>
      </c>
      <c r="E21" s="67">
        <v>500</v>
      </c>
    </row>
    <row r="22" spans="2:5">
      <c r="B22" s="273" t="s">
        <v>1016</v>
      </c>
      <c r="C22" s="67">
        <v>0</v>
      </c>
      <c r="D22" s="67">
        <v>0</v>
      </c>
      <c r="E22" s="67">
        <v>0</v>
      </c>
    </row>
    <row r="23" spans="2:5">
      <c r="B23" s="273"/>
      <c r="C23" s="67"/>
      <c r="D23" s="67"/>
      <c r="E23" s="67"/>
    </row>
    <row r="24" spans="2:5">
      <c r="B24" s="273"/>
      <c r="C24" s="67"/>
      <c r="D24" s="67"/>
      <c r="E24" s="67"/>
    </row>
    <row r="25" spans="2:5">
      <c r="B25" s="273"/>
      <c r="C25" s="67"/>
      <c r="D25" s="67"/>
      <c r="E25" s="67"/>
    </row>
    <row r="26" spans="2:5">
      <c r="B26" s="273"/>
      <c r="C26" s="67"/>
      <c r="D26" s="67"/>
      <c r="E26" s="67"/>
    </row>
    <row r="27" spans="2:5">
      <c r="B27" s="273"/>
      <c r="C27" s="67"/>
      <c r="D27" s="67"/>
      <c r="E27" s="67"/>
    </row>
    <row r="28" spans="2:5">
      <c r="B28" s="274" t="s">
        <v>14</v>
      </c>
      <c r="C28" s="67"/>
      <c r="D28" s="258"/>
      <c r="E28" s="258"/>
    </row>
    <row r="29" spans="2:5">
      <c r="B29" s="274" t="s">
        <v>785</v>
      </c>
      <c r="C29" s="299" t="str">
        <f>IF(C30*0.1&lt;C28,"Exceed 10% Rule","")</f>
        <v/>
      </c>
      <c r="D29" s="263" t="str">
        <f>IF(D30*0.1&lt;D28,"Exceed 10% Rule","")</f>
        <v/>
      </c>
      <c r="E29" s="263" t="str">
        <f>IF(E30*0.1&lt;E28,"Exceed 10% Rule","")</f>
        <v/>
      </c>
    </row>
    <row r="30" spans="2:5">
      <c r="B30" s="264" t="s">
        <v>122</v>
      </c>
      <c r="C30" s="267">
        <f>SUM(C20:C28)</f>
        <v>80442</v>
      </c>
      <c r="D30" s="267">
        <f>SUM(D20:D28)</f>
        <v>87222</v>
      </c>
      <c r="E30" s="267">
        <f>SUM(E20:E28)</f>
        <v>91290</v>
      </c>
    </row>
    <row r="31" spans="2:5">
      <c r="B31" s="150" t="s">
        <v>229</v>
      </c>
      <c r="C31" s="82">
        <f>C18-C30</f>
        <v>13876</v>
      </c>
      <c r="D31" s="82">
        <f>D18-D30</f>
        <v>15454</v>
      </c>
      <c r="E31" s="82">
        <f>E18-E30</f>
        <v>12714</v>
      </c>
    </row>
    <row r="32" spans="2:5">
      <c r="B32" s="136" t="str">
        <f>CONCATENATE("",E1-2,"/",E1-1," Budget Authority Amount:")</f>
        <v>2012/2013 Budget Authority Amount:</v>
      </c>
      <c r="C32" s="241">
        <f>inputOth!B73</f>
        <v>86292</v>
      </c>
      <c r="D32" s="241">
        <f>inputPrYr!D34</f>
        <v>87222</v>
      </c>
      <c r="E32" s="381" t="str">
        <f>IF(E31&lt;0,"See Tab E","")</f>
        <v/>
      </c>
    </row>
    <row r="33" spans="2:5">
      <c r="B33" s="136"/>
      <c r="C33" s="277" t="str">
        <f>IF(C30&gt;C32,"See Tab A","")</f>
        <v/>
      </c>
      <c r="D33" s="277" t="str">
        <f>IF(D30&gt;D32,"See Tab C","")</f>
        <v/>
      </c>
      <c r="E33" s="97"/>
    </row>
    <row r="34" spans="2:5">
      <c r="B34" s="136"/>
      <c r="C34" s="277" t="str">
        <f>IF(C31&lt;0,"See Tab B","")</f>
        <v/>
      </c>
      <c r="D34" s="277" t="str">
        <f>IF(D31&lt;0,"See Tab D","")</f>
        <v/>
      </c>
      <c r="E34" s="97"/>
    </row>
    <row r="35" spans="2:5">
      <c r="B35" s="47"/>
      <c r="C35" s="97"/>
      <c r="D35" s="97"/>
      <c r="E35" s="97"/>
    </row>
    <row r="36" spans="2:5">
      <c r="B36" s="52" t="s">
        <v>106</v>
      </c>
      <c r="C36" s="294"/>
      <c r="D36" s="294"/>
      <c r="E36" s="294"/>
    </row>
    <row r="37" spans="2:5">
      <c r="B37" s="47"/>
      <c r="C37" s="715" t="s">
        <v>950</v>
      </c>
      <c r="D37" s="716" t="s">
        <v>951</v>
      </c>
      <c r="E37" s="144" t="s">
        <v>952</v>
      </c>
    </row>
    <row r="38" spans="2:5">
      <c r="B38" s="535" t="str">
        <f>(inputPrYr!B35)</f>
        <v>State Aid</v>
      </c>
      <c r="C38" s="225" t="str">
        <f>CONCATENATE("Actual for ",$E$1-2,"")</f>
        <v>Actual for 2012</v>
      </c>
      <c r="D38" s="225" t="str">
        <f>CONCATENATE("Estimate for ",$E$1-1,"")</f>
        <v>Estimate for 2013</v>
      </c>
      <c r="E38" s="208" t="str">
        <f>CONCATENATE("Year for ",$E$1,"")</f>
        <v>Year for 2014</v>
      </c>
    </row>
    <row r="39" spans="2:5">
      <c r="B39" s="252" t="s">
        <v>228</v>
      </c>
      <c r="C39" s="67">
        <v>0</v>
      </c>
      <c r="D39" s="228">
        <f>C62</f>
        <v>74</v>
      </c>
      <c r="E39" s="228">
        <f>D62</f>
        <v>74</v>
      </c>
    </row>
    <row r="40" spans="2:5">
      <c r="B40" s="256" t="s">
        <v>230</v>
      </c>
      <c r="C40" s="87"/>
      <c r="D40" s="87"/>
      <c r="E40" s="87"/>
    </row>
    <row r="41" spans="2:5">
      <c r="B41" s="273" t="s">
        <v>1061</v>
      </c>
      <c r="C41" s="67">
        <v>1454</v>
      </c>
      <c r="D41" s="67">
        <v>1352</v>
      </c>
      <c r="E41" s="67">
        <v>1217</v>
      </c>
    </row>
    <row r="42" spans="2:5">
      <c r="B42" s="273"/>
      <c r="C42" s="67"/>
      <c r="D42" s="67"/>
      <c r="E42" s="67"/>
    </row>
    <row r="43" spans="2:5">
      <c r="B43" s="273"/>
      <c r="C43" s="67"/>
      <c r="D43" s="67"/>
      <c r="E43" s="67"/>
    </row>
    <row r="44" spans="2:5">
      <c r="B44" s="273"/>
      <c r="C44" s="67"/>
      <c r="D44" s="67"/>
      <c r="E44" s="67"/>
    </row>
    <row r="45" spans="2:5">
      <c r="B45" s="261" t="s">
        <v>114</v>
      </c>
      <c r="C45" s="67"/>
      <c r="D45" s="67"/>
      <c r="E45" s="67"/>
    </row>
    <row r="46" spans="2:5">
      <c r="B46" s="159" t="s">
        <v>14</v>
      </c>
      <c r="C46" s="67"/>
      <c r="D46" s="258"/>
      <c r="E46" s="258"/>
    </row>
    <row r="47" spans="2:5">
      <c r="B47" s="252" t="s">
        <v>784</v>
      </c>
      <c r="C47" s="299" t="str">
        <f>IF(C48*0.1&lt;C46,"Exceed 10% Rule","")</f>
        <v/>
      </c>
      <c r="D47" s="263" t="str">
        <f>IF(D48*0.1&lt;D46,"Exceed 10% Rule","")</f>
        <v/>
      </c>
      <c r="E47" s="263" t="str">
        <f>IF(E48*0.1&lt;E46,"Exceed 10% Rule","")</f>
        <v/>
      </c>
    </row>
    <row r="48" spans="2:5">
      <c r="B48" s="264" t="s">
        <v>115</v>
      </c>
      <c r="C48" s="267">
        <f>SUM(C41:C46)</f>
        <v>1454</v>
      </c>
      <c r="D48" s="267">
        <f>SUM(D41:D46)</f>
        <v>1352</v>
      </c>
      <c r="E48" s="267">
        <f>SUM(E41:E46)</f>
        <v>1217</v>
      </c>
    </row>
    <row r="49" spans="2:5">
      <c r="B49" s="264" t="s">
        <v>116</v>
      </c>
      <c r="C49" s="267">
        <f>C39+C48</f>
        <v>1454</v>
      </c>
      <c r="D49" s="267">
        <f>D39+D48</f>
        <v>1426</v>
      </c>
      <c r="E49" s="267">
        <f>E39+E48</f>
        <v>1291</v>
      </c>
    </row>
    <row r="50" spans="2:5">
      <c r="B50" s="150" t="s">
        <v>118</v>
      </c>
      <c r="C50" s="228"/>
      <c r="D50" s="228"/>
      <c r="E50" s="228"/>
    </row>
    <row r="51" spans="2:5">
      <c r="B51" s="273" t="s">
        <v>1062</v>
      </c>
      <c r="C51" s="67">
        <v>1380</v>
      </c>
      <c r="D51" s="67">
        <v>1352</v>
      </c>
      <c r="E51" s="67">
        <v>1217</v>
      </c>
    </row>
    <row r="52" spans="2:5">
      <c r="B52" s="273"/>
      <c r="C52" s="67"/>
      <c r="D52" s="67"/>
      <c r="E52" s="67"/>
    </row>
    <row r="53" spans="2:5">
      <c r="B53" s="273"/>
      <c r="C53" s="67"/>
      <c r="D53" s="67"/>
      <c r="E53" s="67"/>
    </row>
    <row r="54" spans="2:5">
      <c r="B54" s="273"/>
      <c r="C54" s="67"/>
      <c r="D54" s="67"/>
      <c r="E54" s="67"/>
    </row>
    <row r="55" spans="2:5">
      <c r="B55" s="273"/>
      <c r="C55" s="67"/>
      <c r="D55" s="67"/>
      <c r="E55" s="67"/>
    </row>
    <row r="56" spans="2:5">
      <c r="B56" s="273"/>
      <c r="C56" s="67"/>
      <c r="D56" s="67"/>
      <c r="E56" s="67"/>
    </row>
    <row r="57" spans="2:5">
      <c r="B57" s="273"/>
      <c r="C57" s="67"/>
      <c r="D57" s="67"/>
      <c r="E57" s="67"/>
    </row>
    <row r="58" spans="2:5">
      <c r="B58" s="273"/>
      <c r="C58" s="67"/>
      <c r="D58" s="67"/>
      <c r="E58" s="67"/>
    </row>
    <row r="59" spans="2:5">
      <c r="B59" s="274" t="s">
        <v>14</v>
      </c>
      <c r="C59" s="67"/>
      <c r="D59" s="258"/>
      <c r="E59" s="258"/>
    </row>
    <row r="60" spans="2:5">
      <c r="B60" s="274" t="s">
        <v>785</v>
      </c>
      <c r="C60" s="299" t="str">
        <f>IF(C61*0.1&lt;C59,"Exceed 10% Rule","")</f>
        <v/>
      </c>
      <c r="D60" s="263" t="str">
        <f>IF(D61*0.1&lt;D59,"Exceed 10% Rule","")</f>
        <v/>
      </c>
      <c r="E60" s="263" t="str">
        <f>IF(E61*0.1&lt;E59,"Exceed 10% Rule","")</f>
        <v/>
      </c>
    </row>
    <row r="61" spans="2:5">
      <c r="B61" s="264" t="s">
        <v>122</v>
      </c>
      <c r="C61" s="267">
        <f>SUM(C51:C59)</f>
        <v>1380</v>
      </c>
      <c r="D61" s="267">
        <f>SUM(D51:D59)</f>
        <v>1352</v>
      </c>
      <c r="E61" s="267">
        <f>SUM(E51:E59)</f>
        <v>1217</v>
      </c>
    </row>
    <row r="62" spans="2:5">
      <c r="B62" s="150" t="s">
        <v>229</v>
      </c>
      <c r="C62" s="82">
        <f>C49-C61</f>
        <v>74</v>
      </c>
      <c r="D62" s="82">
        <f>D49-D61</f>
        <v>74</v>
      </c>
      <c r="E62" s="82">
        <f>E49-E61</f>
        <v>74</v>
      </c>
    </row>
    <row r="63" spans="2:5">
      <c r="B63" s="136" t="str">
        <f>CONCATENATE("",E1-2,"/",E1-1," Budget Authority Amount:")</f>
        <v>2012/2013 Budget Authority Amount:</v>
      </c>
      <c r="C63" s="241">
        <f>inputOth!B74</f>
        <v>1380</v>
      </c>
      <c r="D63" s="241">
        <f>inputPrYr!D35</f>
        <v>1352</v>
      </c>
      <c r="E63" s="381" t="str">
        <f>IF(E62&lt;0,"See Tab E","")</f>
        <v/>
      </c>
    </row>
    <row r="64" spans="2:5">
      <c r="B64" s="136"/>
      <c r="C64" s="277" t="str">
        <f>IF(C61&gt;C63,"See Tab A","")</f>
        <v/>
      </c>
      <c r="D64" s="277" t="str">
        <f>IF(D61&gt;D63,"See Tab C","")</f>
        <v/>
      </c>
      <c r="E64" s="47"/>
    </row>
    <row r="65" spans="2:5">
      <c r="B65" s="136"/>
      <c r="C65" s="277" t="str">
        <f>IF(C62&lt;0,"See Tab B","")</f>
        <v/>
      </c>
      <c r="D65" s="277" t="str">
        <f>IF(D62&lt;0,"See Tab D","")</f>
        <v/>
      </c>
      <c r="E65" s="47"/>
    </row>
    <row r="66" spans="2:5">
      <c r="B66" s="47"/>
      <c r="C66" s="47"/>
      <c r="D66" s="47"/>
      <c r="E66" s="47"/>
    </row>
    <row r="67" spans="2:5">
      <c r="B67" s="405" t="s">
        <v>125</v>
      </c>
      <c r="C67" s="282">
        <v>13</v>
      </c>
      <c r="D67" s="47"/>
      <c r="E67" s="47"/>
    </row>
  </sheetData>
  <sheetProtection sheet="1" objects="1" scenarios="1"/>
  <phoneticPr fontId="0" type="noConversion"/>
  <conditionalFormatting sqref="C15">
    <cfRule type="cellIs" dxfId="228" priority="3" stopIfTrue="1" operator="greaterThan">
      <formula>$C$17*0.1</formula>
    </cfRule>
  </conditionalFormatting>
  <conditionalFormatting sqref="D15">
    <cfRule type="cellIs" dxfId="227" priority="4" stopIfTrue="1" operator="greaterThan">
      <formula>$D$17*0.1</formula>
    </cfRule>
  </conditionalFormatting>
  <conditionalFormatting sqref="E15">
    <cfRule type="cellIs" dxfId="226" priority="5" stopIfTrue="1" operator="greaterThan">
      <formula>$E$17*0.1</formula>
    </cfRule>
  </conditionalFormatting>
  <conditionalFormatting sqref="C28">
    <cfRule type="cellIs" dxfId="225" priority="6" stopIfTrue="1" operator="greaterThan">
      <formula>$C$30*0.1</formula>
    </cfRule>
  </conditionalFormatting>
  <conditionalFormatting sqref="D28">
    <cfRule type="cellIs" dxfId="224" priority="7" stopIfTrue="1" operator="greaterThan">
      <formula>$D$30*0.1</formula>
    </cfRule>
  </conditionalFormatting>
  <conditionalFormatting sqref="E28">
    <cfRule type="cellIs" dxfId="223" priority="8" stopIfTrue="1" operator="greaterThan">
      <formula>$E$30*0.1</formula>
    </cfRule>
  </conditionalFormatting>
  <conditionalFormatting sqref="C46">
    <cfRule type="cellIs" dxfId="222" priority="9" stopIfTrue="1" operator="greaterThan">
      <formula>$C$48*0.1</formula>
    </cfRule>
  </conditionalFormatting>
  <conditionalFormatting sqref="D46">
    <cfRule type="cellIs" dxfId="221" priority="10" stopIfTrue="1" operator="greaterThan">
      <formula>$D$48*0.1</formula>
    </cfRule>
  </conditionalFormatting>
  <conditionalFormatting sqref="E46">
    <cfRule type="cellIs" dxfId="220" priority="11" stopIfTrue="1" operator="greaterThan">
      <formula>$E$48*0.1</formula>
    </cfRule>
  </conditionalFormatting>
  <conditionalFormatting sqref="C59">
    <cfRule type="cellIs" dxfId="219" priority="12" stopIfTrue="1" operator="greaterThan">
      <formula>$C$61*0.1</formula>
    </cfRule>
  </conditionalFormatting>
  <conditionalFormatting sqref="D59">
    <cfRule type="cellIs" dxfId="218" priority="13" stopIfTrue="1" operator="greaterThan">
      <formula>$D$61*0.1</formula>
    </cfRule>
  </conditionalFormatting>
  <conditionalFormatting sqref="E59">
    <cfRule type="cellIs" dxfId="217" priority="14" stopIfTrue="1" operator="greaterThan">
      <formula>$E$61*0.1</formula>
    </cfRule>
  </conditionalFormatting>
  <conditionalFormatting sqref="D61">
    <cfRule type="cellIs" dxfId="216" priority="15" stopIfTrue="1" operator="greaterThan">
      <formula>$D$63</formula>
    </cfRule>
  </conditionalFormatting>
  <conditionalFormatting sqref="C61">
    <cfRule type="cellIs" dxfId="215" priority="16" stopIfTrue="1" operator="greaterThan">
      <formula>$C$63</formula>
    </cfRule>
  </conditionalFormatting>
  <conditionalFormatting sqref="C62 E62 C31 E31">
    <cfRule type="cellIs" dxfId="214" priority="17" stopIfTrue="1" operator="lessThan">
      <formula>0</formula>
    </cfRule>
  </conditionalFormatting>
  <conditionalFormatting sqref="D30">
    <cfRule type="cellIs" dxfId="213" priority="18" stopIfTrue="1" operator="greaterThan">
      <formula>$D$32</formula>
    </cfRule>
  </conditionalFormatting>
  <conditionalFormatting sqref="C30">
    <cfRule type="cellIs" dxfId="212" priority="19" stopIfTrue="1" operator="greaterThan">
      <formula>$C$32</formula>
    </cfRule>
  </conditionalFormatting>
  <conditionalFormatting sqref="D31">
    <cfRule type="cellIs" dxfId="211" priority="2" stopIfTrue="1" operator="lessThan">
      <formula>0</formula>
    </cfRule>
  </conditionalFormatting>
  <conditionalFormatting sqref="D62">
    <cfRule type="cellIs" dxfId="210" priority="1" stopIfTrue="1" operator="lessThan">
      <formula>0</formula>
    </cfRule>
  </conditionalFormatting>
  <pageMargins left="0.5" right="0.5" top="1" bottom="0.5" header="0.5" footer="0.5"/>
  <pageSetup scale="65" orientation="portrait" blackAndWhite="1" horizontalDpi="120" verticalDpi="144" r:id="rId1"/>
  <headerFooter alignWithMargins="0">
    <oddHeader>&amp;RState of Kansas
City</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125"/>
  <sheetViews>
    <sheetView workbookViewId="0">
      <selection activeCell="D84" sqref="D84"/>
    </sheetView>
  </sheetViews>
  <sheetFormatPr defaultRowHeight="15.75"/>
  <cols>
    <col min="1" max="1" width="15.77734375" style="45" customWidth="1"/>
    <col min="2" max="2" width="20.77734375" style="45" customWidth="1"/>
    <col min="3" max="3" width="9.77734375" style="45" customWidth="1"/>
    <col min="4" max="4" width="15.109375" style="45" customWidth="1"/>
    <col min="5" max="5" width="15.77734375" style="45" customWidth="1"/>
    <col min="6" max="6" width="1.88671875" style="45" customWidth="1"/>
    <col min="7" max="7" width="18.6640625" style="45" customWidth="1"/>
    <col min="8" max="16384" width="8.88671875" style="45"/>
  </cols>
  <sheetData>
    <row r="1" spans="1:8">
      <c r="A1" s="747" t="s">
        <v>73</v>
      </c>
      <c r="B1" s="748"/>
      <c r="C1" s="748"/>
      <c r="D1" s="748"/>
      <c r="E1" s="748"/>
    </row>
    <row r="2" spans="1:8">
      <c r="A2" s="46" t="s">
        <v>19</v>
      </c>
      <c r="B2" s="47"/>
      <c r="C2" s="47"/>
      <c r="D2" s="48" t="s">
        <v>1107</v>
      </c>
      <c r="E2" s="49"/>
    </row>
    <row r="3" spans="1:8">
      <c r="A3" s="46" t="s">
        <v>20</v>
      </c>
      <c r="B3" s="47"/>
      <c r="C3" s="47"/>
      <c r="D3" s="50" t="s">
        <v>1108</v>
      </c>
      <c r="E3" s="51"/>
    </row>
    <row r="4" spans="1:8">
      <c r="A4" s="52"/>
      <c r="B4" s="47"/>
      <c r="C4" s="47"/>
      <c r="D4" s="53"/>
      <c r="E4" s="47"/>
    </row>
    <row r="5" spans="1:8">
      <c r="A5" s="46" t="s">
        <v>269</v>
      </c>
      <c r="B5" s="47"/>
      <c r="C5" s="54">
        <v>2014</v>
      </c>
      <c r="D5" s="53"/>
      <c r="E5" s="47"/>
    </row>
    <row r="6" spans="1:8">
      <c r="A6" s="47"/>
      <c r="B6" s="47"/>
      <c r="C6" s="47"/>
      <c r="D6" s="47"/>
      <c r="E6" s="47"/>
    </row>
    <row r="7" spans="1:8">
      <c r="A7" s="55" t="s">
        <v>401</v>
      </c>
      <c r="B7" s="56"/>
      <c r="C7" s="56"/>
      <c r="D7" s="56"/>
      <c r="E7" s="56"/>
    </row>
    <row r="8" spans="1:8">
      <c r="A8" s="55" t="s">
        <v>400</v>
      </c>
      <c r="B8" s="56"/>
      <c r="C8" s="56"/>
      <c r="D8" s="56"/>
      <c r="E8" s="56"/>
      <c r="F8" s="47"/>
      <c r="G8" s="749" t="s">
        <v>871</v>
      </c>
      <c r="H8" s="750"/>
    </row>
    <row r="9" spans="1:8">
      <c r="A9" s="55"/>
      <c r="B9" s="56"/>
      <c r="C9" s="56"/>
      <c r="D9" s="56"/>
      <c r="E9" s="56"/>
      <c r="F9" s="47"/>
      <c r="G9" s="751"/>
      <c r="H9" s="750"/>
    </row>
    <row r="10" spans="1:8">
      <c r="A10" s="745" t="s">
        <v>333</v>
      </c>
      <c r="B10" s="746"/>
      <c r="C10" s="746"/>
      <c r="D10" s="746"/>
      <c r="E10" s="746"/>
      <c r="F10" s="47"/>
      <c r="G10" s="751"/>
      <c r="H10" s="750"/>
    </row>
    <row r="11" spans="1:8">
      <c r="A11" s="47"/>
      <c r="B11" s="47"/>
      <c r="C11" s="47"/>
      <c r="D11" s="47"/>
      <c r="E11" s="47"/>
      <c r="F11" s="47"/>
      <c r="G11" s="751"/>
      <c r="H11" s="750"/>
    </row>
    <row r="12" spans="1:8">
      <c r="A12" s="57" t="s">
        <v>334</v>
      </c>
      <c r="B12" s="58"/>
      <c r="C12" s="47"/>
      <c r="D12" s="47"/>
      <c r="E12" s="47"/>
      <c r="F12" s="47"/>
      <c r="G12" s="751"/>
      <c r="H12" s="750"/>
    </row>
    <row r="13" spans="1:8">
      <c r="A13" s="59" t="str">
        <f>CONCATENATE("the ",C5-1," Budget, Certificate Page:")</f>
        <v>the 2013 Budget, Certificate Page:</v>
      </c>
      <c r="B13" s="60"/>
      <c r="C13" s="47"/>
      <c r="D13" s="47"/>
      <c r="E13" s="47"/>
      <c r="F13" s="47"/>
      <c r="G13" s="751"/>
      <c r="H13" s="750"/>
    </row>
    <row r="14" spans="1:8">
      <c r="A14" s="59" t="s">
        <v>403</v>
      </c>
      <c r="B14" s="60"/>
      <c r="C14" s="47"/>
      <c r="D14" s="47"/>
      <c r="E14" s="47"/>
      <c r="F14" s="47"/>
      <c r="G14" s="76"/>
      <c r="H14" s="611"/>
    </row>
    <row r="15" spans="1:8">
      <c r="A15" s="47"/>
      <c r="B15" s="47"/>
      <c r="C15" s="47"/>
      <c r="D15" s="61">
        <f>C5-1</f>
        <v>2013</v>
      </c>
      <c r="E15" s="61">
        <f>C5-2</f>
        <v>2012</v>
      </c>
      <c r="G15" s="199" t="s">
        <v>872</v>
      </c>
      <c r="H15" s="156" t="s">
        <v>124</v>
      </c>
    </row>
    <row r="16" spans="1:8">
      <c r="A16" s="52" t="s">
        <v>74</v>
      </c>
      <c r="B16" s="47"/>
      <c r="C16" s="62" t="s">
        <v>75</v>
      </c>
      <c r="D16" s="63" t="s">
        <v>402</v>
      </c>
      <c r="E16" s="63" t="s">
        <v>65</v>
      </c>
      <c r="G16" s="200" t="str">
        <f>CONCATENATE("",E15," Ad Valorem Tax")</f>
        <v>2012 Ad Valorem Tax</v>
      </c>
      <c r="H16" s="612">
        <v>0</v>
      </c>
    </row>
    <row r="17" spans="1:7">
      <c r="A17" s="47"/>
      <c r="B17" s="64" t="s">
        <v>76</v>
      </c>
      <c r="C17" s="156" t="s">
        <v>232</v>
      </c>
      <c r="D17" s="66">
        <v>594502</v>
      </c>
      <c r="E17" s="66"/>
      <c r="G17" s="228">
        <f>IF(H16&gt;0,ROUND(E17-(E17*H16),0),0)</f>
        <v>0</v>
      </c>
    </row>
    <row r="18" spans="1:7">
      <c r="A18" s="47"/>
      <c r="B18" s="64" t="s">
        <v>47</v>
      </c>
      <c r="C18" s="156" t="s">
        <v>270</v>
      </c>
      <c r="D18" s="67">
        <v>107310</v>
      </c>
      <c r="E18" s="67">
        <v>37151</v>
      </c>
      <c r="G18" s="228">
        <f>IF(H16&gt;0,ROUND(E18-(E18*H16),0),0)</f>
        <v>0</v>
      </c>
    </row>
    <row r="19" spans="1:7">
      <c r="A19" s="47"/>
      <c r="B19" s="64" t="s">
        <v>873</v>
      </c>
      <c r="C19" s="156" t="s">
        <v>874</v>
      </c>
      <c r="D19" s="67">
        <v>135390</v>
      </c>
      <c r="E19" s="67">
        <v>102263</v>
      </c>
      <c r="G19" s="228">
        <f>IF(H16&gt;0,ROUND(E19-(E19*H16),0),0)</f>
        <v>0</v>
      </c>
    </row>
    <row r="20" spans="1:7">
      <c r="A20" s="52" t="s">
        <v>77</v>
      </c>
      <c r="B20" s="47"/>
      <c r="C20" s="47"/>
      <c r="D20" s="47"/>
      <c r="E20" s="68"/>
    </row>
    <row r="21" spans="1:7">
      <c r="A21" s="47"/>
      <c r="B21" s="69" t="s">
        <v>1026</v>
      </c>
      <c r="C21" s="386"/>
      <c r="D21" s="67">
        <v>65377</v>
      </c>
      <c r="E21" s="67">
        <v>37553</v>
      </c>
      <c r="G21" s="228">
        <f>IF(H16&gt;0,ROUND(E21-(E21*H16),0),0)</f>
        <v>0</v>
      </c>
    </row>
    <row r="22" spans="1:7">
      <c r="A22" s="47"/>
      <c r="B22" s="69" t="s">
        <v>1027</v>
      </c>
      <c r="C22" s="386"/>
      <c r="D22" s="67">
        <v>155362</v>
      </c>
      <c r="E22" s="67">
        <v>100573</v>
      </c>
      <c r="G22" s="228">
        <f>IF(H16&gt;0,ROUND(E22-(E22*H16),0),0)</f>
        <v>0</v>
      </c>
    </row>
    <row r="23" spans="1:7">
      <c r="A23" s="47"/>
      <c r="B23" s="69" t="s">
        <v>1029</v>
      </c>
      <c r="C23" s="386"/>
      <c r="D23" s="67">
        <v>174225</v>
      </c>
      <c r="E23" s="67">
        <v>67307</v>
      </c>
      <c r="G23" s="228">
        <f>IF(H16&gt;0,ROUND(E23-(E23*H16),0),0)</f>
        <v>0</v>
      </c>
    </row>
    <row r="24" spans="1:7">
      <c r="A24" s="47"/>
      <c r="B24" s="69" t="s">
        <v>1028</v>
      </c>
      <c r="C24" s="386"/>
      <c r="D24" s="67">
        <v>415824</v>
      </c>
      <c r="E24" s="67">
        <v>265118</v>
      </c>
      <c r="G24" s="228">
        <f>IF(H16&gt;0,ROUND(E24-(E24*H16),0),0)</f>
        <v>0</v>
      </c>
    </row>
    <row r="25" spans="1:7">
      <c r="A25" s="47"/>
      <c r="B25" s="69" t="s">
        <v>23</v>
      </c>
      <c r="C25" s="386"/>
      <c r="D25" s="67">
        <v>1046633</v>
      </c>
      <c r="E25" s="67">
        <v>164371</v>
      </c>
      <c r="G25" s="228">
        <f>IF(H16&gt;0,ROUND(E25-(E25*H16),0),0)</f>
        <v>0</v>
      </c>
    </row>
    <row r="26" spans="1:7">
      <c r="A26" s="47"/>
      <c r="B26" s="69"/>
      <c r="C26" s="386"/>
      <c r="D26" s="67"/>
      <c r="E26" s="67"/>
      <c r="G26" s="228">
        <f>IF(H16&gt;0,ROUND(E26-(E26*H16),0),0)</f>
        <v>0</v>
      </c>
    </row>
    <row r="27" spans="1:7">
      <c r="A27" s="47"/>
      <c r="B27" s="69"/>
      <c r="C27" s="386"/>
      <c r="D27" s="67"/>
      <c r="E27" s="67"/>
      <c r="G27" s="228">
        <f>IF(H16&gt;0,ROUND(E27-(E27*H16),0),0)</f>
        <v>0</v>
      </c>
    </row>
    <row r="28" spans="1:7">
      <c r="A28" s="47"/>
      <c r="B28" s="69"/>
      <c r="C28" s="386"/>
      <c r="D28" s="67"/>
      <c r="E28" s="67"/>
      <c r="G28" s="228">
        <f>IF(H16&gt;0,ROUND(E28-(E28*H16),0),0)</f>
        <v>0</v>
      </c>
    </row>
    <row r="29" spans="1:7">
      <c r="A29" s="47"/>
      <c r="B29" s="69"/>
      <c r="C29" s="386"/>
      <c r="D29" s="67"/>
      <c r="E29" s="67"/>
      <c r="G29" s="228">
        <f>IF(H16&gt;0,ROUND(E29-(E29*H16),0),0)</f>
        <v>0</v>
      </c>
    </row>
    <row r="30" spans="1:7">
      <c r="A30" s="47"/>
      <c r="B30" s="69"/>
      <c r="C30" s="386"/>
      <c r="D30" s="67"/>
      <c r="E30" s="67"/>
      <c r="G30" s="228">
        <f>IF(H16&gt;0,ROUND(E30-(E30*H16),0),0)</f>
        <v>0</v>
      </c>
    </row>
    <row r="31" spans="1:7">
      <c r="A31" s="70" t="str">
        <f>CONCATENATE("Total Tax Levy Funds for ",C5-1," Budgeted Year")</f>
        <v>Total Tax Levy Funds for 2013 Budgeted Year</v>
      </c>
      <c r="B31" s="71"/>
      <c r="C31" s="72"/>
      <c r="D31" s="73"/>
      <c r="E31" s="74">
        <f>SUM(E17:E30)</f>
        <v>774336</v>
      </c>
    </row>
    <row r="32" spans="1:7">
      <c r="A32" s="75"/>
      <c r="B32" s="76"/>
      <c r="C32" s="76"/>
      <c r="D32" s="77"/>
      <c r="E32" s="68"/>
    </row>
    <row r="33" spans="1:5">
      <c r="A33" s="52" t="s">
        <v>275</v>
      </c>
      <c r="B33" s="47"/>
      <c r="C33" s="47"/>
      <c r="D33" s="47"/>
      <c r="E33" s="47"/>
    </row>
    <row r="34" spans="1:5">
      <c r="A34" s="47"/>
      <c r="B34" s="65" t="s">
        <v>207</v>
      </c>
      <c r="C34" s="47"/>
      <c r="D34" s="67">
        <v>87222</v>
      </c>
      <c r="E34" s="47"/>
    </row>
    <row r="35" spans="1:5">
      <c r="A35" s="47"/>
      <c r="B35" s="69" t="s">
        <v>1030</v>
      </c>
      <c r="C35" s="47"/>
      <c r="D35" s="67">
        <v>1352</v>
      </c>
      <c r="E35" s="47"/>
    </row>
    <row r="36" spans="1:5">
      <c r="A36" s="47"/>
      <c r="B36" s="69" t="s">
        <v>1031</v>
      </c>
      <c r="C36" s="47"/>
      <c r="D36" s="67">
        <v>13126</v>
      </c>
      <c r="E36" s="47"/>
    </row>
    <row r="37" spans="1:5">
      <c r="A37" s="47"/>
      <c r="B37" s="69" t="s">
        <v>1032</v>
      </c>
      <c r="C37" s="47"/>
      <c r="D37" s="67">
        <v>7000</v>
      </c>
      <c r="E37" s="47"/>
    </row>
    <row r="38" spans="1:5">
      <c r="A38" s="47"/>
      <c r="B38" s="69" t="s">
        <v>1033</v>
      </c>
      <c r="C38" s="47"/>
      <c r="D38" s="67">
        <v>3530166</v>
      </c>
      <c r="E38" s="47"/>
    </row>
    <row r="39" spans="1:5">
      <c r="A39" s="47"/>
      <c r="B39" s="69" t="s">
        <v>1034</v>
      </c>
      <c r="C39" s="47"/>
      <c r="D39" s="67">
        <v>1727508</v>
      </c>
      <c r="E39" s="47"/>
    </row>
    <row r="40" spans="1:5">
      <c r="A40" s="47"/>
      <c r="B40" s="69" t="s">
        <v>1035</v>
      </c>
      <c r="C40" s="47"/>
      <c r="D40" s="67">
        <v>1408529</v>
      </c>
      <c r="E40" s="47"/>
    </row>
    <row r="41" spans="1:5">
      <c r="A41" s="47"/>
      <c r="B41" s="69" t="s">
        <v>1036</v>
      </c>
      <c r="C41" s="47"/>
      <c r="D41" s="67">
        <v>326738</v>
      </c>
      <c r="E41" s="47"/>
    </row>
    <row r="42" spans="1:5">
      <c r="A42" s="47"/>
      <c r="B42" s="69" t="s">
        <v>1016</v>
      </c>
      <c r="C42" s="47"/>
      <c r="D42" s="67">
        <v>310515</v>
      </c>
      <c r="E42" s="47"/>
    </row>
    <row r="43" spans="1:5">
      <c r="A43" s="47"/>
      <c r="B43" s="69" t="s">
        <v>1037</v>
      </c>
      <c r="C43" s="47"/>
      <c r="D43" s="67">
        <v>555113</v>
      </c>
      <c r="E43" s="47"/>
    </row>
    <row r="44" spans="1:5">
      <c r="A44" s="47"/>
      <c r="B44" s="78" t="s">
        <v>1038</v>
      </c>
      <c r="C44" s="47"/>
      <c r="D44" s="67">
        <v>51631</v>
      </c>
      <c r="E44" s="47"/>
    </row>
    <row r="45" spans="1:5">
      <c r="A45" s="47"/>
      <c r="B45" s="78" t="s">
        <v>1039</v>
      </c>
      <c r="C45" s="47"/>
      <c r="D45" s="67">
        <v>144321</v>
      </c>
      <c r="E45" s="47"/>
    </row>
    <row r="46" spans="1:5">
      <c r="A46" s="47"/>
      <c r="B46" s="78" t="s">
        <v>1040</v>
      </c>
      <c r="C46" s="47"/>
      <c r="D46" s="67">
        <v>190263</v>
      </c>
      <c r="E46" s="47"/>
    </row>
    <row r="47" spans="1:5">
      <c r="A47" s="47"/>
      <c r="B47" s="78" t="s">
        <v>1041</v>
      </c>
      <c r="C47" s="47"/>
      <c r="D47" s="67">
        <v>344778</v>
      </c>
      <c r="E47" s="47"/>
    </row>
    <row r="48" spans="1:5">
      <c r="A48" s="47"/>
      <c r="B48" s="78" t="s">
        <v>1104</v>
      </c>
      <c r="C48" s="47"/>
      <c r="D48" s="67">
        <v>44900</v>
      </c>
      <c r="E48" s="47"/>
    </row>
    <row r="49" spans="1:5">
      <c r="A49" s="47"/>
      <c r="B49" s="78" t="s">
        <v>1144</v>
      </c>
      <c r="C49" s="47"/>
      <c r="D49" s="67">
        <v>0</v>
      </c>
      <c r="E49" s="47"/>
    </row>
    <row r="50" spans="1:5">
      <c r="A50" s="47" t="s">
        <v>305</v>
      </c>
      <c r="B50" s="79"/>
      <c r="C50" s="47"/>
      <c r="D50" s="47"/>
      <c r="E50" s="47"/>
    </row>
    <row r="51" spans="1:5">
      <c r="A51" s="47">
        <v>1</v>
      </c>
      <c r="B51" s="78"/>
      <c r="C51" s="47"/>
      <c r="D51" s="67"/>
      <c r="E51" s="47"/>
    </row>
    <row r="52" spans="1:5">
      <c r="A52" s="47">
        <v>2</v>
      </c>
      <c r="B52" s="78"/>
      <c r="C52" s="47"/>
      <c r="D52" s="67"/>
      <c r="E52" s="47"/>
    </row>
    <row r="53" spans="1:5">
      <c r="A53" s="47">
        <v>3</v>
      </c>
      <c r="B53" s="78"/>
      <c r="C53" s="47"/>
      <c r="D53" s="67"/>
      <c r="E53" s="47"/>
    </row>
    <row r="54" spans="1:5">
      <c r="A54" s="47">
        <v>4</v>
      </c>
      <c r="B54" s="78"/>
      <c r="C54" s="47"/>
      <c r="D54" s="67"/>
      <c r="E54" s="47"/>
    </row>
    <row r="55" spans="1:5">
      <c r="A55" s="70" t="str">
        <f>CONCATENATE("Total Expenditures for ",C5-1," Budgeted Year")</f>
        <v>Total Expenditures for 2013 Budgeted Year</v>
      </c>
      <c r="B55" s="80"/>
      <c r="C55" s="81"/>
      <c r="D55" s="82">
        <f>SUM(D17:D19,D21:D30,D34:D49,D51:D54)</f>
        <v>11437785</v>
      </c>
      <c r="E55" s="47"/>
    </row>
    <row r="56" spans="1:5">
      <c r="A56" s="47" t="s">
        <v>306</v>
      </c>
      <c r="B56" s="83"/>
      <c r="C56" s="47"/>
      <c r="D56" s="47"/>
      <c r="E56" s="47"/>
    </row>
    <row r="57" spans="1:5">
      <c r="A57" s="47">
        <v>1</v>
      </c>
      <c r="B57" s="78"/>
      <c r="C57" s="47"/>
      <c r="D57" s="47"/>
      <c r="E57" s="47"/>
    </row>
    <row r="58" spans="1:5">
      <c r="A58" s="47">
        <v>2</v>
      </c>
      <c r="B58" s="78"/>
      <c r="C58" s="47"/>
      <c r="D58" s="47"/>
      <c r="E58" s="47"/>
    </row>
    <row r="59" spans="1:5">
      <c r="A59" s="47">
        <v>3</v>
      </c>
      <c r="B59" s="78"/>
      <c r="C59" s="47"/>
      <c r="D59" s="47"/>
      <c r="E59" s="47"/>
    </row>
    <row r="60" spans="1:5">
      <c r="A60" s="47">
        <v>4</v>
      </c>
      <c r="B60" s="78"/>
      <c r="C60" s="47"/>
      <c r="D60" s="47"/>
      <c r="E60" s="47"/>
    </row>
    <row r="61" spans="1:5">
      <c r="A61" s="47">
        <v>5</v>
      </c>
      <c r="B61" s="78"/>
      <c r="C61" s="47"/>
      <c r="D61" s="47"/>
      <c r="E61" s="47"/>
    </row>
    <row r="62" spans="1:5">
      <c r="A62" s="47" t="s">
        <v>307</v>
      </c>
      <c r="B62" s="79"/>
      <c r="C62" s="47"/>
      <c r="D62" s="47"/>
      <c r="E62" s="47"/>
    </row>
    <row r="63" spans="1:5">
      <c r="A63" s="47">
        <v>1</v>
      </c>
      <c r="B63" s="78"/>
      <c r="C63" s="47"/>
      <c r="D63" s="47"/>
      <c r="E63" s="47"/>
    </row>
    <row r="64" spans="1:5">
      <c r="A64" s="47">
        <v>2</v>
      </c>
      <c r="B64" s="78"/>
      <c r="C64" s="47"/>
      <c r="D64" s="47"/>
      <c r="E64" s="47"/>
    </row>
    <row r="65" spans="1:5">
      <c r="A65" s="47">
        <v>3</v>
      </c>
      <c r="B65" s="78"/>
      <c r="C65" s="47"/>
      <c r="D65" s="47"/>
      <c r="E65" s="47"/>
    </row>
    <row r="66" spans="1:5">
      <c r="A66" s="47">
        <v>4</v>
      </c>
      <c r="B66" s="78"/>
      <c r="C66" s="47"/>
      <c r="D66" s="47"/>
      <c r="E66" s="47"/>
    </row>
    <row r="67" spans="1:5">
      <c r="A67" s="47">
        <v>5</v>
      </c>
      <c r="B67" s="78"/>
      <c r="C67" s="47"/>
      <c r="D67" s="47"/>
      <c r="E67" s="47"/>
    </row>
    <row r="68" spans="1:5">
      <c r="A68" s="47" t="s">
        <v>308</v>
      </c>
      <c r="B68" s="79"/>
      <c r="C68" s="47"/>
      <c r="D68" s="47"/>
      <c r="E68" s="47"/>
    </row>
    <row r="69" spans="1:5">
      <c r="A69" s="47">
        <v>1</v>
      </c>
      <c r="B69" s="78"/>
      <c r="C69" s="47"/>
      <c r="D69" s="47"/>
      <c r="E69" s="47"/>
    </row>
    <row r="70" spans="1:5">
      <c r="A70" s="47">
        <v>2</v>
      </c>
      <c r="B70" s="78"/>
      <c r="C70" s="47"/>
      <c r="D70" s="47"/>
      <c r="E70" s="47"/>
    </row>
    <row r="71" spans="1:5">
      <c r="A71" s="47">
        <v>3</v>
      </c>
      <c r="B71" s="78"/>
      <c r="C71" s="47"/>
      <c r="D71" s="47"/>
      <c r="E71" s="47"/>
    </row>
    <row r="72" spans="1:5">
      <c r="A72" s="47">
        <v>4</v>
      </c>
      <c r="B72" s="78"/>
      <c r="C72" s="47"/>
      <c r="D72" s="47"/>
      <c r="E72" s="47"/>
    </row>
    <row r="73" spans="1:5">
      <c r="A73" s="47">
        <v>5</v>
      </c>
      <c r="B73" s="78"/>
      <c r="C73" s="47"/>
      <c r="D73" s="47"/>
      <c r="E73" s="47"/>
    </row>
    <row r="74" spans="1:5">
      <c r="A74" s="47" t="s">
        <v>309</v>
      </c>
      <c r="B74" s="79"/>
      <c r="C74" s="47"/>
      <c r="D74" s="47"/>
      <c r="E74" s="47"/>
    </row>
    <row r="75" spans="1:5">
      <c r="A75" s="47">
        <v>1</v>
      </c>
      <c r="B75" s="78"/>
      <c r="C75" s="47"/>
      <c r="D75" s="47"/>
      <c r="E75" s="47"/>
    </row>
    <row r="76" spans="1:5">
      <c r="A76" s="47">
        <v>2</v>
      </c>
      <c r="B76" s="78"/>
      <c r="C76" s="47"/>
      <c r="D76" s="47"/>
      <c r="E76" s="47"/>
    </row>
    <row r="77" spans="1:5">
      <c r="A77" s="47">
        <v>3</v>
      </c>
      <c r="B77" s="78"/>
      <c r="C77" s="47"/>
      <c r="D77" s="47"/>
      <c r="E77" s="47"/>
    </row>
    <row r="78" spans="1:5">
      <c r="A78" s="47">
        <v>4</v>
      </c>
      <c r="B78" s="78"/>
      <c r="C78" s="47"/>
      <c r="D78" s="47"/>
      <c r="E78" s="47"/>
    </row>
    <row r="79" spans="1:5">
      <c r="A79" s="47">
        <v>5</v>
      </c>
      <c r="B79" s="78"/>
      <c r="C79" s="47"/>
      <c r="D79" s="47"/>
      <c r="E79" s="47"/>
    </row>
    <row r="80" spans="1:5">
      <c r="A80" s="75"/>
      <c r="B80" s="76"/>
      <c r="C80" s="76"/>
      <c r="D80" s="76"/>
      <c r="E80" s="84"/>
    </row>
    <row r="81" spans="1:5">
      <c r="A81" s="47"/>
      <c r="B81" s="47"/>
      <c r="C81" s="47"/>
      <c r="D81" s="47"/>
      <c r="E81" s="47"/>
    </row>
    <row r="82" spans="1:5">
      <c r="A82" s="47"/>
      <c r="B82" s="47"/>
      <c r="C82" s="47"/>
      <c r="D82" s="85" t="str">
        <f>CONCATENATE("",C5-3," Tax Rate")</f>
        <v>2011 Tax Rate</v>
      </c>
      <c r="E82" s="47"/>
    </row>
    <row r="83" spans="1:5">
      <c r="A83" s="59" t="str">
        <f>CONCATENATE("From the ",C5-1," Budget, Budget Summary Page")</f>
        <v>From the 2013 Budget, Budget Summary Page</v>
      </c>
      <c r="B83" s="60"/>
      <c r="C83" s="47"/>
      <c r="D83" s="86" t="str">
        <f>CONCATENATE("(",C5-2," Column)")</f>
        <v>(2012 Column)</v>
      </c>
      <c r="E83" s="47"/>
    </row>
    <row r="84" spans="1:5">
      <c r="A84" s="47"/>
      <c r="B84" s="87" t="str">
        <f>B17</f>
        <v>General</v>
      </c>
      <c r="C84" s="47"/>
      <c r="D84" s="78">
        <v>0</v>
      </c>
      <c r="E84" s="47"/>
    </row>
    <row r="85" spans="1:5">
      <c r="A85" s="47"/>
      <c r="B85" s="87" t="str">
        <f>B18</f>
        <v>Debt Service</v>
      </c>
      <c r="C85" s="47"/>
      <c r="D85" s="78">
        <v>4.5279999999999996</v>
      </c>
      <c r="E85" s="47"/>
    </row>
    <row r="86" spans="1:5">
      <c r="A86" s="47"/>
      <c r="B86" s="87" t="str">
        <f>B19</f>
        <v>Library</v>
      </c>
      <c r="C86" s="47"/>
      <c r="D86" s="78">
        <v>5.5</v>
      </c>
      <c r="E86" s="47"/>
    </row>
    <row r="87" spans="1:5">
      <c r="A87" s="47"/>
      <c r="B87" s="87" t="str">
        <f t="shared" ref="B87:B96" si="0">B21</f>
        <v>Airport</v>
      </c>
      <c r="C87" s="47"/>
      <c r="D87" s="78">
        <v>1.5760000000000001</v>
      </c>
      <c r="E87" s="47"/>
    </row>
    <row r="88" spans="1:5">
      <c r="A88" s="47"/>
      <c r="B88" s="87" t="str">
        <f t="shared" si="0"/>
        <v>Park</v>
      </c>
      <c r="C88" s="47"/>
      <c r="D88" s="78">
        <v>5.1959999999999997</v>
      </c>
      <c r="E88" s="47"/>
    </row>
    <row r="89" spans="1:5">
      <c r="A89" s="47"/>
      <c r="B89" s="87" t="str">
        <f t="shared" si="0"/>
        <v xml:space="preserve">Recreation </v>
      </c>
      <c r="C89" s="47"/>
      <c r="D89" s="78">
        <v>4.0570000000000004</v>
      </c>
      <c r="E89" s="47"/>
    </row>
    <row r="90" spans="1:5">
      <c r="A90" s="47"/>
      <c r="B90" s="87" t="str">
        <f t="shared" si="0"/>
        <v>Law Enforcement</v>
      </c>
      <c r="C90" s="47"/>
      <c r="D90" s="78">
        <v>13.21</v>
      </c>
      <c r="E90" s="47"/>
    </row>
    <row r="91" spans="1:5">
      <c r="A91" s="47"/>
      <c r="B91" s="87" t="str">
        <f t="shared" si="0"/>
        <v>Employee Benefits</v>
      </c>
      <c r="C91" s="47"/>
      <c r="D91" s="78">
        <v>9.0069999999999997</v>
      </c>
      <c r="E91" s="47"/>
    </row>
    <row r="92" spans="1:5">
      <c r="A92" s="47"/>
      <c r="B92" s="87">
        <f t="shared" si="0"/>
        <v>0</v>
      </c>
      <c r="C92" s="47"/>
      <c r="D92" s="78"/>
      <c r="E92" s="47"/>
    </row>
    <row r="93" spans="1:5">
      <c r="A93" s="47"/>
      <c r="B93" s="87">
        <f t="shared" si="0"/>
        <v>0</v>
      </c>
      <c r="C93" s="47"/>
      <c r="D93" s="78"/>
      <c r="E93" s="47"/>
    </row>
    <row r="94" spans="1:5">
      <c r="A94" s="47"/>
      <c r="B94" s="87">
        <f t="shared" si="0"/>
        <v>0</v>
      </c>
      <c r="C94" s="47"/>
      <c r="D94" s="78"/>
      <c r="E94" s="47"/>
    </row>
    <row r="95" spans="1:5">
      <c r="A95" s="47"/>
      <c r="B95" s="87">
        <f t="shared" si="0"/>
        <v>0</v>
      </c>
      <c r="C95" s="47"/>
      <c r="D95" s="78"/>
      <c r="E95" s="47"/>
    </row>
    <row r="96" spans="1:5">
      <c r="A96" s="47"/>
      <c r="B96" s="87">
        <f t="shared" si="0"/>
        <v>0</v>
      </c>
      <c r="C96" s="153"/>
      <c r="D96" s="78"/>
      <c r="E96" s="47"/>
    </row>
    <row r="97" spans="1:5">
      <c r="A97" s="70" t="s">
        <v>78</v>
      </c>
      <c r="B97" s="71"/>
      <c r="C97" s="81"/>
      <c r="D97" s="88">
        <f>SUM(D84:D96)</f>
        <v>43.073999999999998</v>
      </c>
      <c r="E97" s="47"/>
    </row>
    <row r="98" spans="1:5">
      <c r="A98" s="47"/>
      <c r="B98" s="47"/>
      <c r="C98" s="47"/>
      <c r="D98" s="47"/>
      <c r="E98" s="47"/>
    </row>
    <row r="99" spans="1:5">
      <c r="A99" s="89" t="str">
        <f>CONCATENATE("Total Tax Levied (",C5-2," budget column)")</f>
        <v>Total Tax Levied (2012 budget column)</v>
      </c>
      <c r="B99" s="90"/>
      <c r="C99" s="71"/>
      <c r="D99" s="81"/>
      <c r="E99" s="67">
        <v>780194</v>
      </c>
    </row>
    <row r="100" spans="1:5">
      <c r="A100" s="91" t="str">
        <f>CONCATENATE("Assessed Valuation  (",C5-2," budget column)")</f>
        <v>Assessed Valuation  (2012 budget column)</v>
      </c>
      <c r="B100" s="92"/>
      <c r="C100" s="72"/>
      <c r="D100" s="93"/>
      <c r="E100" s="67">
        <v>18180867</v>
      </c>
    </row>
    <row r="101" spans="1:5">
      <c r="A101" s="75"/>
      <c r="B101" s="76"/>
      <c r="C101" s="76"/>
      <c r="D101" s="76"/>
      <c r="E101" s="84"/>
    </row>
    <row r="102" spans="1:5">
      <c r="A102" s="94" t="str">
        <f>CONCATENATE("From the ",C5-1," Budget, Budget Summary Page")</f>
        <v>From the 2013 Budget, Budget Summary Page</v>
      </c>
      <c r="B102" s="95"/>
      <c r="C102" s="47"/>
      <c r="D102" s="96"/>
      <c r="E102" s="97"/>
    </row>
    <row r="103" spans="1:5">
      <c r="A103" s="58" t="s">
        <v>3</v>
      </c>
      <c r="B103" s="58"/>
      <c r="C103" s="98"/>
      <c r="D103" s="99">
        <f>C5-3</f>
        <v>2011</v>
      </c>
      <c r="E103" s="100">
        <f>C5-2</f>
        <v>2012</v>
      </c>
    </row>
    <row r="104" spans="1:5">
      <c r="A104" s="101" t="s">
        <v>271</v>
      </c>
      <c r="B104" s="101"/>
      <c r="C104" s="102"/>
      <c r="D104" s="103">
        <v>5005000</v>
      </c>
      <c r="E104" s="103">
        <v>4365000</v>
      </c>
    </row>
    <row r="105" spans="1:5">
      <c r="A105" s="104" t="s">
        <v>272</v>
      </c>
      <c r="B105" s="104"/>
      <c r="C105" s="105"/>
      <c r="D105" s="103">
        <v>420000</v>
      </c>
      <c r="E105" s="103">
        <v>355000</v>
      </c>
    </row>
    <row r="106" spans="1:5">
      <c r="A106" s="104" t="s">
        <v>273</v>
      </c>
      <c r="B106" s="104"/>
      <c r="C106" s="105"/>
      <c r="D106" s="103">
        <v>5394125</v>
      </c>
      <c r="E106" s="103">
        <v>2455666</v>
      </c>
    </row>
    <row r="107" spans="1:5">
      <c r="A107" s="104" t="s">
        <v>274</v>
      </c>
      <c r="B107" s="104"/>
      <c r="C107" s="105"/>
      <c r="D107" s="103">
        <v>67127</v>
      </c>
      <c r="E107" s="103">
        <v>82124</v>
      </c>
    </row>
    <row r="108" spans="1:5">
      <c r="A108" s="106"/>
      <c r="B108" s="106"/>
      <c r="C108" s="106"/>
      <c r="D108" s="106"/>
      <c r="E108" s="106"/>
    </row>
    <row r="109" spans="1:5">
      <c r="A109" s="106"/>
      <c r="B109" s="106"/>
      <c r="C109" s="106"/>
      <c r="D109" s="106"/>
      <c r="E109" s="106"/>
    </row>
    <row r="110" spans="1:5">
      <c r="A110" s="106"/>
      <c r="B110" s="106"/>
      <c r="C110" s="106"/>
      <c r="D110" s="106"/>
      <c r="E110" s="106"/>
    </row>
    <row r="111" spans="1:5">
      <c r="A111" s="106"/>
      <c r="B111" s="106"/>
      <c r="C111" s="106"/>
      <c r="D111" s="106"/>
      <c r="E111" s="106"/>
    </row>
    <row r="112" spans="1:5">
      <c r="A112" s="106"/>
      <c r="B112" s="106"/>
      <c r="C112" s="106"/>
      <c r="D112" s="106"/>
      <c r="E112" s="106"/>
    </row>
    <row r="113" spans="1:5">
      <c r="A113" s="106"/>
      <c r="B113" s="106"/>
      <c r="C113" s="106"/>
      <c r="D113" s="106"/>
      <c r="E113" s="106"/>
    </row>
    <row r="114" spans="1:5" s="106" customFormat="1" ht="15"/>
    <row r="115" spans="1:5">
      <c r="A115" s="106"/>
      <c r="B115" s="106"/>
      <c r="C115" s="106"/>
      <c r="D115" s="106"/>
      <c r="E115" s="106"/>
    </row>
    <row r="116" spans="1:5">
      <c r="A116" s="106"/>
      <c r="B116" s="106"/>
      <c r="C116" s="106"/>
      <c r="D116" s="106"/>
      <c r="E116" s="106"/>
    </row>
    <row r="117" spans="1:5">
      <c r="A117" s="106"/>
      <c r="B117" s="106"/>
      <c r="C117" s="106"/>
      <c r="D117" s="106"/>
      <c r="E117" s="106"/>
    </row>
    <row r="118" spans="1:5">
      <c r="A118" s="106"/>
      <c r="B118" s="106"/>
      <c r="C118" s="106"/>
      <c r="D118" s="106"/>
      <c r="E118" s="106"/>
    </row>
    <row r="119" spans="1:5">
      <c r="A119" s="106"/>
      <c r="B119" s="106"/>
      <c r="C119" s="106"/>
      <c r="D119" s="106"/>
      <c r="E119" s="106"/>
    </row>
    <row r="120" spans="1:5">
      <c r="A120" s="106"/>
      <c r="B120" s="106"/>
      <c r="C120" s="106"/>
      <c r="D120" s="106"/>
      <c r="E120" s="106"/>
    </row>
    <row r="121" spans="1:5">
      <c r="A121" s="106"/>
      <c r="B121" s="106"/>
      <c r="C121" s="106"/>
      <c r="D121" s="106"/>
      <c r="E121" s="106"/>
    </row>
    <row r="122" spans="1:5">
      <c r="A122" s="106"/>
      <c r="B122" s="106"/>
      <c r="C122" s="106"/>
      <c r="D122" s="106"/>
      <c r="E122" s="106"/>
    </row>
    <row r="123" spans="1:5">
      <c r="A123" s="106"/>
      <c r="B123" s="106"/>
      <c r="C123" s="106"/>
      <c r="D123" s="106"/>
      <c r="E123" s="106"/>
    </row>
    <row r="124" spans="1:5">
      <c r="A124" s="106"/>
      <c r="B124" s="106"/>
      <c r="C124" s="106"/>
      <c r="D124" s="106"/>
      <c r="E124" s="106"/>
    </row>
    <row r="125" spans="1:5">
      <c r="A125" s="106"/>
      <c r="B125" s="106"/>
      <c r="C125" s="106"/>
      <c r="D125" s="106"/>
      <c r="E125" s="106"/>
    </row>
  </sheetData>
  <mergeCells count="3">
    <mergeCell ref="A10:E10"/>
    <mergeCell ref="A1:E1"/>
    <mergeCell ref="G8:H13"/>
  </mergeCells>
  <phoneticPr fontId="0" type="noConversion"/>
  <pageMargins left="0.5" right="0.5" top="1" bottom="0.5" header="0.5" footer="0.25"/>
  <pageSetup scale="70"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workbookViewId="0">
      <selection activeCell="D50" sqref="D50"/>
    </sheetView>
  </sheetViews>
  <sheetFormatPr defaultRowHeight="15.75"/>
  <cols>
    <col min="1" max="1" width="2.44140625" style="45" customWidth="1"/>
    <col min="2" max="2" width="31.109375" style="45" customWidth="1"/>
    <col min="3" max="4" width="15.77734375" style="45" customWidth="1"/>
    <col min="5" max="5" width="16.33203125" style="45" customWidth="1"/>
    <col min="6" max="16384" width="8.88671875" style="45"/>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(inputPrYr!B36)</f>
        <v>SEK</v>
      </c>
      <c r="C5" s="225" t="str">
        <f>CONCATENATE("Actual for ",E1-2,"")</f>
        <v>Actual for 2012</v>
      </c>
      <c r="D5" s="225" t="str">
        <f>CONCATENATE("Estimate for ",E1-1,"")</f>
        <v>Estimate for 2013</v>
      </c>
      <c r="E5" s="208" t="str">
        <f>CONCATENATE("Year for ",E1,"")</f>
        <v>Year for 2014</v>
      </c>
    </row>
    <row r="6" spans="2:5">
      <c r="B6" s="252" t="s">
        <v>228</v>
      </c>
      <c r="C6" s="67">
        <v>5291</v>
      </c>
      <c r="D6" s="228">
        <f>C29</f>
        <v>4254</v>
      </c>
      <c r="E6" s="228">
        <f>D29</f>
        <v>4254</v>
      </c>
    </row>
    <row r="7" spans="2:5">
      <c r="B7" s="256" t="s">
        <v>230</v>
      </c>
      <c r="C7" s="87"/>
      <c r="D7" s="87"/>
      <c r="E7" s="87"/>
    </row>
    <row r="8" spans="2:5">
      <c r="B8" s="273" t="s">
        <v>1061</v>
      </c>
      <c r="C8" s="67">
        <v>7734</v>
      </c>
      <c r="D8" s="67">
        <v>9126</v>
      </c>
      <c r="E8" s="67">
        <v>9211</v>
      </c>
    </row>
    <row r="9" spans="2:5">
      <c r="B9" s="273" t="s">
        <v>1063</v>
      </c>
      <c r="C9" s="67">
        <v>4069</v>
      </c>
      <c r="D9" s="67">
        <v>4000</v>
      </c>
      <c r="E9" s="67">
        <v>4300</v>
      </c>
    </row>
    <row r="10" spans="2:5">
      <c r="B10" s="273"/>
      <c r="C10" s="67"/>
      <c r="D10" s="67"/>
      <c r="E10" s="67"/>
    </row>
    <row r="11" spans="2:5">
      <c r="B11" s="273"/>
      <c r="C11" s="67"/>
      <c r="D11" s="67"/>
      <c r="E11" s="67"/>
    </row>
    <row r="12" spans="2:5">
      <c r="B12" s="261" t="s">
        <v>114</v>
      </c>
      <c r="C12" s="67"/>
      <c r="D12" s="67"/>
      <c r="E12" s="67"/>
    </row>
    <row r="13" spans="2:5">
      <c r="B13" s="159" t="s">
        <v>14</v>
      </c>
      <c r="C13" s="67"/>
      <c r="D13" s="258"/>
      <c r="E13" s="258"/>
    </row>
    <row r="14" spans="2:5">
      <c r="B14" s="252" t="s">
        <v>784</v>
      </c>
      <c r="C14" s="299" t="str">
        <f>IF(C15*0.1&lt;C13,"Exceed 10% Rule","")</f>
        <v/>
      </c>
      <c r="D14" s="263" t="str">
        <f>IF(D15*0.1&lt;D13,"Exceed 10% Rule","")</f>
        <v/>
      </c>
      <c r="E14" s="263" t="str">
        <f>IF(E15*0.1&lt;E13,"Exceed 10% Rule","")</f>
        <v/>
      </c>
    </row>
    <row r="15" spans="2:5">
      <c r="B15" s="264" t="s">
        <v>115</v>
      </c>
      <c r="C15" s="267">
        <f>SUM(C8:C13)</f>
        <v>11803</v>
      </c>
      <c r="D15" s="267">
        <f>SUM(D8:D13)</f>
        <v>13126</v>
      </c>
      <c r="E15" s="267">
        <f>SUM(E8:E13)</f>
        <v>13511</v>
      </c>
    </row>
    <row r="16" spans="2:5">
      <c r="B16" s="264" t="s">
        <v>116</v>
      </c>
      <c r="C16" s="267">
        <f>C6+C15</f>
        <v>17094</v>
      </c>
      <c r="D16" s="267">
        <f>D6+D15</f>
        <v>17380</v>
      </c>
      <c r="E16" s="267">
        <f>E6+E15</f>
        <v>17765</v>
      </c>
    </row>
    <row r="17" spans="2:5">
      <c r="B17" s="150" t="s">
        <v>118</v>
      </c>
      <c r="C17" s="228"/>
      <c r="D17" s="228"/>
      <c r="E17" s="228"/>
    </row>
    <row r="18" spans="2:5">
      <c r="B18" s="273" t="s">
        <v>1064</v>
      </c>
      <c r="C18" s="67">
        <v>9462</v>
      </c>
      <c r="D18" s="67">
        <v>9126</v>
      </c>
      <c r="E18" s="67">
        <v>9211</v>
      </c>
    </row>
    <row r="19" spans="2:5">
      <c r="B19" s="273" t="s">
        <v>1065</v>
      </c>
      <c r="C19" s="67">
        <v>3378</v>
      </c>
      <c r="D19" s="67">
        <v>4000</v>
      </c>
      <c r="E19" s="67">
        <v>4300</v>
      </c>
    </row>
    <row r="20" spans="2:5">
      <c r="B20" s="273"/>
      <c r="C20" s="67"/>
      <c r="D20" s="67"/>
      <c r="E20" s="67"/>
    </row>
    <row r="21" spans="2:5">
      <c r="B21" s="273"/>
      <c r="C21" s="67"/>
      <c r="D21" s="67"/>
      <c r="E21" s="67"/>
    </row>
    <row r="22" spans="2:5">
      <c r="B22" s="273"/>
      <c r="C22" s="67"/>
      <c r="D22" s="67"/>
      <c r="E22" s="67"/>
    </row>
    <row r="23" spans="2:5">
      <c r="B23" s="273"/>
      <c r="C23" s="67"/>
      <c r="D23" s="67"/>
      <c r="E23" s="67"/>
    </row>
    <row r="24" spans="2:5">
      <c r="B24" s="273"/>
      <c r="C24" s="67"/>
      <c r="D24" s="67"/>
      <c r="E24" s="67"/>
    </row>
    <row r="25" spans="2:5">
      <c r="B25" s="273"/>
      <c r="C25" s="67"/>
      <c r="D25" s="67"/>
      <c r="E25" s="67"/>
    </row>
    <row r="26" spans="2:5">
      <c r="B26" s="274" t="s">
        <v>14</v>
      </c>
      <c r="C26" s="67"/>
      <c r="D26" s="258"/>
      <c r="E26" s="258"/>
    </row>
    <row r="27" spans="2:5">
      <c r="B27" s="274" t="s">
        <v>785</v>
      </c>
      <c r="C27" s="299" t="str">
        <f>IF(C28*0.1&lt;C26,"Exceed 10% Rule","")</f>
        <v/>
      </c>
      <c r="D27" s="263" t="str">
        <f>IF(D28*0.1&lt;D26,"Exceed 10% Rule","")</f>
        <v/>
      </c>
      <c r="E27" s="263" t="str">
        <f>IF(E28*0.1&lt;E26,"Exceed 10% Rule","")</f>
        <v/>
      </c>
    </row>
    <row r="28" spans="2:5">
      <c r="B28" s="264" t="s">
        <v>122</v>
      </c>
      <c r="C28" s="267">
        <f>SUM(C18:C26)</f>
        <v>12840</v>
      </c>
      <c r="D28" s="267">
        <f>SUM(D18:D26)</f>
        <v>13126</v>
      </c>
      <c r="E28" s="267">
        <f>SUM(E18:E26)</f>
        <v>13511</v>
      </c>
    </row>
    <row r="29" spans="2:5">
      <c r="B29" s="150" t="s">
        <v>229</v>
      </c>
      <c r="C29" s="82">
        <f>C16-C28</f>
        <v>4254</v>
      </c>
      <c r="D29" s="82">
        <f>D16-D28</f>
        <v>4254</v>
      </c>
      <c r="E29" s="82">
        <f>E16-E28</f>
        <v>4254</v>
      </c>
    </row>
    <row r="30" spans="2:5">
      <c r="B30" s="136" t="str">
        <f>CONCATENATE("",E1-2,"/",E1-1," Budget Authority Amount:")</f>
        <v>2012/2013 Budget Authority Amount:</v>
      </c>
      <c r="C30" s="241">
        <f>inputOth!B75</f>
        <v>12389</v>
      </c>
      <c r="D30" s="241">
        <f>inputPrYr!D36</f>
        <v>13126</v>
      </c>
      <c r="E30" s="381" t="str">
        <f>IF(E29&lt;0,"See Tab E","")</f>
        <v/>
      </c>
    </row>
    <row r="31" spans="2:5">
      <c r="B31" s="136"/>
      <c r="C31" s="277" t="str">
        <f>IF(C28&gt;C30,"See Tab A","")</f>
        <v>See Tab A</v>
      </c>
      <c r="D31" s="277" t="str">
        <f>IF(D28&gt;D30,"See Tab C","")</f>
        <v/>
      </c>
      <c r="E31" s="97"/>
    </row>
    <row r="32" spans="2:5">
      <c r="B32" s="136"/>
      <c r="C32" s="277" t="str">
        <f>IF(C29&lt;0,"See Tab B","")</f>
        <v/>
      </c>
      <c r="D32" s="277" t="str">
        <f>IF(D29&lt;0,"See Tab D","")</f>
        <v/>
      </c>
      <c r="E32" s="97"/>
    </row>
    <row r="33" spans="2:5">
      <c r="B33" s="47"/>
      <c r="C33" s="97"/>
      <c r="D33" s="97"/>
      <c r="E33" s="97"/>
    </row>
    <row r="34" spans="2:5">
      <c r="B34" s="52" t="s">
        <v>106</v>
      </c>
      <c r="C34" s="294"/>
      <c r="D34" s="294"/>
      <c r="E34" s="294"/>
    </row>
    <row r="35" spans="2:5">
      <c r="B35" s="47"/>
      <c r="C35" s="715" t="s">
        <v>950</v>
      </c>
      <c r="D35" s="716" t="s">
        <v>951</v>
      </c>
      <c r="E35" s="144" t="s">
        <v>952</v>
      </c>
    </row>
    <row r="36" spans="2:5">
      <c r="B36" s="535" t="str">
        <f>(inputPrYr!B37)</f>
        <v>Special Parks &amp; Rec</v>
      </c>
      <c r="C36" s="225" t="str">
        <f>CONCATENATE("Actual for ",$E$1-2,"")</f>
        <v>Actual for 2012</v>
      </c>
      <c r="D36" s="225" t="str">
        <f>CONCATENATE("Estimate for ",$E$1-1,"")</f>
        <v>Estimate for 2013</v>
      </c>
      <c r="E36" s="208" t="str">
        <f>CONCATENATE("Year for ",$E$1,"")</f>
        <v>Year for 2014</v>
      </c>
    </row>
    <row r="37" spans="2:5">
      <c r="B37" s="252" t="s">
        <v>228</v>
      </c>
      <c r="C37" s="67">
        <v>4417</v>
      </c>
      <c r="D37" s="228">
        <f>C60</f>
        <v>3651</v>
      </c>
      <c r="E37" s="228">
        <f>D60</f>
        <v>4896</v>
      </c>
    </row>
    <row r="38" spans="2:5">
      <c r="B38" s="256" t="s">
        <v>230</v>
      </c>
      <c r="C38" s="87"/>
      <c r="D38" s="87"/>
      <c r="E38" s="87"/>
    </row>
    <row r="39" spans="2:5">
      <c r="B39" s="273" t="s">
        <v>1066</v>
      </c>
      <c r="C39" s="67">
        <v>4455</v>
      </c>
      <c r="D39" s="67">
        <v>5550</v>
      </c>
      <c r="E39" s="67">
        <v>4097</v>
      </c>
    </row>
    <row r="40" spans="2:5">
      <c r="B40" s="273"/>
      <c r="C40" s="67"/>
      <c r="D40" s="67"/>
      <c r="E40" s="67"/>
    </row>
    <row r="41" spans="2:5">
      <c r="B41" s="273"/>
      <c r="C41" s="67"/>
      <c r="D41" s="67"/>
      <c r="E41" s="67"/>
    </row>
    <row r="42" spans="2:5">
      <c r="B42" s="273"/>
      <c r="C42" s="67"/>
      <c r="D42" s="67"/>
      <c r="E42" s="67"/>
    </row>
    <row r="43" spans="2:5">
      <c r="B43" s="261" t="s">
        <v>114</v>
      </c>
      <c r="C43" s="67"/>
      <c r="D43" s="67"/>
      <c r="E43" s="67"/>
    </row>
    <row r="44" spans="2:5">
      <c r="B44" s="159" t="s">
        <v>14</v>
      </c>
      <c r="C44" s="67"/>
      <c r="D44" s="258"/>
      <c r="E44" s="258"/>
    </row>
    <row r="45" spans="2:5">
      <c r="B45" s="252" t="s">
        <v>784</v>
      </c>
      <c r="C45" s="299" t="str">
        <f>IF(C46*0.1&lt;C44,"Exceed 10% Rule","")</f>
        <v/>
      </c>
      <c r="D45" s="263" t="str">
        <f>IF(D46*0.1&lt;D44,"Exceed 10% Rule","")</f>
        <v/>
      </c>
      <c r="E45" s="263" t="str">
        <f>IF(E46*0.1&lt;E44,"Exceed 10% Rule","")</f>
        <v/>
      </c>
    </row>
    <row r="46" spans="2:5">
      <c r="B46" s="264" t="s">
        <v>115</v>
      </c>
      <c r="C46" s="267">
        <f>SUM(C39:C44)</f>
        <v>4455</v>
      </c>
      <c r="D46" s="267">
        <f>SUM(D39:D44)</f>
        <v>5550</v>
      </c>
      <c r="E46" s="267">
        <f>SUM(E39:E44)</f>
        <v>4097</v>
      </c>
    </row>
    <row r="47" spans="2:5">
      <c r="B47" s="264" t="s">
        <v>116</v>
      </c>
      <c r="C47" s="267">
        <f>C37+C46</f>
        <v>8872</v>
      </c>
      <c r="D47" s="267">
        <f>D37+D46</f>
        <v>9201</v>
      </c>
      <c r="E47" s="267">
        <f>E37+E46</f>
        <v>8993</v>
      </c>
    </row>
    <row r="48" spans="2:5">
      <c r="B48" s="150" t="s">
        <v>118</v>
      </c>
      <c r="C48" s="228"/>
      <c r="D48" s="228"/>
      <c r="E48" s="228"/>
    </row>
    <row r="49" spans="2:5">
      <c r="B49" s="273" t="s">
        <v>1016</v>
      </c>
      <c r="C49" s="67">
        <v>5221</v>
      </c>
      <c r="D49" s="67">
        <v>4305</v>
      </c>
      <c r="E49" s="67">
        <v>8500</v>
      </c>
    </row>
    <row r="50" spans="2:5">
      <c r="B50" s="273"/>
      <c r="C50" s="67"/>
      <c r="D50" s="67"/>
      <c r="E50" s="67"/>
    </row>
    <row r="51" spans="2:5">
      <c r="B51" s="273"/>
      <c r="C51" s="67"/>
      <c r="D51" s="67"/>
      <c r="E51" s="67"/>
    </row>
    <row r="52" spans="2:5">
      <c r="B52" s="273"/>
      <c r="C52" s="67"/>
      <c r="D52" s="67"/>
      <c r="E52" s="67"/>
    </row>
    <row r="53" spans="2:5">
      <c r="B53" s="273"/>
      <c r="C53" s="67"/>
      <c r="D53" s="67"/>
      <c r="E53" s="67"/>
    </row>
    <row r="54" spans="2:5">
      <c r="B54" s="273"/>
      <c r="C54" s="67"/>
      <c r="D54" s="67"/>
      <c r="E54" s="67"/>
    </row>
    <row r="55" spans="2:5">
      <c r="B55" s="273"/>
      <c r="C55" s="67"/>
      <c r="D55" s="67"/>
      <c r="E55" s="67"/>
    </row>
    <row r="56" spans="2:5">
      <c r="B56" s="273"/>
      <c r="C56" s="67"/>
      <c r="D56" s="67"/>
      <c r="E56" s="67"/>
    </row>
    <row r="57" spans="2:5">
      <c r="B57" s="274" t="s">
        <v>14</v>
      </c>
      <c r="C57" s="67"/>
      <c r="D57" s="258"/>
      <c r="E57" s="258"/>
    </row>
    <row r="58" spans="2:5">
      <c r="B58" s="274" t="s">
        <v>785</v>
      </c>
      <c r="C58" s="299" t="str">
        <f>IF(C59*0.1&lt;C57,"Exceed 10% Rule","")</f>
        <v/>
      </c>
      <c r="D58" s="263" t="str">
        <f>IF(D59*0.1&lt;D57,"Exceed 10% Rule","")</f>
        <v/>
      </c>
      <c r="E58" s="263" t="str">
        <f>IF(E59*0.1&lt;E57,"Exceed 10% Rule","")</f>
        <v/>
      </c>
    </row>
    <row r="59" spans="2:5">
      <c r="B59" s="264" t="s">
        <v>122</v>
      </c>
      <c r="C59" s="267">
        <f>SUM(C49:C57)</f>
        <v>5221</v>
      </c>
      <c r="D59" s="267">
        <f>SUM(D49:D57)</f>
        <v>4305</v>
      </c>
      <c r="E59" s="267">
        <f>SUM(E49:E57)</f>
        <v>8500</v>
      </c>
    </row>
    <row r="60" spans="2:5">
      <c r="B60" s="150" t="s">
        <v>229</v>
      </c>
      <c r="C60" s="82">
        <f>C47-C59</f>
        <v>3651</v>
      </c>
      <c r="D60" s="82">
        <f>D47-D59</f>
        <v>4896</v>
      </c>
      <c r="E60" s="82">
        <f>E47-E59</f>
        <v>493</v>
      </c>
    </row>
    <row r="61" spans="2:5">
      <c r="B61" s="136" t="str">
        <f>CONCATENATE("",E1-2,"/",E1-1," Budget Authority Amount:")</f>
        <v>2012/2013 Budget Authority Amount:</v>
      </c>
      <c r="C61" s="241">
        <f>inputOth!B76</f>
        <v>8000</v>
      </c>
      <c r="D61" s="241">
        <f>inputPrYr!D37</f>
        <v>7000</v>
      </c>
      <c r="E61" s="381" t="str">
        <f>IF(E60&lt;0,"See Tab E","")</f>
        <v/>
      </c>
    </row>
    <row r="62" spans="2:5">
      <c r="B62" s="136"/>
      <c r="C62" s="277" t="str">
        <f>IF(C59&gt;C61,"See Tab A","")</f>
        <v/>
      </c>
      <c r="D62" s="277" t="str">
        <f>IF(D59&gt;D61,"See Tab C","")</f>
        <v/>
      </c>
      <c r="E62" s="47"/>
    </row>
    <row r="63" spans="2:5">
      <c r="B63" s="136"/>
      <c r="C63" s="277" t="str">
        <f>IF(C60&lt;0,"See Tab B","")</f>
        <v/>
      </c>
      <c r="D63" s="277" t="str">
        <f>IF(D60&lt;0,"See Tab D","")</f>
        <v/>
      </c>
      <c r="E63" s="47"/>
    </row>
    <row r="64" spans="2:5">
      <c r="B64" s="47"/>
      <c r="C64" s="47"/>
      <c r="D64" s="47"/>
      <c r="E64" s="47"/>
    </row>
    <row r="65" spans="2:5">
      <c r="B65" s="405" t="s">
        <v>125</v>
      </c>
      <c r="C65" s="282">
        <v>14</v>
      </c>
      <c r="D65" s="47"/>
      <c r="E65" s="47"/>
    </row>
  </sheetData>
  <sheetProtection sheet="1"/>
  <phoneticPr fontId="0" type="noConversion"/>
  <conditionalFormatting sqref="C13">
    <cfRule type="cellIs" dxfId="209" priority="3" stopIfTrue="1" operator="greaterThan">
      <formula>$C$15*0.1</formula>
    </cfRule>
  </conditionalFormatting>
  <conditionalFormatting sqref="D13">
    <cfRule type="cellIs" dxfId="208" priority="4" stopIfTrue="1" operator="greaterThan">
      <formula>$D$15*0.1</formula>
    </cfRule>
  </conditionalFormatting>
  <conditionalFormatting sqref="E13">
    <cfRule type="cellIs" dxfId="207" priority="5" stopIfTrue="1" operator="greaterThan">
      <formula>$E$15*0.1</formula>
    </cfRule>
  </conditionalFormatting>
  <conditionalFormatting sqref="C26">
    <cfRule type="cellIs" dxfId="206" priority="6" stopIfTrue="1" operator="greaterThan">
      <formula>$C$28*0.1</formula>
    </cfRule>
  </conditionalFormatting>
  <conditionalFormatting sqref="D26">
    <cfRule type="cellIs" dxfId="205" priority="7" stopIfTrue="1" operator="greaterThan">
      <formula>$D$28*0.1</formula>
    </cfRule>
  </conditionalFormatting>
  <conditionalFormatting sqref="E26">
    <cfRule type="cellIs" dxfId="204" priority="8" stopIfTrue="1" operator="greaterThan">
      <formula>$E$28*0.1</formula>
    </cfRule>
  </conditionalFormatting>
  <conditionalFormatting sqref="C44">
    <cfRule type="cellIs" dxfId="203" priority="9" stopIfTrue="1" operator="greaterThan">
      <formula>$C$46*0.1</formula>
    </cfRule>
  </conditionalFormatting>
  <conditionalFormatting sqref="D44">
    <cfRule type="cellIs" dxfId="202" priority="10" stopIfTrue="1" operator="greaterThan">
      <formula>$D$46*0.1</formula>
    </cfRule>
  </conditionalFormatting>
  <conditionalFormatting sqref="E44">
    <cfRule type="cellIs" dxfId="201" priority="11" stopIfTrue="1" operator="greaterThan">
      <formula>$E$46*0.1</formula>
    </cfRule>
  </conditionalFormatting>
  <conditionalFormatting sqref="C57">
    <cfRule type="cellIs" dxfId="200" priority="12" stopIfTrue="1" operator="greaterThan">
      <formula>$C$59*0.1</formula>
    </cfRule>
  </conditionalFormatting>
  <conditionalFormatting sqref="D57">
    <cfRule type="cellIs" dxfId="199" priority="13" stopIfTrue="1" operator="greaterThan">
      <formula>$D$59*0.1</formula>
    </cfRule>
  </conditionalFormatting>
  <conditionalFormatting sqref="E57">
    <cfRule type="cellIs" dxfId="198" priority="14" stopIfTrue="1" operator="greaterThan">
      <formula>$E$59*0.1</formula>
    </cfRule>
  </conditionalFormatting>
  <conditionalFormatting sqref="D59">
    <cfRule type="cellIs" dxfId="197" priority="15" stopIfTrue="1" operator="greaterThan">
      <formula>$D$61</formula>
    </cfRule>
  </conditionalFormatting>
  <conditionalFormatting sqref="C59">
    <cfRule type="cellIs" dxfId="196" priority="16" stopIfTrue="1" operator="greaterThan">
      <formula>$C$61</formula>
    </cfRule>
  </conditionalFormatting>
  <conditionalFormatting sqref="C60 E60 C29 E29">
    <cfRule type="cellIs" dxfId="195" priority="17" stopIfTrue="1" operator="lessThan">
      <formula>0</formula>
    </cfRule>
  </conditionalFormatting>
  <conditionalFormatting sqref="D28">
    <cfRule type="cellIs" dxfId="194" priority="18" stopIfTrue="1" operator="greaterThan">
      <formula>$D$30</formula>
    </cfRule>
  </conditionalFormatting>
  <conditionalFormatting sqref="C28">
    <cfRule type="cellIs" dxfId="193" priority="19" stopIfTrue="1" operator="greaterThan">
      <formula>$C$30</formula>
    </cfRule>
  </conditionalFormatting>
  <conditionalFormatting sqref="D60">
    <cfRule type="cellIs" dxfId="192" priority="2" stopIfTrue="1" operator="lessThan">
      <formula>0</formula>
    </cfRule>
  </conditionalFormatting>
  <conditionalFormatting sqref="D29">
    <cfRule type="cellIs" dxfId="191" priority="1" stopIfTrue="1" operator="lessThan">
      <formula>0</formula>
    </cfRule>
  </conditionalFormatting>
  <pageMargins left="0.5" right="0.5" top="1" bottom="0.5" header="0.5" footer="0.5"/>
  <pageSetup scale="67" orientation="portrait" blackAndWhite="1" horizontalDpi="120" verticalDpi="144"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67"/>
  <sheetViews>
    <sheetView workbookViewId="0">
      <selection activeCell="E53" sqref="E53"/>
    </sheetView>
  </sheetViews>
  <sheetFormatPr defaultRowHeight="15.75"/>
  <cols>
    <col min="1" max="1" width="2.44140625" style="45" customWidth="1"/>
    <col min="2" max="2" width="31.109375" style="45" customWidth="1"/>
    <col min="3" max="4" width="15.77734375" style="45" customWidth="1"/>
    <col min="5" max="5" width="16.109375" style="45" customWidth="1"/>
    <col min="6" max="16384" width="8.88671875" style="45"/>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(inputPrYr!B38)</f>
        <v>Electric</v>
      </c>
      <c r="C5" s="225" t="str">
        <f>CONCATENATE("Actual for ",E1-2,"")</f>
        <v>Actual for 2012</v>
      </c>
      <c r="D5" s="225" t="str">
        <f>CONCATENATE("Estimate for ",E1-1,"")</f>
        <v>Estimate for 2013</v>
      </c>
      <c r="E5" s="208" t="str">
        <f>CONCATENATE("Year for ",E1,"")</f>
        <v>Year for 2014</v>
      </c>
    </row>
    <row r="6" spans="2:5">
      <c r="B6" s="252" t="s">
        <v>228</v>
      </c>
      <c r="C6" s="67">
        <v>2472964</v>
      </c>
      <c r="D6" s="228">
        <f>C30</f>
        <v>2426590</v>
      </c>
      <c r="E6" s="228">
        <f>D30</f>
        <v>2211159</v>
      </c>
    </row>
    <row r="7" spans="2:5">
      <c r="B7" s="256" t="s">
        <v>230</v>
      </c>
      <c r="C7" s="87"/>
      <c r="D7" s="87"/>
      <c r="E7" s="87"/>
    </row>
    <row r="8" spans="2:5">
      <c r="B8" s="273" t="s">
        <v>1067</v>
      </c>
      <c r="C8" s="67">
        <v>36010</v>
      </c>
      <c r="D8" s="67">
        <v>0</v>
      </c>
      <c r="E8" s="67">
        <v>0</v>
      </c>
    </row>
    <row r="9" spans="2:5">
      <c r="B9" s="273" t="s">
        <v>1142</v>
      </c>
      <c r="C9" s="67">
        <v>2841</v>
      </c>
      <c r="D9" s="67">
        <v>2841</v>
      </c>
      <c r="E9" s="67">
        <v>2841</v>
      </c>
    </row>
    <row r="10" spans="2:5">
      <c r="B10" s="273" t="s">
        <v>1068</v>
      </c>
      <c r="C10" s="67">
        <v>3128654</v>
      </c>
      <c r="D10" s="67">
        <v>3300000</v>
      </c>
      <c r="E10" s="67">
        <v>3300000</v>
      </c>
    </row>
    <row r="11" spans="2:5">
      <c r="B11" s="273" t="s">
        <v>1069</v>
      </c>
      <c r="C11" s="67">
        <v>2871</v>
      </c>
      <c r="D11" s="67">
        <v>1500</v>
      </c>
      <c r="E11" s="67">
        <v>1500</v>
      </c>
    </row>
    <row r="12" spans="2:5">
      <c r="B12" s="261" t="s">
        <v>114</v>
      </c>
      <c r="C12" s="67"/>
      <c r="D12" s="67"/>
      <c r="E12" s="67"/>
    </row>
    <row r="13" spans="2:5">
      <c r="B13" s="159" t="s">
        <v>14</v>
      </c>
      <c r="C13" s="67">
        <v>113513</v>
      </c>
      <c r="D13" s="258">
        <v>15000</v>
      </c>
      <c r="E13" s="258">
        <v>15000</v>
      </c>
    </row>
    <row r="14" spans="2:5">
      <c r="B14" s="252" t="s">
        <v>784</v>
      </c>
      <c r="C14" s="299" t="str">
        <f>IF(C15*0.1&lt;C13,"Exceed 10% Rule","")</f>
        <v/>
      </c>
      <c r="D14" s="263" t="str">
        <f>IF(D15*0.1&lt;D13,"Exceed 10% Rule","")</f>
        <v/>
      </c>
      <c r="E14" s="263" t="str">
        <f>IF(E15*0.1&lt;E13,"Exceed 10% Rule","")</f>
        <v/>
      </c>
    </row>
    <row r="15" spans="2:5">
      <c r="B15" s="264" t="s">
        <v>115</v>
      </c>
      <c r="C15" s="267">
        <f>SUM(C8:C13)</f>
        <v>3283889</v>
      </c>
      <c r="D15" s="267">
        <f>SUM(D8:D13)</f>
        <v>3319341</v>
      </c>
      <c r="E15" s="267">
        <f>SUM(E8:E13)</f>
        <v>3319341</v>
      </c>
    </row>
    <row r="16" spans="2:5">
      <c r="B16" s="264" t="s">
        <v>116</v>
      </c>
      <c r="C16" s="267">
        <f>C6+C15</f>
        <v>5756853</v>
      </c>
      <c r="D16" s="267">
        <f>D6+D15</f>
        <v>5745931</v>
      </c>
      <c r="E16" s="267">
        <f>E6+E15</f>
        <v>5530500</v>
      </c>
    </row>
    <row r="17" spans="2:5">
      <c r="B17" s="150" t="s">
        <v>118</v>
      </c>
      <c r="C17" s="228"/>
      <c r="D17" s="228"/>
      <c r="E17" s="228"/>
    </row>
    <row r="18" spans="2:5">
      <c r="B18" s="273" t="s">
        <v>1070</v>
      </c>
      <c r="C18" s="67">
        <v>2187737</v>
      </c>
      <c r="D18" s="67">
        <v>2231467</v>
      </c>
      <c r="E18" s="67">
        <v>2297915</v>
      </c>
    </row>
    <row r="19" spans="2:5">
      <c r="B19" s="273" t="s">
        <v>1071</v>
      </c>
      <c r="C19" s="67">
        <v>355937</v>
      </c>
      <c r="D19" s="67">
        <v>363329</v>
      </c>
      <c r="E19" s="67">
        <v>357176</v>
      </c>
    </row>
    <row r="20" spans="2:5">
      <c r="B20" s="273" t="s">
        <v>1072</v>
      </c>
      <c r="C20" s="67">
        <v>402959</v>
      </c>
      <c r="D20" s="67">
        <v>422179</v>
      </c>
      <c r="E20" s="67">
        <v>435713</v>
      </c>
    </row>
    <row r="21" spans="2:5">
      <c r="B21" s="273" t="s">
        <v>1073</v>
      </c>
      <c r="C21" s="67">
        <v>287520</v>
      </c>
      <c r="D21" s="67">
        <v>288138</v>
      </c>
      <c r="E21" s="67">
        <v>291129</v>
      </c>
    </row>
    <row r="22" spans="2:5">
      <c r="B22" s="273" t="s">
        <v>1074</v>
      </c>
      <c r="C22" s="67">
        <v>10000</v>
      </c>
      <c r="D22" s="67">
        <v>10000</v>
      </c>
      <c r="E22" s="67">
        <v>15000</v>
      </c>
    </row>
    <row r="23" spans="2:5">
      <c r="B23" s="273" t="s">
        <v>1075</v>
      </c>
      <c r="C23" s="67">
        <v>11410</v>
      </c>
      <c r="D23" s="67">
        <v>11000</v>
      </c>
      <c r="E23" s="67">
        <v>10500</v>
      </c>
    </row>
    <row r="24" spans="2:5">
      <c r="B24" s="273" t="s">
        <v>1088</v>
      </c>
      <c r="C24" s="67">
        <v>0</v>
      </c>
      <c r="D24" s="67">
        <v>20000</v>
      </c>
      <c r="E24" s="67">
        <v>20000</v>
      </c>
    </row>
    <row r="25" spans="2:5">
      <c r="B25" s="273" t="s">
        <v>1148</v>
      </c>
      <c r="C25" s="67">
        <v>0</v>
      </c>
      <c r="D25" s="67">
        <v>188659</v>
      </c>
      <c r="E25" s="67">
        <v>0</v>
      </c>
    </row>
    <row r="26" spans="2:5">
      <c r="B26" s="273" t="s">
        <v>1143</v>
      </c>
      <c r="C26" s="67">
        <v>74700</v>
      </c>
      <c r="D26" s="67">
        <v>0</v>
      </c>
      <c r="E26" s="67">
        <v>0</v>
      </c>
    </row>
    <row r="27" spans="2:5">
      <c r="B27" s="274" t="s">
        <v>14</v>
      </c>
      <c r="C27" s="67"/>
      <c r="D27" s="258"/>
      <c r="E27" s="258"/>
    </row>
    <row r="28" spans="2:5">
      <c r="B28" s="274" t="s">
        <v>785</v>
      </c>
      <c r="C28" s="299" t="str">
        <f>IF(C29*0.1&lt;C27,"Exceed 10% Rule","")</f>
        <v/>
      </c>
      <c r="D28" s="263" t="str">
        <f>IF(D29*0.1&lt;D27,"Exceed 10% Rule","")</f>
        <v/>
      </c>
      <c r="E28" s="263" t="str">
        <f>IF(E29*0.1&lt;E27,"Exceed 10% Rule","")</f>
        <v/>
      </c>
    </row>
    <row r="29" spans="2:5">
      <c r="B29" s="264" t="s">
        <v>122</v>
      </c>
      <c r="C29" s="267">
        <f>SUM(C18:C27)</f>
        <v>3330263</v>
      </c>
      <c r="D29" s="267">
        <f>SUM(D18:D27)</f>
        <v>3534772</v>
      </c>
      <c r="E29" s="267">
        <f>SUM(E18:E27)</f>
        <v>3427433</v>
      </c>
    </row>
    <row r="30" spans="2:5">
      <c r="B30" s="150" t="s">
        <v>229</v>
      </c>
      <c r="C30" s="82">
        <f>C16-C29</f>
        <v>2426590</v>
      </c>
      <c r="D30" s="82">
        <f>D16-D29</f>
        <v>2211159</v>
      </c>
      <c r="E30" s="82">
        <f>E16-E29</f>
        <v>2103067</v>
      </c>
    </row>
    <row r="31" spans="2:5">
      <c r="B31" s="136" t="str">
        <f>CONCATENATE("",E1-2,"/",E1-1," Budget Authority Amount:")</f>
        <v>2012/2013 Budget Authority Amount:</v>
      </c>
      <c r="C31" s="241">
        <f>inputOth!B77</f>
        <v>3318002</v>
      </c>
      <c r="D31" s="241">
        <f>inputPrYr!D38</f>
        <v>3530166</v>
      </c>
      <c r="E31" s="381" t="str">
        <f>IF(E30&lt;0,"See Tab E","")</f>
        <v/>
      </c>
    </row>
    <row r="32" spans="2:5">
      <c r="B32" s="136"/>
      <c r="C32" s="277" t="str">
        <f>IF(C29&gt;C31,"See Tab A","")</f>
        <v>See Tab A</v>
      </c>
      <c r="D32" s="277" t="str">
        <f>IF(D29&gt;D31,"See Tab C","")</f>
        <v>See Tab C</v>
      </c>
      <c r="E32" s="97"/>
    </row>
    <row r="33" spans="2:5">
      <c r="B33" s="136"/>
      <c r="C33" s="277" t="str">
        <f>IF(C30&lt;0,"See Tab B","")</f>
        <v/>
      </c>
      <c r="D33" s="277" t="str">
        <f>IF(D30&lt;0,"See Tab D","")</f>
        <v/>
      </c>
      <c r="E33" s="97"/>
    </row>
    <row r="34" spans="2:5">
      <c r="B34" s="47"/>
      <c r="C34" s="97"/>
      <c r="D34" s="97"/>
      <c r="E34" s="97"/>
    </row>
    <row r="35" spans="2:5">
      <c r="B35" s="52" t="s">
        <v>106</v>
      </c>
      <c r="C35" s="294"/>
      <c r="D35" s="294"/>
      <c r="E35" s="294"/>
    </row>
    <row r="36" spans="2:5">
      <c r="B36" s="47"/>
      <c r="C36" s="715" t="s">
        <v>950</v>
      </c>
      <c r="D36" s="716" t="s">
        <v>951</v>
      </c>
      <c r="E36" s="144" t="s">
        <v>952</v>
      </c>
    </row>
    <row r="37" spans="2:5">
      <c r="B37" s="535" t="str">
        <f>(inputPrYr!B39)</f>
        <v>Water</v>
      </c>
      <c r="C37" s="225" t="str">
        <f>CONCATENATE("Actual for ",$E$1-2,"")</f>
        <v>Actual for 2012</v>
      </c>
      <c r="D37" s="225" t="str">
        <f>CONCATENATE("Estimate for ",$E$1-1,"")</f>
        <v>Estimate for 2013</v>
      </c>
      <c r="E37" s="208" t="str">
        <f>CONCATENATE("Year for ",$E$1,"")</f>
        <v>Year for 2014</v>
      </c>
    </row>
    <row r="38" spans="2:5">
      <c r="B38" s="252" t="s">
        <v>228</v>
      </c>
      <c r="C38" s="67">
        <v>2132079</v>
      </c>
      <c r="D38" s="228">
        <f>C62</f>
        <v>2152242</v>
      </c>
      <c r="E38" s="228">
        <f>D62</f>
        <v>2085941</v>
      </c>
    </row>
    <row r="39" spans="2:5">
      <c r="B39" s="256" t="s">
        <v>230</v>
      </c>
      <c r="C39" s="87"/>
      <c r="D39" s="87"/>
      <c r="E39" s="87"/>
    </row>
    <row r="40" spans="2:5">
      <c r="B40" s="273" t="s">
        <v>1076</v>
      </c>
      <c r="C40" s="67">
        <v>1139295</v>
      </c>
      <c r="D40" s="67">
        <v>950000</v>
      </c>
      <c r="E40" s="67">
        <v>1150000</v>
      </c>
    </row>
    <row r="41" spans="2:5">
      <c r="B41" s="273" t="s">
        <v>1077</v>
      </c>
      <c r="C41" s="67">
        <v>546519</v>
      </c>
      <c r="D41" s="67">
        <v>600000</v>
      </c>
      <c r="E41" s="67">
        <v>600000</v>
      </c>
    </row>
    <row r="42" spans="2:5">
      <c r="B42" s="273" t="s">
        <v>1078</v>
      </c>
      <c r="C42" s="67">
        <v>1231</v>
      </c>
      <c r="D42" s="67">
        <v>100</v>
      </c>
      <c r="E42" s="67">
        <v>100</v>
      </c>
    </row>
    <row r="43" spans="2:5">
      <c r="B43" s="273" t="s">
        <v>1079</v>
      </c>
      <c r="C43" s="67">
        <v>0</v>
      </c>
      <c r="D43" s="67">
        <v>100</v>
      </c>
      <c r="E43" s="67">
        <v>100</v>
      </c>
    </row>
    <row r="44" spans="2:5">
      <c r="B44" s="273" t="s">
        <v>1080</v>
      </c>
      <c r="C44" s="67">
        <v>144</v>
      </c>
      <c r="D44" s="67"/>
      <c r="E44" s="67"/>
    </row>
    <row r="45" spans="2:5">
      <c r="B45" s="261" t="s">
        <v>114</v>
      </c>
      <c r="C45" s="67"/>
      <c r="D45" s="67"/>
      <c r="E45" s="67"/>
    </row>
    <row r="46" spans="2:5">
      <c r="B46" s="159" t="s">
        <v>14</v>
      </c>
      <c r="C46" s="67">
        <v>22181</v>
      </c>
      <c r="D46" s="258">
        <v>30000</v>
      </c>
      <c r="E46" s="258">
        <v>10000</v>
      </c>
    </row>
    <row r="47" spans="2:5">
      <c r="B47" s="252" t="s">
        <v>784</v>
      </c>
      <c r="C47" s="299" t="str">
        <f>IF(C48*0.1&lt;C46,"Exceed 10% Rule","")</f>
        <v/>
      </c>
      <c r="D47" s="263" t="str">
        <f>IF(D48*0.1&lt;D46,"Exceed 10% Rule","")</f>
        <v/>
      </c>
      <c r="E47" s="263" t="str">
        <f>IF(E48*0.1&lt;E46,"Exceed 10% Rule","")</f>
        <v/>
      </c>
    </row>
    <row r="48" spans="2:5">
      <c r="B48" s="264" t="s">
        <v>115</v>
      </c>
      <c r="C48" s="267">
        <f>SUM(C40:C46)</f>
        <v>1709370</v>
      </c>
      <c r="D48" s="267">
        <f>SUM(D40:D46)</f>
        <v>1580200</v>
      </c>
      <c r="E48" s="267">
        <f>SUM(E40:E46)</f>
        <v>1760200</v>
      </c>
    </row>
    <row r="49" spans="2:5">
      <c r="B49" s="264" t="s">
        <v>116</v>
      </c>
      <c r="C49" s="267">
        <f>C38+C48</f>
        <v>3841449</v>
      </c>
      <c r="D49" s="267">
        <f>D38+D48</f>
        <v>3732442</v>
      </c>
      <c r="E49" s="267">
        <f>E38+E48</f>
        <v>3846141</v>
      </c>
    </row>
    <row r="50" spans="2:5">
      <c r="B50" s="150" t="s">
        <v>118</v>
      </c>
      <c r="C50" s="228"/>
      <c r="D50" s="228"/>
      <c r="E50" s="228"/>
    </row>
    <row r="51" spans="2:5">
      <c r="B51" s="273" t="s">
        <v>1081</v>
      </c>
      <c r="C51" s="67">
        <v>231234</v>
      </c>
      <c r="D51" s="67">
        <v>223446</v>
      </c>
      <c r="E51" s="67">
        <v>235779</v>
      </c>
    </row>
    <row r="52" spans="2:5">
      <c r="B52" s="273" t="s">
        <v>1082</v>
      </c>
      <c r="C52" s="67">
        <v>138752</v>
      </c>
      <c r="D52" s="67">
        <v>153594</v>
      </c>
      <c r="E52" s="67">
        <v>207537</v>
      </c>
    </row>
    <row r="53" spans="2:5">
      <c r="B53" s="273" t="s">
        <v>1083</v>
      </c>
      <c r="C53" s="67">
        <v>490129</v>
      </c>
      <c r="D53" s="67">
        <v>504303</v>
      </c>
      <c r="E53" s="67">
        <v>532620</v>
      </c>
    </row>
    <row r="54" spans="2:5">
      <c r="B54" s="273" t="s">
        <v>1084</v>
      </c>
      <c r="C54" s="67">
        <v>466565</v>
      </c>
      <c r="D54" s="67">
        <v>478184</v>
      </c>
      <c r="E54" s="67">
        <v>488084</v>
      </c>
    </row>
    <row r="55" spans="2:5">
      <c r="B55" s="273" t="s">
        <v>1073</v>
      </c>
      <c r="C55" s="67">
        <v>265392</v>
      </c>
      <c r="D55" s="67">
        <v>265974</v>
      </c>
      <c r="E55" s="67">
        <v>268734</v>
      </c>
    </row>
    <row r="56" spans="2:5">
      <c r="B56" s="273" t="s">
        <v>1074</v>
      </c>
      <c r="C56" s="67">
        <v>10000</v>
      </c>
      <c r="D56" s="67">
        <v>10000</v>
      </c>
      <c r="E56" s="67">
        <v>15000</v>
      </c>
    </row>
    <row r="57" spans="2:5">
      <c r="B57" s="273" t="s">
        <v>1075</v>
      </c>
      <c r="C57" s="67">
        <v>11410</v>
      </c>
      <c r="D57" s="67">
        <v>11000</v>
      </c>
      <c r="E57" s="67">
        <v>10500</v>
      </c>
    </row>
    <row r="58" spans="2:5">
      <c r="B58" s="273" t="s">
        <v>1143</v>
      </c>
      <c r="C58" s="67">
        <v>75725</v>
      </c>
      <c r="D58" s="67">
        <v>0</v>
      </c>
      <c r="E58" s="67">
        <v>0</v>
      </c>
    </row>
    <row r="59" spans="2:5">
      <c r="B59" s="274" t="s">
        <v>14</v>
      </c>
      <c r="C59" s="67"/>
      <c r="D59" s="258"/>
      <c r="E59" s="258"/>
    </row>
    <row r="60" spans="2:5">
      <c r="B60" s="295" t="s">
        <v>785</v>
      </c>
      <c r="C60" s="299" t="str">
        <f>IF(C61*0.1&lt;C59,"Exceed 10% Rule","")</f>
        <v/>
      </c>
      <c r="D60" s="263" t="str">
        <f>IF(D61*0.1&lt;D59,"Exceed 10% Rule","")</f>
        <v/>
      </c>
      <c r="E60" s="263" t="str">
        <f>IF(E61*0.1&lt;E59,"Exceed 10% Rule","")</f>
        <v/>
      </c>
    </row>
    <row r="61" spans="2:5">
      <c r="B61" s="264" t="s">
        <v>122</v>
      </c>
      <c r="C61" s="267">
        <f>SUM(C51:C59)</f>
        <v>1689207</v>
      </c>
      <c r="D61" s="267">
        <f>SUM(D51:D59)</f>
        <v>1646501</v>
      </c>
      <c r="E61" s="267">
        <f>SUM(E51:E59)</f>
        <v>1758254</v>
      </c>
    </row>
    <row r="62" spans="2:5">
      <c r="B62" s="150" t="s">
        <v>229</v>
      </c>
      <c r="C62" s="82">
        <f>C49-C61</f>
        <v>2152242</v>
      </c>
      <c r="D62" s="82">
        <f>D49-D61</f>
        <v>2085941</v>
      </c>
      <c r="E62" s="82">
        <f>E49-E61</f>
        <v>2087887</v>
      </c>
    </row>
    <row r="63" spans="2:5">
      <c r="B63" s="136" t="str">
        <f>CONCATENATE("",E1-2,"/",E1-1," Budget Authority Amount:")</f>
        <v>2012/2013 Budget Authority Amount:</v>
      </c>
      <c r="C63" s="241">
        <f>inputOth!B78</f>
        <v>1815101</v>
      </c>
      <c r="D63" s="241">
        <f>inputPrYr!D39</f>
        <v>1727508</v>
      </c>
      <c r="E63" s="381" t="str">
        <f>IF(E62&lt;0,"See Tab E","")</f>
        <v/>
      </c>
    </row>
    <row r="64" spans="2:5">
      <c r="B64" s="136"/>
      <c r="C64" s="277" t="str">
        <f>IF(C61&gt;C63,"See Tab A","")</f>
        <v/>
      </c>
      <c r="D64" s="277" t="str">
        <f>IF(D61&gt;D63,"See Tab C","")</f>
        <v/>
      </c>
      <c r="E64" s="47"/>
    </row>
    <row r="65" spans="2:5">
      <c r="B65" s="136"/>
      <c r="C65" s="277" t="str">
        <f>IF(C62&lt;0,"See Tab B","")</f>
        <v/>
      </c>
      <c r="D65" s="277" t="str">
        <f>IF(D62&lt;0,"See Tab D","")</f>
        <v/>
      </c>
      <c r="E65" s="47"/>
    </row>
    <row r="66" spans="2:5">
      <c r="B66" s="47"/>
      <c r="C66" s="47"/>
      <c r="D66" s="47"/>
      <c r="E66" s="47"/>
    </row>
    <row r="67" spans="2:5">
      <c r="B67" s="405" t="s">
        <v>125</v>
      </c>
      <c r="C67" s="282">
        <v>15</v>
      </c>
      <c r="D67" s="47"/>
      <c r="E67" s="47"/>
    </row>
  </sheetData>
  <phoneticPr fontId="0" type="noConversion"/>
  <conditionalFormatting sqref="C13">
    <cfRule type="cellIs" dxfId="190" priority="3" stopIfTrue="1" operator="greaterThan">
      <formula>$C$15*0.1</formula>
    </cfRule>
  </conditionalFormatting>
  <conditionalFormatting sqref="D13">
    <cfRule type="cellIs" dxfId="189" priority="4" stopIfTrue="1" operator="greaterThan">
      <formula>$D$15*0.1</formula>
    </cfRule>
  </conditionalFormatting>
  <conditionalFormatting sqref="E13">
    <cfRule type="cellIs" dxfId="188" priority="5" stopIfTrue="1" operator="greaterThan">
      <formula>$E$15*0.1</formula>
    </cfRule>
  </conditionalFormatting>
  <conditionalFormatting sqref="C27">
    <cfRule type="cellIs" dxfId="187" priority="6" stopIfTrue="1" operator="greaterThan">
      <formula>$C$29*0.1</formula>
    </cfRule>
  </conditionalFormatting>
  <conditionalFormatting sqref="D27">
    <cfRule type="cellIs" dxfId="186" priority="7" stopIfTrue="1" operator="greaterThan">
      <formula>$D$29*0.1</formula>
    </cfRule>
  </conditionalFormatting>
  <conditionalFormatting sqref="E27">
    <cfRule type="cellIs" dxfId="185" priority="8" stopIfTrue="1" operator="greaterThan">
      <formula>$E$29*0.1</formula>
    </cfRule>
  </conditionalFormatting>
  <conditionalFormatting sqref="C46">
    <cfRule type="cellIs" dxfId="184" priority="9" stopIfTrue="1" operator="greaterThan">
      <formula>$C$48*0.1</formula>
    </cfRule>
  </conditionalFormatting>
  <conditionalFormatting sqref="D46">
    <cfRule type="cellIs" dxfId="183" priority="10" stopIfTrue="1" operator="greaterThan">
      <formula>$D$48*0.1</formula>
    </cfRule>
  </conditionalFormatting>
  <conditionalFormatting sqref="E46">
    <cfRule type="cellIs" dxfId="182" priority="11" stopIfTrue="1" operator="greaterThan">
      <formula>$E$48*0.1</formula>
    </cfRule>
  </conditionalFormatting>
  <conditionalFormatting sqref="C59">
    <cfRule type="cellIs" dxfId="181" priority="12" stopIfTrue="1" operator="greaterThan">
      <formula>$C$61*0.1</formula>
    </cfRule>
  </conditionalFormatting>
  <conditionalFormatting sqref="D59">
    <cfRule type="cellIs" dxfId="180" priority="13" stopIfTrue="1" operator="greaterThan">
      <formula>$D$61*0.1</formula>
    </cfRule>
  </conditionalFormatting>
  <conditionalFormatting sqref="E59">
    <cfRule type="cellIs" dxfId="179" priority="14" stopIfTrue="1" operator="greaterThan">
      <formula>$E$61*0.1</formula>
    </cfRule>
  </conditionalFormatting>
  <conditionalFormatting sqref="D61">
    <cfRule type="cellIs" dxfId="178" priority="15" stopIfTrue="1" operator="greaterThan">
      <formula>$D$63</formula>
    </cfRule>
  </conditionalFormatting>
  <conditionalFormatting sqref="C61">
    <cfRule type="cellIs" dxfId="177" priority="16" stopIfTrue="1" operator="greaterThan">
      <formula>$C$63</formula>
    </cfRule>
  </conditionalFormatting>
  <conditionalFormatting sqref="C62 E62 C30 E30">
    <cfRule type="cellIs" dxfId="176" priority="17" stopIfTrue="1" operator="lessThan">
      <formula>0</formula>
    </cfRule>
  </conditionalFormatting>
  <conditionalFormatting sqref="D29">
    <cfRule type="cellIs" dxfId="175" priority="18" stopIfTrue="1" operator="greaterThan">
      <formula>$D$31</formula>
    </cfRule>
  </conditionalFormatting>
  <conditionalFormatting sqref="C29">
    <cfRule type="cellIs" dxfId="174" priority="19" stopIfTrue="1" operator="greaterThan">
      <formula>$C$31</formula>
    </cfRule>
  </conditionalFormatting>
  <conditionalFormatting sqref="D62">
    <cfRule type="cellIs" dxfId="173" priority="2" stopIfTrue="1" operator="lessThan">
      <formula>0</formula>
    </cfRule>
  </conditionalFormatting>
  <conditionalFormatting sqref="D30">
    <cfRule type="cellIs" dxfId="172" priority="1" stopIfTrue="1" operator="lessThan">
      <formula>0</formula>
    </cfRule>
  </conditionalFormatting>
  <pageMargins left="0.5" right="0.5" top="1" bottom="0.5" header="0.5" footer="0.5"/>
  <pageSetup scale="65" orientation="portrait" blackAndWhite="1" horizontalDpi="120" verticalDpi="144" r:id="rId1"/>
  <headerFooter alignWithMargins="0">
    <oddHeader>&amp;RState of Kansas
City</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workbookViewId="0">
      <selection activeCell="E20" sqref="E20"/>
    </sheetView>
  </sheetViews>
  <sheetFormatPr defaultRowHeight="15.75"/>
  <cols>
    <col min="1" max="1" width="2.44140625" style="45" customWidth="1"/>
    <col min="2" max="2" width="31.109375" style="45" customWidth="1"/>
    <col min="3" max="4" width="15.77734375" style="45" customWidth="1"/>
    <col min="5" max="5" width="16.21875" style="45" customWidth="1"/>
    <col min="6" max="16384" width="8.88671875" style="45"/>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inputPrYr!B40</f>
        <v>Gas</v>
      </c>
      <c r="C5" s="225" t="str">
        <f>CONCATENATE("Actual for ",E1-2,"")</f>
        <v>Actual for 2012</v>
      </c>
      <c r="D5" s="225" t="str">
        <f>CONCATENATE("Estimate for ",E1-1,"")</f>
        <v>Estimate for 2013</v>
      </c>
      <c r="E5" s="208" t="str">
        <f>CONCATENATE("Year for ",E1,"")</f>
        <v>Year for 2014</v>
      </c>
    </row>
    <row r="6" spans="2:5">
      <c r="B6" s="252" t="s">
        <v>228</v>
      </c>
      <c r="C6" s="67">
        <v>1462138</v>
      </c>
      <c r="D6" s="228">
        <f>C29</f>
        <v>1321508</v>
      </c>
      <c r="E6" s="228">
        <f>D29</f>
        <v>1298531</v>
      </c>
    </row>
    <row r="7" spans="2:5">
      <c r="B7" s="256" t="s">
        <v>230</v>
      </c>
      <c r="C7" s="87"/>
      <c r="D7" s="87"/>
      <c r="E7" s="87"/>
    </row>
    <row r="8" spans="2:5">
      <c r="B8" s="273" t="s">
        <v>1043</v>
      </c>
      <c r="C8" s="67">
        <v>862316</v>
      </c>
      <c r="D8" s="67">
        <v>1100000</v>
      </c>
      <c r="E8" s="67">
        <v>1350000</v>
      </c>
    </row>
    <row r="9" spans="2:5">
      <c r="B9" s="273" t="s">
        <v>1085</v>
      </c>
      <c r="C9" s="67">
        <v>1499</v>
      </c>
      <c r="D9" s="67">
        <v>500</v>
      </c>
      <c r="E9" s="67">
        <v>500</v>
      </c>
    </row>
    <row r="10" spans="2:5">
      <c r="B10" s="273"/>
      <c r="C10" s="67"/>
      <c r="D10" s="67"/>
      <c r="E10" s="67"/>
    </row>
    <row r="11" spans="2:5">
      <c r="B11" s="273"/>
      <c r="C11" s="67"/>
      <c r="D11" s="67"/>
      <c r="E11" s="67"/>
    </row>
    <row r="12" spans="2:5">
      <c r="B12" s="261" t="s">
        <v>114</v>
      </c>
      <c r="C12" s="67"/>
      <c r="D12" s="67"/>
      <c r="E12" s="67"/>
    </row>
    <row r="13" spans="2:5">
      <c r="B13" s="159" t="s">
        <v>14</v>
      </c>
      <c r="C13" s="67">
        <v>41707</v>
      </c>
      <c r="D13" s="258">
        <v>40000</v>
      </c>
      <c r="E13" s="258">
        <v>40000</v>
      </c>
    </row>
    <row r="14" spans="2:5">
      <c r="B14" s="252" t="s">
        <v>784</v>
      </c>
      <c r="C14" s="299" t="str">
        <f>IF(C15*0.1&lt;C13,"Exceed 10% Rule","")</f>
        <v/>
      </c>
      <c r="D14" s="263" t="str">
        <f>IF(D15*0.1&lt;D13,"Exceed 10% Rule","")</f>
        <v/>
      </c>
      <c r="E14" s="263" t="str">
        <f>IF(E15*0.1&lt;E13,"Exceed 10% Rule","")</f>
        <v/>
      </c>
    </row>
    <row r="15" spans="2:5">
      <c r="B15" s="264" t="s">
        <v>115</v>
      </c>
      <c r="C15" s="267">
        <f>SUM(C8:C13)</f>
        <v>905522</v>
      </c>
      <c r="D15" s="267">
        <f>SUM(D8:D13)</f>
        <v>1140500</v>
      </c>
      <c r="E15" s="267">
        <f>SUM(E8:E13)</f>
        <v>1390500</v>
      </c>
    </row>
    <row r="16" spans="2:5">
      <c r="B16" s="264" t="s">
        <v>116</v>
      </c>
      <c r="C16" s="267">
        <f>C6+C15</f>
        <v>2367660</v>
      </c>
      <c r="D16" s="267">
        <f>D6+D15</f>
        <v>2462008</v>
      </c>
      <c r="E16" s="267">
        <f>E6+E15</f>
        <v>2689031</v>
      </c>
    </row>
    <row r="17" spans="2:5">
      <c r="B17" s="150" t="s">
        <v>118</v>
      </c>
      <c r="C17" s="228"/>
      <c r="D17" s="228"/>
      <c r="E17" s="228"/>
    </row>
    <row r="18" spans="2:5">
      <c r="B18" s="273" t="s">
        <v>1086</v>
      </c>
      <c r="C18" s="67">
        <v>727629</v>
      </c>
      <c r="D18" s="67">
        <v>878633</v>
      </c>
      <c r="E18" s="67">
        <v>995187</v>
      </c>
    </row>
    <row r="19" spans="2:5">
      <c r="B19" s="273" t="s">
        <v>1087</v>
      </c>
      <c r="C19" s="67">
        <v>265678</v>
      </c>
      <c r="D19" s="67">
        <v>263844</v>
      </c>
      <c r="E19" s="67">
        <v>283125</v>
      </c>
    </row>
    <row r="20" spans="2:5">
      <c r="B20" s="273" t="s">
        <v>1089</v>
      </c>
      <c r="C20" s="67">
        <v>10000</v>
      </c>
      <c r="D20" s="67">
        <v>10000</v>
      </c>
      <c r="E20" s="67">
        <v>15000</v>
      </c>
    </row>
    <row r="21" spans="2:5">
      <c r="B21" s="273" t="s">
        <v>1075</v>
      </c>
      <c r="C21" s="67">
        <v>11410</v>
      </c>
      <c r="D21" s="67">
        <v>11000</v>
      </c>
      <c r="E21" s="67">
        <v>10500</v>
      </c>
    </row>
    <row r="22" spans="2:5">
      <c r="B22" s="273" t="s">
        <v>1143</v>
      </c>
      <c r="C22" s="67">
        <v>16435</v>
      </c>
      <c r="D22" s="67">
        <v>0</v>
      </c>
      <c r="E22" s="67">
        <v>0</v>
      </c>
    </row>
    <row r="23" spans="2:5">
      <c r="B23" s="273" t="s">
        <v>1088</v>
      </c>
      <c r="C23" s="67">
        <v>15000</v>
      </c>
      <c r="D23" s="67">
        <v>0</v>
      </c>
      <c r="E23" s="67">
        <v>0</v>
      </c>
    </row>
    <row r="24" spans="2:5">
      <c r="B24" s="273"/>
      <c r="C24" s="67"/>
      <c r="D24" s="67"/>
      <c r="E24" s="67"/>
    </row>
    <row r="25" spans="2:5">
      <c r="B25" s="273"/>
      <c r="C25" s="67"/>
      <c r="D25" s="67"/>
      <c r="E25" s="67"/>
    </row>
    <row r="26" spans="2:5">
      <c r="B26" s="274" t="s">
        <v>14</v>
      </c>
      <c r="C26" s="67"/>
      <c r="D26" s="258"/>
      <c r="E26" s="258"/>
    </row>
    <row r="27" spans="2:5">
      <c r="B27" s="274" t="s">
        <v>785</v>
      </c>
      <c r="C27" s="299" t="str">
        <f>IF(C28*0.1&lt;C26,"Exceed 10% Rule","")</f>
        <v/>
      </c>
      <c r="D27" s="263" t="str">
        <f>IF(D28*0.1&lt;D26,"Exceed 10% Rule","")</f>
        <v/>
      </c>
      <c r="E27" s="263" t="str">
        <f>IF(E28*0.1&lt;E26,"Exceed 10% Rule","")</f>
        <v/>
      </c>
    </row>
    <row r="28" spans="2:5">
      <c r="B28" s="264" t="s">
        <v>122</v>
      </c>
      <c r="C28" s="267">
        <f>SUM(C18:C26)</f>
        <v>1046152</v>
      </c>
      <c r="D28" s="267">
        <f>SUM(D18:D26)</f>
        <v>1163477</v>
      </c>
      <c r="E28" s="267">
        <f>SUM(E18:E26)</f>
        <v>1303812</v>
      </c>
    </row>
    <row r="29" spans="2:5">
      <c r="B29" s="150" t="s">
        <v>229</v>
      </c>
      <c r="C29" s="82">
        <f>C16-C28</f>
        <v>1321508</v>
      </c>
      <c r="D29" s="82">
        <f>D16-D28</f>
        <v>1298531</v>
      </c>
      <c r="E29" s="82">
        <f>E16-E28</f>
        <v>1385219</v>
      </c>
    </row>
    <row r="30" spans="2:5">
      <c r="B30" s="136" t="str">
        <f>CONCATENATE("",E1-2,"/",E1-1," Budget Authority Amount:")</f>
        <v>2012/2013 Budget Authority Amount:</v>
      </c>
      <c r="C30" s="241">
        <f>inputOth!B79</f>
        <v>1524598</v>
      </c>
      <c r="D30" s="241">
        <f>inputPrYr!D40</f>
        <v>1408529</v>
      </c>
      <c r="E30" s="381" t="str">
        <f>IF(E29&lt;0,"See Tab E","")</f>
        <v/>
      </c>
    </row>
    <row r="31" spans="2:5">
      <c r="B31" s="136"/>
      <c r="C31" s="277" t="str">
        <f>IF(C28&gt;C30,"See Tab A","")</f>
        <v/>
      </c>
      <c r="D31" s="277" t="str">
        <f>IF(D28&gt;D30,"See Tab C","")</f>
        <v/>
      </c>
      <c r="E31" s="97"/>
    </row>
    <row r="32" spans="2:5">
      <c r="B32" s="136"/>
      <c r="C32" s="277" t="str">
        <f>IF(C29&lt;0,"See Tab B","")</f>
        <v/>
      </c>
      <c r="D32" s="277" t="str">
        <f>IF(D29&lt;0,"See Tab D","")</f>
        <v/>
      </c>
      <c r="E32" s="97"/>
    </row>
    <row r="33" spans="2:5">
      <c r="B33" s="47"/>
      <c r="C33" s="97"/>
      <c r="D33" s="97"/>
      <c r="E33" s="97"/>
    </row>
    <row r="34" spans="2:5">
      <c r="B34" s="52" t="s">
        <v>106</v>
      </c>
      <c r="C34" s="294"/>
      <c r="D34" s="294"/>
      <c r="E34" s="294"/>
    </row>
    <row r="35" spans="2:5">
      <c r="B35" s="47"/>
      <c r="C35" s="715" t="s">
        <v>950</v>
      </c>
      <c r="D35" s="716" t="s">
        <v>951</v>
      </c>
      <c r="E35" s="144" t="s">
        <v>952</v>
      </c>
    </row>
    <row r="36" spans="2:5">
      <c r="B36" s="535" t="str">
        <f>inputPrYr!B41</f>
        <v>Refuse</v>
      </c>
      <c r="C36" s="225" t="str">
        <f>CONCATENATE("Actual for ",$E$1-2,"")</f>
        <v>Actual for 2012</v>
      </c>
      <c r="D36" s="225" t="str">
        <f>CONCATENATE("Estimate for ",$E$1-1,"")</f>
        <v>Estimate for 2013</v>
      </c>
      <c r="E36" s="208" t="str">
        <f>CONCATENATE("Year for ",$E$1,"")</f>
        <v>Year for 2014</v>
      </c>
    </row>
    <row r="37" spans="2:5">
      <c r="B37" s="252" t="s">
        <v>228</v>
      </c>
      <c r="C37" s="67">
        <v>173958</v>
      </c>
      <c r="D37" s="228">
        <f>C60</f>
        <v>173955</v>
      </c>
      <c r="E37" s="228">
        <f>D60</f>
        <v>158217</v>
      </c>
    </row>
    <row r="38" spans="2:5">
      <c r="B38" s="256" t="s">
        <v>230</v>
      </c>
      <c r="C38" s="87"/>
      <c r="D38" s="87"/>
      <c r="E38" s="87"/>
    </row>
    <row r="39" spans="2:5">
      <c r="B39" s="273" t="s">
        <v>1090</v>
      </c>
      <c r="C39" s="67">
        <v>305444</v>
      </c>
      <c r="D39" s="67">
        <v>305000</v>
      </c>
      <c r="E39" s="67">
        <v>308000</v>
      </c>
    </row>
    <row r="40" spans="2:5">
      <c r="B40" s="273"/>
      <c r="C40" s="67"/>
      <c r="D40" s="67"/>
      <c r="E40" s="67"/>
    </row>
    <row r="41" spans="2:5">
      <c r="B41" s="273"/>
      <c r="C41" s="67"/>
      <c r="D41" s="67"/>
      <c r="E41" s="67"/>
    </row>
    <row r="42" spans="2:5">
      <c r="B42" s="273"/>
      <c r="C42" s="67"/>
      <c r="D42" s="67"/>
      <c r="E42" s="67"/>
    </row>
    <row r="43" spans="2:5">
      <c r="B43" s="261" t="s">
        <v>114</v>
      </c>
      <c r="C43" s="67"/>
      <c r="D43" s="67"/>
      <c r="E43" s="67"/>
    </row>
    <row r="44" spans="2:5">
      <c r="B44" s="159" t="s">
        <v>14</v>
      </c>
      <c r="C44" s="67">
        <v>871</v>
      </c>
      <c r="D44" s="258">
        <v>2000</v>
      </c>
      <c r="E44" s="258">
        <v>2000</v>
      </c>
    </row>
    <row r="45" spans="2:5">
      <c r="B45" s="252" t="s">
        <v>784</v>
      </c>
      <c r="C45" s="299" t="str">
        <f>IF(C46*0.1&lt;C44,"Exceed 10% Rule","")</f>
        <v/>
      </c>
      <c r="D45" s="263" t="str">
        <f>IF(D46*0.1&lt;D44,"Exceed 10% Rule","")</f>
        <v/>
      </c>
      <c r="E45" s="263" t="str">
        <f>IF(E46*0.1&lt;E44,"Exceed 10% Rule","")</f>
        <v/>
      </c>
    </row>
    <row r="46" spans="2:5">
      <c r="B46" s="264" t="s">
        <v>115</v>
      </c>
      <c r="C46" s="267">
        <f>SUM(C39:C44)</f>
        <v>306315</v>
      </c>
      <c r="D46" s="267">
        <f>SUM(D39:D44)</f>
        <v>307000</v>
      </c>
      <c r="E46" s="267">
        <f>SUM(E39:E44)</f>
        <v>310000</v>
      </c>
    </row>
    <row r="47" spans="2:5">
      <c r="B47" s="264" t="s">
        <v>116</v>
      </c>
      <c r="C47" s="267">
        <f>C37+C46</f>
        <v>480273</v>
      </c>
      <c r="D47" s="267">
        <f>D37+D46</f>
        <v>480955</v>
      </c>
      <c r="E47" s="267">
        <f>E37+E46</f>
        <v>468217</v>
      </c>
    </row>
    <row r="48" spans="2:5">
      <c r="B48" s="150" t="s">
        <v>118</v>
      </c>
      <c r="C48" s="228"/>
      <c r="D48" s="228"/>
      <c r="E48" s="228"/>
    </row>
    <row r="49" spans="2:5">
      <c r="B49" s="273" t="s">
        <v>1055</v>
      </c>
      <c r="C49" s="67">
        <v>169848</v>
      </c>
      <c r="D49" s="67">
        <v>174309</v>
      </c>
      <c r="E49" s="67">
        <v>179233</v>
      </c>
    </row>
    <row r="50" spans="2:5">
      <c r="B50" s="273" t="s">
        <v>1053</v>
      </c>
      <c r="C50" s="67">
        <v>104154</v>
      </c>
      <c r="D50" s="67">
        <v>109000</v>
      </c>
      <c r="E50" s="67">
        <v>109000</v>
      </c>
    </row>
    <row r="51" spans="2:5">
      <c r="B51" s="273" t="s">
        <v>1015</v>
      </c>
      <c r="C51" s="67">
        <v>14547</v>
      </c>
      <c r="D51" s="67">
        <v>24600</v>
      </c>
      <c r="E51" s="67">
        <v>24800</v>
      </c>
    </row>
    <row r="52" spans="2:5">
      <c r="B52" s="273" t="s">
        <v>1016</v>
      </c>
      <c r="C52" s="67">
        <v>10829</v>
      </c>
      <c r="D52" s="67">
        <v>14829</v>
      </c>
      <c r="E52" s="67">
        <v>14829</v>
      </c>
    </row>
    <row r="53" spans="2:5">
      <c r="B53" s="273" t="s">
        <v>1091</v>
      </c>
      <c r="C53" s="67">
        <v>0</v>
      </c>
      <c r="D53" s="67">
        <v>0</v>
      </c>
      <c r="E53" s="67">
        <v>0</v>
      </c>
    </row>
    <row r="54" spans="2:5">
      <c r="B54" s="273" t="s">
        <v>1143</v>
      </c>
      <c r="C54" s="67">
        <v>6940</v>
      </c>
      <c r="D54" s="67">
        <v>0</v>
      </c>
      <c r="E54" s="67">
        <v>0</v>
      </c>
    </row>
    <row r="55" spans="2:5">
      <c r="B55" s="273"/>
      <c r="C55" s="67"/>
      <c r="D55" s="67"/>
      <c r="E55" s="67"/>
    </row>
    <row r="56" spans="2:5">
      <c r="B56" s="273"/>
      <c r="C56" s="67"/>
      <c r="D56" s="67"/>
      <c r="E56" s="67"/>
    </row>
    <row r="57" spans="2:5">
      <c r="B57" s="274" t="s">
        <v>14</v>
      </c>
      <c r="C57" s="67"/>
      <c r="D57" s="258"/>
      <c r="E57" s="258"/>
    </row>
    <row r="58" spans="2:5">
      <c r="B58" s="274" t="s">
        <v>785</v>
      </c>
      <c r="C58" s="299" t="str">
        <f>IF(C59*0.1&lt;C57,"Exceed 10% Rule","")</f>
        <v/>
      </c>
      <c r="D58" s="263" t="str">
        <f>IF(D59*0.1&lt;D57,"Exceed 10% Rule","")</f>
        <v/>
      </c>
      <c r="E58" s="263" t="str">
        <f>IF(E59*0.1&lt;E57,"Exceed 10% Rule","")</f>
        <v/>
      </c>
    </row>
    <row r="59" spans="2:5">
      <c r="B59" s="264" t="s">
        <v>122</v>
      </c>
      <c r="C59" s="267">
        <f>SUM(C49:C57)</f>
        <v>306318</v>
      </c>
      <c r="D59" s="267">
        <f>SUM(D49:D57)</f>
        <v>322738</v>
      </c>
      <c r="E59" s="267">
        <f>SUM(E49:E57)</f>
        <v>327862</v>
      </c>
    </row>
    <row r="60" spans="2:5">
      <c r="B60" s="150" t="s">
        <v>229</v>
      </c>
      <c r="C60" s="82">
        <f>C47-C59</f>
        <v>173955</v>
      </c>
      <c r="D60" s="82">
        <f>D47-D59</f>
        <v>158217</v>
      </c>
      <c r="E60" s="82">
        <f>E47-E59</f>
        <v>140355</v>
      </c>
    </row>
    <row r="61" spans="2:5">
      <c r="B61" s="136" t="str">
        <f>CONCATENATE("",E1-2,"/",E1-1," Budget Authority Amount:")</f>
        <v>2012/2013 Budget Authority Amount:</v>
      </c>
      <c r="C61" s="241">
        <f>inputOth!B80</f>
        <v>328807</v>
      </c>
      <c r="D61" s="241">
        <f>inputPrYr!D41</f>
        <v>326738</v>
      </c>
      <c r="E61" s="381" t="str">
        <f>IF(E60&lt;0,"See Tab E","")</f>
        <v/>
      </c>
    </row>
    <row r="62" spans="2:5">
      <c r="B62" s="136"/>
      <c r="C62" s="277" t="str">
        <f>IF(C59&gt;C61,"See Tab A","")</f>
        <v/>
      </c>
      <c r="D62" s="277" t="str">
        <f>IF(D59&gt;D61,"See Tab C","")</f>
        <v/>
      </c>
      <c r="E62" s="47"/>
    </row>
    <row r="63" spans="2:5">
      <c r="B63" s="136"/>
      <c r="C63" s="277" t="str">
        <f>IF(C60&lt;0,"See Tab B","")</f>
        <v/>
      </c>
      <c r="D63" s="277" t="str">
        <f>IF(D60&lt;0,"See Tab D","")</f>
        <v/>
      </c>
      <c r="E63" s="47"/>
    </row>
    <row r="64" spans="2:5">
      <c r="B64" s="47"/>
      <c r="C64" s="47"/>
      <c r="D64" s="47"/>
      <c r="E64" s="47"/>
    </row>
    <row r="65" spans="2:5">
      <c r="B65" s="405" t="s">
        <v>125</v>
      </c>
      <c r="C65" s="282">
        <v>16</v>
      </c>
      <c r="D65" s="47"/>
      <c r="E65" s="47"/>
    </row>
  </sheetData>
  <sheetProtection sheet="1"/>
  <phoneticPr fontId="0" type="noConversion"/>
  <conditionalFormatting sqref="C13">
    <cfRule type="cellIs" dxfId="171" priority="3" stopIfTrue="1" operator="greaterThan">
      <formula>$C$15*0.1</formula>
    </cfRule>
  </conditionalFormatting>
  <conditionalFormatting sqref="D13">
    <cfRule type="cellIs" dxfId="170" priority="4" stopIfTrue="1" operator="greaterThan">
      <formula>$D$15*0.1</formula>
    </cfRule>
  </conditionalFormatting>
  <conditionalFormatting sqref="E13">
    <cfRule type="cellIs" dxfId="169" priority="5" stopIfTrue="1" operator="greaterThan">
      <formula>$E$15*0.1</formula>
    </cfRule>
  </conditionalFormatting>
  <conditionalFormatting sqref="C26">
    <cfRule type="cellIs" dxfId="168" priority="6" stopIfTrue="1" operator="greaterThan">
      <formula>$C$28*0.1</formula>
    </cfRule>
  </conditionalFormatting>
  <conditionalFormatting sqref="D26">
    <cfRule type="cellIs" dxfId="167" priority="7" stopIfTrue="1" operator="greaterThan">
      <formula>$D$28*0.1</formula>
    </cfRule>
  </conditionalFormatting>
  <conditionalFormatting sqref="E26">
    <cfRule type="cellIs" dxfId="166" priority="8" stopIfTrue="1" operator="greaterThan">
      <formula>$E$28*0.1</formula>
    </cfRule>
  </conditionalFormatting>
  <conditionalFormatting sqref="C44">
    <cfRule type="cellIs" dxfId="165" priority="9" stopIfTrue="1" operator="greaterThan">
      <formula>$C$46*0.1</formula>
    </cfRule>
  </conditionalFormatting>
  <conditionalFormatting sqref="D44">
    <cfRule type="cellIs" dxfId="164" priority="10" stopIfTrue="1" operator="greaterThan">
      <formula>$D$46*0.1</formula>
    </cfRule>
  </conditionalFormatting>
  <conditionalFormatting sqref="E44">
    <cfRule type="cellIs" dxfId="163" priority="11" stopIfTrue="1" operator="greaterThan">
      <formula>$E$46*0.1</formula>
    </cfRule>
  </conditionalFormatting>
  <conditionalFormatting sqref="C57">
    <cfRule type="cellIs" dxfId="162" priority="12" stopIfTrue="1" operator="greaterThan">
      <formula>$C$59*0.1</formula>
    </cfRule>
  </conditionalFormatting>
  <conditionalFormatting sqref="D57">
    <cfRule type="cellIs" dxfId="161" priority="13" stopIfTrue="1" operator="greaterThan">
      <formula>$D$59*0.1</formula>
    </cfRule>
  </conditionalFormatting>
  <conditionalFormatting sqref="E57">
    <cfRule type="cellIs" dxfId="160" priority="14" stopIfTrue="1" operator="greaterThan">
      <formula>$E$59*0.1</formula>
    </cfRule>
  </conditionalFormatting>
  <conditionalFormatting sqref="D59">
    <cfRule type="cellIs" dxfId="159" priority="15" stopIfTrue="1" operator="greaterThan">
      <formula>$D$61</formula>
    </cfRule>
  </conditionalFormatting>
  <conditionalFormatting sqref="C59">
    <cfRule type="cellIs" dxfId="158" priority="16" stopIfTrue="1" operator="greaterThan">
      <formula>$C$61</formula>
    </cfRule>
  </conditionalFormatting>
  <conditionalFormatting sqref="C60 E60 C29 E29">
    <cfRule type="cellIs" dxfId="157" priority="17" stopIfTrue="1" operator="lessThan">
      <formula>0</formula>
    </cfRule>
  </conditionalFormatting>
  <conditionalFormatting sqref="D28">
    <cfRule type="cellIs" dxfId="156" priority="18" stopIfTrue="1" operator="greaterThan">
      <formula>$D$30</formula>
    </cfRule>
  </conditionalFormatting>
  <conditionalFormatting sqref="C28">
    <cfRule type="cellIs" dxfId="155" priority="19" stopIfTrue="1" operator="greaterThan">
      <formula>$C$30</formula>
    </cfRule>
  </conditionalFormatting>
  <conditionalFormatting sqref="D60">
    <cfRule type="cellIs" dxfId="154" priority="2" stopIfTrue="1" operator="lessThan">
      <formula>0</formula>
    </cfRule>
  </conditionalFormatting>
  <conditionalFormatting sqref="D29">
    <cfRule type="cellIs" dxfId="153" priority="1" stopIfTrue="1" operator="lessThan">
      <formula>0</formula>
    </cfRule>
  </conditionalFormatting>
  <pageMargins left="0.5" right="0.5" top="1" bottom="0.5" header="0.5" footer="0.5"/>
  <pageSetup scale="67" orientation="portrait" blackAndWhite="1" horizontalDpi="120" verticalDpi="144" r:id="rId1"/>
  <headerFooter alignWithMargins="0">
    <oddHeader>&amp;RState of Kansas
City</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69"/>
  <sheetViews>
    <sheetView workbookViewId="0">
      <selection activeCell="K31" sqref="K31"/>
    </sheetView>
  </sheetViews>
  <sheetFormatPr defaultRowHeight="15.75"/>
  <cols>
    <col min="1" max="1" width="2.44140625" style="45" customWidth="1"/>
    <col min="2" max="2" width="31.109375" style="45" customWidth="1"/>
    <col min="3" max="4" width="15.77734375" style="45" customWidth="1"/>
    <col min="5" max="5" width="16.109375" style="45" customWidth="1"/>
    <col min="6" max="16384" width="8.88671875" style="45"/>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inputPrYr!B42</f>
        <v>Capital Outlay</v>
      </c>
      <c r="C5" s="225" t="str">
        <f>CONCATENATE("Actual for ",E1-2,"")</f>
        <v>Actual for 2012</v>
      </c>
      <c r="D5" s="225" t="str">
        <f>CONCATENATE("Estimate for ",E1-1,"")</f>
        <v>Estimate for 2013</v>
      </c>
      <c r="E5" s="208" t="str">
        <f>CONCATENATE("Year for ",E1,"")</f>
        <v>Year for 2014</v>
      </c>
    </row>
    <row r="6" spans="2:5">
      <c r="B6" s="252" t="s">
        <v>228</v>
      </c>
      <c r="C6" s="67">
        <v>238268</v>
      </c>
      <c r="D6" s="228">
        <f>C33</f>
        <v>243682</v>
      </c>
      <c r="E6" s="228">
        <f>D33</f>
        <v>131498</v>
      </c>
    </row>
    <row r="7" spans="2:5">
      <c r="B7" s="256" t="s">
        <v>230</v>
      </c>
      <c r="C7" s="87"/>
      <c r="D7" s="87"/>
      <c r="E7" s="87"/>
    </row>
    <row r="8" spans="2:5">
      <c r="B8" s="273" t="s">
        <v>1092</v>
      </c>
      <c r="C8" s="67">
        <v>4667</v>
      </c>
      <c r="D8" s="67">
        <v>4667</v>
      </c>
      <c r="E8" s="67">
        <v>2000</v>
      </c>
    </row>
    <row r="9" spans="2:5">
      <c r="B9" s="273" t="s">
        <v>1093</v>
      </c>
      <c r="C9" s="67">
        <v>265749</v>
      </c>
      <c r="D9" s="67">
        <v>270000</v>
      </c>
      <c r="E9" s="67">
        <v>270000</v>
      </c>
    </row>
    <row r="10" spans="2:5">
      <c r="B10" s="273" t="s">
        <v>1094</v>
      </c>
      <c r="C10" s="67">
        <v>11863</v>
      </c>
      <c r="D10" s="67">
        <v>14664</v>
      </c>
      <c r="E10" s="67">
        <v>14114</v>
      </c>
    </row>
    <row r="11" spans="2:5">
      <c r="B11" s="273" t="s">
        <v>1109</v>
      </c>
      <c r="C11" s="67">
        <v>0</v>
      </c>
      <c r="D11" s="67">
        <v>0</v>
      </c>
      <c r="E11" s="67">
        <v>0</v>
      </c>
    </row>
    <row r="12" spans="2:5">
      <c r="B12" s="273" t="s">
        <v>1023</v>
      </c>
      <c r="C12" s="67">
        <v>74700</v>
      </c>
      <c r="D12" s="67">
        <v>0</v>
      </c>
      <c r="E12" s="67">
        <v>0</v>
      </c>
    </row>
    <row r="13" spans="2:5">
      <c r="B13" s="273" t="s">
        <v>1059</v>
      </c>
      <c r="C13" s="67">
        <v>75725</v>
      </c>
      <c r="D13" s="67">
        <v>0</v>
      </c>
      <c r="E13" s="67">
        <v>0</v>
      </c>
    </row>
    <row r="14" spans="2:5">
      <c r="B14" s="273" t="s">
        <v>1060</v>
      </c>
      <c r="C14" s="67">
        <v>16435</v>
      </c>
      <c r="D14" s="67">
        <v>0</v>
      </c>
      <c r="E14" s="67">
        <v>0</v>
      </c>
    </row>
    <row r="15" spans="2:5">
      <c r="B15" s="273" t="s">
        <v>1147</v>
      </c>
      <c r="C15" s="67">
        <v>6940</v>
      </c>
      <c r="D15" s="67">
        <v>0</v>
      </c>
      <c r="E15" s="67">
        <v>0</v>
      </c>
    </row>
    <row r="16" spans="2:5">
      <c r="B16" s="261" t="s">
        <v>114</v>
      </c>
      <c r="C16" s="67">
        <v>0</v>
      </c>
      <c r="D16" s="67">
        <v>0</v>
      </c>
      <c r="E16" s="67">
        <v>0</v>
      </c>
    </row>
    <row r="17" spans="2:5">
      <c r="B17" s="159" t="s">
        <v>14</v>
      </c>
      <c r="C17" s="103">
        <v>10089</v>
      </c>
      <c r="D17" s="103">
        <v>1000</v>
      </c>
      <c r="E17" s="103">
        <v>1000</v>
      </c>
    </row>
    <row r="18" spans="2:5">
      <c r="B18" s="252" t="s">
        <v>784</v>
      </c>
      <c r="C18" s="299" t="str">
        <f>IF(C19*0.1&lt;C17,"Exceed 10% Rule","")</f>
        <v/>
      </c>
      <c r="D18" s="263" t="str">
        <f>IF(D19*0.1&lt;D17,"Exceed 10% Rule","")</f>
        <v/>
      </c>
      <c r="E18" s="263" t="str">
        <f>IF(E19*0.1&lt;E17,"Exceed 10% Rule","")</f>
        <v/>
      </c>
    </row>
    <row r="19" spans="2:5">
      <c r="B19" s="264" t="s">
        <v>115</v>
      </c>
      <c r="C19" s="267">
        <f>SUM(C8:C17)</f>
        <v>466168</v>
      </c>
      <c r="D19" s="267">
        <f>SUM(D8:D17)</f>
        <v>290331</v>
      </c>
      <c r="E19" s="267">
        <f>SUM(E8:E17)</f>
        <v>287114</v>
      </c>
    </row>
    <row r="20" spans="2:5">
      <c r="B20" s="264" t="s">
        <v>116</v>
      </c>
      <c r="C20" s="267">
        <f>C6+C19</f>
        <v>704436</v>
      </c>
      <c r="D20" s="267">
        <f>D6+D19</f>
        <v>534013</v>
      </c>
      <c r="E20" s="267">
        <f>E6+E19</f>
        <v>418612</v>
      </c>
    </row>
    <row r="21" spans="2:5">
      <c r="B21" s="150" t="s">
        <v>118</v>
      </c>
      <c r="C21" s="228"/>
      <c r="D21" s="228"/>
      <c r="E21" s="228"/>
    </row>
    <row r="22" spans="2:5">
      <c r="B22" s="273" t="s">
        <v>1016</v>
      </c>
      <c r="C22" s="67">
        <v>452608</v>
      </c>
      <c r="D22" s="67">
        <v>396517</v>
      </c>
      <c r="E22" s="67">
        <v>303038</v>
      </c>
    </row>
    <row r="23" spans="2:5">
      <c r="B23" s="273" t="s">
        <v>1075</v>
      </c>
      <c r="C23" s="67">
        <v>6224</v>
      </c>
      <c r="D23" s="67">
        <v>5998</v>
      </c>
      <c r="E23" s="67">
        <v>5773</v>
      </c>
    </row>
    <row r="24" spans="2:5">
      <c r="B24" s="273" t="s">
        <v>1055</v>
      </c>
      <c r="C24" s="67">
        <v>1922</v>
      </c>
      <c r="D24" s="67">
        <v>0</v>
      </c>
      <c r="E24" s="67">
        <v>0</v>
      </c>
    </row>
    <row r="25" spans="2:5">
      <c r="B25" s="273"/>
      <c r="C25" s="67"/>
      <c r="D25" s="67"/>
      <c r="E25" s="67"/>
    </row>
    <row r="26" spans="2:5">
      <c r="B26" s="273"/>
      <c r="C26" s="67"/>
      <c r="D26" s="67"/>
      <c r="E26" s="67"/>
    </row>
    <row r="27" spans="2:5">
      <c r="B27" s="273"/>
      <c r="C27" s="67"/>
      <c r="D27" s="67"/>
      <c r="E27" s="67"/>
    </row>
    <row r="28" spans="2:5">
      <c r="B28" s="273"/>
      <c r="C28" s="67"/>
      <c r="D28" s="67"/>
      <c r="E28" s="67"/>
    </row>
    <row r="29" spans="2:5">
      <c r="B29" s="273"/>
      <c r="C29" s="67"/>
      <c r="D29" s="67"/>
      <c r="E29" s="67"/>
    </row>
    <row r="30" spans="2:5">
      <c r="B30" s="274" t="s">
        <v>14</v>
      </c>
      <c r="C30" s="67"/>
      <c r="D30" s="258"/>
      <c r="E30" s="258"/>
    </row>
    <row r="31" spans="2:5">
      <c r="B31" s="274" t="s">
        <v>785</v>
      </c>
      <c r="C31" s="299" t="str">
        <f>IF(C32*0.1&lt;C30,"Exceed 10% Rule","")</f>
        <v/>
      </c>
      <c r="D31" s="263" t="str">
        <f>IF(D32*0.1&lt;D30,"Exceed 10% Rule","")</f>
        <v/>
      </c>
      <c r="E31" s="263" t="str">
        <f>IF(E32*0.1&lt;E30,"Exceed 10% Rule","")</f>
        <v/>
      </c>
    </row>
    <row r="32" spans="2:5">
      <c r="B32" s="264" t="s">
        <v>122</v>
      </c>
      <c r="C32" s="267">
        <f>SUM(C22:C30)</f>
        <v>460754</v>
      </c>
      <c r="D32" s="267">
        <f>SUM(D22:D30)</f>
        <v>402515</v>
      </c>
      <c r="E32" s="267">
        <f>SUM(E22:E30)</f>
        <v>308811</v>
      </c>
    </row>
    <row r="33" spans="2:5">
      <c r="B33" s="150" t="s">
        <v>229</v>
      </c>
      <c r="C33" s="82">
        <f>C20-C32</f>
        <v>243682</v>
      </c>
      <c r="D33" s="82">
        <f>D20-D32</f>
        <v>131498</v>
      </c>
      <c r="E33" s="82">
        <f>E20-E32</f>
        <v>109801</v>
      </c>
    </row>
    <row r="34" spans="2:5">
      <c r="B34" s="136" t="str">
        <f>CONCATENATE("",E1-2,"/",E1-1," Budget Authority Amount:")</f>
        <v>2012/2013 Budget Authority Amount:</v>
      </c>
      <c r="C34" s="241">
        <f>inputOth!B81</f>
        <v>346478</v>
      </c>
      <c r="D34" s="241">
        <f>inputPrYr!D42</f>
        <v>310515</v>
      </c>
      <c r="E34" s="381" t="str">
        <f>IF(E33&lt;0,"See Tab E","")</f>
        <v/>
      </c>
    </row>
    <row r="35" spans="2:5">
      <c r="B35" s="136"/>
      <c r="C35" s="277" t="str">
        <f>IF(C32&gt;C34,"See Tab A","")</f>
        <v>See Tab A</v>
      </c>
      <c r="D35" s="277" t="str">
        <f>IF(D32&gt;D34,"See Tab C","")</f>
        <v>See Tab C</v>
      </c>
      <c r="E35" s="97"/>
    </row>
    <row r="36" spans="2:5">
      <c r="B36" s="136"/>
      <c r="C36" s="277" t="str">
        <f>IF(C33&lt;0,"See Tab B","")</f>
        <v/>
      </c>
      <c r="D36" s="277" t="str">
        <f>IF(D33&lt;0,"See Tab D","")</f>
        <v/>
      </c>
      <c r="E36" s="97"/>
    </row>
    <row r="37" spans="2:5">
      <c r="B37" s="47"/>
      <c r="C37" s="97"/>
      <c r="D37" s="97"/>
      <c r="E37" s="97"/>
    </row>
    <row r="38" spans="2:5">
      <c r="B38" s="52" t="s">
        <v>106</v>
      </c>
      <c r="C38" s="294"/>
      <c r="D38" s="294"/>
      <c r="E38" s="294"/>
    </row>
    <row r="39" spans="2:5">
      <c r="B39" s="47"/>
      <c r="C39" s="715" t="s">
        <v>950</v>
      </c>
      <c r="D39" s="716" t="s">
        <v>951</v>
      </c>
      <c r="E39" s="144" t="s">
        <v>952</v>
      </c>
    </row>
    <row r="40" spans="2:5">
      <c r="B40" s="535" t="str">
        <f>inputPrYr!B43</f>
        <v>Combined Utility</v>
      </c>
      <c r="C40" s="225" t="str">
        <f>CONCATENATE("Actual for ",$E$1-2,"")</f>
        <v>Actual for 2012</v>
      </c>
      <c r="D40" s="225" t="str">
        <f>CONCATENATE("Estimate for ",$E$1-1,"")</f>
        <v>Estimate for 2013</v>
      </c>
      <c r="E40" s="208" t="str">
        <f>CONCATENATE("Year for ",$E$1,"")</f>
        <v>Year for 2014</v>
      </c>
    </row>
    <row r="41" spans="2:5">
      <c r="B41" s="252" t="s">
        <v>228</v>
      </c>
      <c r="C41" s="67">
        <v>299307</v>
      </c>
      <c r="D41" s="228">
        <f>C64</f>
        <v>299307</v>
      </c>
      <c r="E41" s="228">
        <f>D64</f>
        <v>299306</v>
      </c>
    </row>
    <row r="42" spans="2:5">
      <c r="B42" s="256" t="s">
        <v>230</v>
      </c>
      <c r="C42" s="87"/>
      <c r="D42" s="87"/>
      <c r="E42" s="87"/>
    </row>
    <row r="43" spans="2:5">
      <c r="B43" s="273" t="s">
        <v>1095</v>
      </c>
      <c r="C43" s="67">
        <v>287520</v>
      </c>
      <c r="D43" s="67">
        <v>288138</v>
      </c>
      <c r="E43" s="67">
        <v>291129</v>
      </c>
    </row>
    <row r="44" spans="2:5">
      <c r="B44" s="273" t="s">
        <v>1096</v>
      </c>
      <c r="C44" s="67">
        <v>265392</v>
      </c>
      <c r="D44" s="67">
        <v>265974</v>
      </c>
      <c r="E44" s="67">
        <v>268734</v>
      </c>
    </row>
    <row r="45" spans="2:5">
      <c r="B45" s="273"/>
      <c r="C45" s="67"/>
      <c r="D45" s="67"/>
      <c r="E45" s="67"/>
    </row>
    <row r="46" spans="2:5">
      <c r="B46" s="273"/>
      <c r="C46" s="67"/>
      <c r="D46" s="67"/>
      <c r="E46" s="67"/>
    </row>
    <row r="47" spans="2:5">
      <c r="B47" s="261" t="s">
        <v>114</v>
      </c>
      <c r="C47" s="67"/>
      <c r="D47" s="67"/>
      <c r="E47" s="67"/>
    </row>
    <row r="48" spans="2:5">
      <c r="B48" s="159" t="s">
        <v>14</v>
      </c>
      <c r="C48" s="67"/>
      <c r="D48" s="258">
        <v>1000</v>
      </c>
      <c r="E48" s="258">
        <v>1000</v>
      </c>
    </row>
    <row r="49" spans="2:5">
      <c r="B49" s="252" t="s">
        <v>784</v>
      </c>
      <c r="C49" s="299" t="str">
        <f>IF(C50*0.1&lt;C48,"Exceed 10% Rule","")</f>
        <v/>
      </c>
      <c r="D49" s="263" t="str">
        <f>IF(D50*0.1&lt;D48,"Exceed 10% Rule","")</f>
        <v/>
      </c>
      <c r="E49" s="263" t="str">
        <f>IF(E50*0.1&lt;E48,"Exceed 10% Rule","")</f>
        <v/>
      </c>
    </row>
    <row r="50" spans="2:5">
      <c r="B50" s="264" t="s">
        <v>115</v>
      </c>
      <c r="C50" s="267">
        <f>SUM(C43:C48)</f>
        <v>552912</v>
      </c>
      <c r="D50" s="267">
        <f>SUM(D43:D48)</f>
        <v>555112</v>
      </c>
      <c r="E50" s="267">
        <f>SUM(E43:E48)</f>
        <v>560863</v>
      </c>
    </row>
    <row r="51" spans="2:5">
      <c r="B51" s="264" t="s">
        <v>116</v>
      </c>
      <c r="C51" s="267">
        <f>C41+C50</f>
        <v>852219</v>
      </c>
      <c r="D51" s="267">
        <f>D41+D50</f>
        <v>854419</v>
      </c>
      <c r="E51" s="267">
        <f>E41+E50</f>
        <v>860169</v>
      </c>
    </row>
    <row r="52" spans="2:5">
      <c r="B52" s="150" t="s">
        <v>118</v>
      </c>
      <c r="C52" s="228"/>
      <c r="D52" s="228"/>
      <c r="E52" s="228"/>
    </row>
    <row r="53" spans="2:5">
      <c r="B53" s="273" t="s">
        <v>1097</v>
      </c>
      <c r="C53" s="67">
        <v>552912</v>
      </c>
      <c r="D53" s="67">
        <v>555113</v>
      </c>
      <c r="E53" s="67">
        <v>560863</v>
      </c>
    </row>
    <row r="54" spans="2:5">
      <c r="B54" s="273"/>
      <c r="C54" s="67"/>
      <c r="D54" s="67"/>
      <c r="E54" s="67"/>
    </row>
    <row r="55" spans="2:5">
      <c r="B55" s="273"/>
      <c r="C55" s="67"/>
      <c r="D55" s="67"/>
      <c r="E55" s="67"/>
    </row>
    <row r="56" spans="2:5">
      <c r="B56" s="273"/>
      <c r="C56" s="67"/>
      <c r="D56" s="67"/>
      <c r="E56" s="67"/>
    </row>
    <row r="57" spans="2:5">
      <c r="B57" s="273"/>
      <c r="C57" s="67"/>
      <c r="D57" s="67"/>
      <c r="E57" s="67"/>
    </row>
    <row r="58" spans="2:5">
      <c r="B58" s="273"/>
      <c r="C58" s="67"/>
      <c r="D58" s="67"/>
      <c r="E58" s="67"/>
    </row>
    <row r="59" spans="2:5">
      <c r="B59" s="273"/>
      <c r="C59" s="67"/>
      <c r="D59" s="67"/>
      <c r="E59" s="67"/>
    </row>
    <row r="60" spans="2:5">
      <c r="B60" s="273"/>
      <c r="C60" s="67"/>
      <c r="D60" s="67"/>
      <c r="E60" s="67"/>
    </row>
    <row r="61" spans="2:5">
      <c r="B61" s="274" t="s">
        <v>14</v>
      </c>
      <c r="C61" s="67"/>
      <c r="D61" s="258"/>
      <c r="E61" s="258"/>
    </row>
    <row r="62" spans="2:5">
      <c r="B62" s="274" t="s">
        <v>785</v>
      </c>
      <c r="C62" s="299" t="str">
        <f>IF(C63*0.1&lt;C61,"Exceed 10% Rule","")</f>
        <v/>
      </c>
      <c r="D62" s="263" t="str">
        <f>IF(D63*0.1&lt;D61,"Exceed 10% Rule","")</f>
        <v/>
      </c>
      <c r="E62" s="263" t="str">
        <f>IF(E63*0.1&lt;E61,"Exceed 10% Rule","")</f>
        <v/>
      </c>
    </row>
    <row r="63" spans="2:5">
      <c r="B63" s="264" t="s">
        <v>122</v>
      </c>
      <c r="C63" s="267">
        <f>SUM(C53:C61)</f>
        <v>552912</v>
      </c>
      <c r="D63" s="267">
        <f>SUM(D53:D61)</f>
        <v>555113</v>
      </c>
      <c r="E63" s="267">
        <f>SUM(E53:E61)</f>
        <v>560863</v>
      </c>
    </row>
    <row r="64" spans="2:5">
      <c r="B64" s="150" t="s">
        <v>229</v>
      </c>
      <c r="C64" s="82">
        <f>C51-C63</f>
        <v>299307</v>
      </c>
      <c r="D64" s="82">
        <f>D51-D63</f>
        <v>299306</v>
      </c>
      <c r="E64" s="82">
        <f>E51-E63</f>
        <v>299306</v>
      </c>
    </row>
    <row r="65" spans="2:5">
      <c r="B65" s="136" t="str">
        <f>CONCATENATE("",E1-2,"/",E1-1," Budget Authority Amount:")</f>
        <v>2012/2013 Budget Authority Amount:</v>
      </c>
      <c r="C65" s="241">
        <f>inputOth!B82</f>
        <v>553913</v>
      </c>
      <c r="D65" s="241">
        <f>inputPrYr!D43</f>
        <v>555113</v>
      </c>
      <c r="E65" s="381" t="str">
        <f>IF(E64&lt;0,"See Tab E","")</f>
        <v/>
      </c>
    </row>
    <row r="66" spans="2:5">
      <c r="B66" s="136"/>
      <c r="C66" s="277" t="str">
        <f>IF(C63&gt;C65,"See Tab A","")</f>
        <v/>
      </c>
      <c r="D66" s="277" t="str">
        <f>IF(D63&gt;D65,"See Tab C","")</f>
        <v/>
      </c>
      <c r="E66" s="47"/>
    </row>
    <row r="67" spans="2:5">
      <c r="B67" s="136"/>
      <c r="C67" s="277" t="str">
        <f>IF(C64&lt;0,"See Tab B","")</f>
        <v/>
      </c>
      <c r="D67" s="277" t="str">
        <f>IF(D64&lt;0,"See Tab D","")</f>
        <v/>
      </c>
      <c r="E67" s="47"/>
    </row>
    <row r="68" spans="2:5">
      <c r="B68" s="47"/>
      <c r="C68" s="47"/>
      <c r="D68" s="47"/>
      <c r="E68" s="47"/>
    </row>
    <row r="69" spans="2:5">
      <c r="B69" s="405" t="s">
        <v>125</v>
      </c>
      <c r="C69" s="282">
        <v>17</v>
      </c>
      <c r="D69" s="47"/>
      <c r="E69" s="47"/>
    </row>
  </sheetData>
  <sheetProtection sheet="1" objects="1" scenarios="1"/>
  <phoneticPr fontId="0" type="noConversion"/>
  <conditionalFormatting sqref="C17">
    <cfRule type="cellIs" dxfId="152" priority="6" stopIfTrue="1" operator="greaterThan">
      <formula>$C$19*0.1</formula>
    </cfRule>
  </conditionalFormatting>
  <conditionalFormatting sqref="D17">
    <cfRule type="cellIs" dxfId="151" priority="7" stopIfTrue="1" operator="greaterThan">
      <formula>$D$19*0.1</formula>
    </cfRule>
  </conditionalFormatting>
  <conditionalFormatting sqref="E17">
    <cfRule type="cellIs" dxfId="150" priority="8" stopIfTrue="1" operator="greaterThan">
      <formula>$E$19*0.1</formula>
    </cfRule>
  </conditionalFormatting>
  <conditionalFormatting sqref="C30">
    <cfRule type="cellIs" dxfId="149" priority="9" stopIfTrue="1" operator="greaterThan">
      <formula>$C$32*0.1</formula>
    </cfRule>
  </conditionalFormatting>
  <conditionalFormatting sqref="D30">
    <cfRule type="cellIs" dxfId="148" priority="10" stopIfTrue="1" operator="greaterThan">
      <formula>$D$32*0.1</formula>
    </cfRule>
  </conditionalFormatting>
  <conditionalFormatting sqref="E30">
    <cfRule type="cellIs" dxfId="147" priority="11" stopIfTrue="1" operator="greaterThan">
      <formula>$E$32*0.1</formula>
    </cfRule>
  </conditionalFormatting>
  <conditionalFormatting sqref="C48">
    <cfRule type="cellIs" dxfId="146" priority="12" stopIfTrue="1" operator="greaterThan">
      <formula>$C$50*0.1</formula>
    </cfRule>
  </conditionalFormatting>
  <conditionalFormatting sqref="D48">
    <cfRule type="cellIs" dxfId="145" priority="13" stopIfTrue="1" operator="greaterThan">
      <formula>$D$50*0.1</formula>
    </cfRule>
  </conditionalFormatting>
  <conditionalFormatting sqref="E48">
    <cfRule type="cellIs" dxfId="144" priority="14" stopIfTrue="1" operator="greaterThan">
      <formula>$E$50*0.1</formula>
    </cfRule>
  </conditionalFormatting>
  <conditionalFormatting sqref="C61">
    <cfRule type="cellIs" dxfId="143" priority="15" stopIfTrue="1" operator="greaterThan">
      <formula>$C$63*0.1</formula>
    </cfRule>
  </conditionalFormatting>
  <conditionalFormatting sqref="D61">
    <cfRule type="cellIs" dxfId="142" priority="16" stopIfTrue="1" operator="greaterThan">
      <formula>$D$63*0.1</formula>
    </cfRule>
  </conditionalFormatting>
  <conditionalFormatting sqref="E61">
    <cfRule type="cellIs" dxfId="141" priority="17" stopIfTrue="1" operator="greaterThan">
      <formula>$E$63*0.1</formula>
    </cfRule>
  </conditionalFormatting>
  <conditionalFormatting sqref="D63">
    <cfRule type="cellIs" dxfId="140" priority="18" stopIfTrue="1" operator="greaterThan">
      <formula>$D$65</formula>
    </cfRule>
  </conditionalFormatting>
  <conditionalFormatting sqref="C63">
    <cfRule type="cellIs" dxfId="139" priority="19" stopIfTrue="1" operator="greaterThan">
      <formula>$C$65</formula>
    </cfRule>
  </conditionalFormatting>
  <conditionalFormatting sqref="C64 E64 C33 E33">
    <cfRule type="cellIs" dxfId="138" priority="20" stopIfTrue="1" operator="lessThan">
      <formula>0</formula>
    </cfRule>
  </conditionalFormatting>
  <conditionalFormatting sqref="C32">
    <cfRule type="cellIs" dxfId="137" priority="22" stopIfTrue="1" operator="greaterThan">
      <formula>$C$34</formula>
    </cfRule>
  </conditionalFormatting>
  <conditionalFormatting sqref="D64">
    <cfRule type="cellIs" dxfId="136" priority="5" stopIfTrue="1" operator="lessThan">
      <formula>0</formula>
    </cfRule>
  </conditionalFormatting>
  <conditionalFormatting sqref="D33">
    <cfRule type="cellIs" dxfId="135" priority="3" stopIfTrue="1" operator="lessThan">
      <formula>0</formula>
    </cfRule>
  </conditionalFormatting>
  <conditionalFormatting sqref="D32">
    <cfRule type="cellIs" dxfId="134" priority="1" stopIfTrue="1" operator="greaterThan">
      <formula>$D$34</formula>
    </cfRule>
  </conditionalFormatting>
  <pageMargins left="0.5" right="0.5" top="1" bottom="0.5" header="0.5" footer="0.5"/>
  <pageSetup scale="63" orientation="portrait" blackAndWhite="1" horizontalDpi="120" verticalDpi="144" r:id="rId1"/>
  <headerFooter alignWithMargins="0">
    <oddHeader>&amp;RState of Kansas
City</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5"/>
  <sheetViews>
    <sheetView topLeftCell="A40" workbookViewId="0">
      <selection activeCell="D44" sqref="D44"/>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inputPrYr!B44</f>
        <v>Economic Development</v>
      </c>
      <c r="C5" s="225" t="str">
        <f>CONCATENATE("Actual for ",E1-2,"")</f>
        <v>Actual for 2012</v>
      </c>
      <c r="D5" s="225" t="str">
        <f>CONCATENATE("Estimate for ",E1-1,"")</f>
        <v>Estimate for 2013</v>
      </c>
      <c r="E5" s="208" t="str">
        <f>CONCATENATE("Year for ",E1,"")</f>
        <v>Year for 2014</v>
      </c>
    </row>
    <row r="6" spans="2:5">
      <c r="B6" s="252" t="s">
        <v>228</v>
      </c>
      <c r="C6" s="67">
        <v>28737</v>
      </c>
      <c r="D6" s="228">
        <f>C29</f>
        <v>23029</v>
      </c>
      <c r="E6" s="228">
        <f>D29</f>
        <v>15398</v>
      </c>
    </row>
    <row r="7" spans="2:5" s="45" customFormat="1">
      <c r="B7" s="256" t="s">
        <v>230</v>
      </c>
      <c r="C7" s="87"/>
      <c r="D7" s="87"/>
      <c r="E7" s="87"/>
    </row>
    <row r="8" spans="2:5">
      <c r="B8" s="273" t="s">
        <v>1098</v>
      </c>
      <c r="C8" s="67">
        <v>16500</v>
      </c>
      <c r="D8" s="67">
        <v>20000</v>
      </c>
      <c r="E8" s="67">
        <v>20000</v>
      </c>
    </row>
    <row r="9" spans="2:5">
      <c r="B9" s="273" t="s">
        <v>1023</v>
      </c>
      <c r="C9" s="67">
        <v>0</v>
      </c>
      <c r="D9" s="67">
        <v>20000</v>
      </c>
      <c r="E9" s="67">
        <v>20000</v>
      </c>
    </row>
    <row r="10" spans="2:5">
      <c r="B10" s="273" t="s">
        <v>1060</v>
      </c>
      <c r="C10" s="67">
        <v>15000</v>
      </c>
      <c r="D10" s="67">
        <v>0</v>
      </c>
      <c r="E10" s="67">
        <v>0</v>
      </c>
    </row>
    <row r="11" spans="2:5">
      <c r="B11" s="273"/>
      <c r="C11" s="67"/>
      <c r="D11" s="67"/>
      <c r="E11" s="67"/>
    </row>
    <row r="12" spans="2:5">
      <c r="B12" s="261" t="s">
        <v>114</v>
      </c>
      <c r="C12" s="67"/>
      <c r="D12" s="67"/>
      <c r="E12" s="67"/>
    </row>
    <row r="13" spans="2:5">
      <c r="B13" s="159" t="s">
        <v>14</v>
      </c>
      <c r="C13" s="67">
        <v>129</v>
      </c>
      <c r="D13" s="258">
        <v>0</v>
      </c>
      <c r="E13" s="258">
        <v>0</v>
      </c>
    </row>
    <row r="14" spans="2:5">
      <c r="B14" s="252" t="s">
        <v>784</v>
      </c>
      <c r="C14" s="299" t="str">
        <f>IF(C15*0.1&lt;C13,"Exceed 10% Rule","")</f>
        <v/>
      </c>
      <c r="D14" s="263" t="str">
        <f>IF(D15*0.1&lt;D13,"Exceed 10% Rule","")</f>
        <v/>
      </c>
      <c r="E14" s="263" t="str">
        <f>IF(E15*0.1&lt;E13,"Exceed 10% Rule","")</f>
        <v/>
      </c>
    </row>
    <row r="15" spans="2:5">
      <c r="B15" s="264" t="s">
        <v>115</v>
      </c>
      <c r="C15" s="267">
        <f>SUM(C8:C13)</f>
        <v>31629</v>
      </c>
      <c r="D15" s="267">
        <f>SUM(D8:D13)</f>
        <v>40000</v>
      </c>
      <c r="E15" s="267">
        <f>SUM(E8:E13)</f>
        <v>40000</v>
      </c>
    </row>
    <row r="16" spans="2:5">
      <c r="B16" s="264" t="s">
        <v>116</v>
      </c>
      <c r="C16" s="267">
        <f>C6+C15</f>
        <v>60366</v>
      </c>
      <c r="D16" s="267">
        <f>D6+D15</f>
        <v>63029</v>
      </c>
      <c r="E16" s="267">
        <f>E6+E15</f>
        <v>55398</v>
      </c>
    </row>
    <row r="17" spans="2:5">
      <c r="B17" s="150" t="s">
        <v>118</v>
      </c>
      <c r="C17" s="228"/>
      <c r="D17" s="228"/>
      <c r="E17" s="228"/>
    </row>
    <row r="18" spans="2:5">
      <c r="B18" s="273" t="s">
        <v>1055</v>
      </c>
      <c r="C18" s="67">
        <v>32924</v>
      </c>
      <c r="D18" s="67">
        <v>33731</v>
      </c>
      <c r="E18" s="67">
        <v>33912</v>
      </c>
    </row>
    <row r="19" spans="2:5">
      <c r="B19" s="273" t="s">
        <v>1015</v>
      </c>
      <c r="C19" s="67">
        <v>352</v>
      </c>
      <c r="D19" s="67">
        <v>1600</v>
      </c>
      <c r="E19" s="67">
        <v>1300</v>
      </c>
    </row>
    <row r="20" spans="2:5">
      <c r="B20" s="273" t="s">
        <v>1014</v>
      </c>
      <c r="C20" s="67">
        <v>581</v>
      </c>
      <c r="D20" s="67">
        <v>300</v>
      </c>
      <c r="E20" s="67">
        <v>300</v>
      </c>
    </row>
    <row r="21" spans="2:5">
      <c r="B21" s="273" t="s">
        <v>1016</v>
      </c>
      <c r="C21" s="67">
        <v>3480</v>
      </c>
      <c r="D21" s="67">
        <v>12000</v>
      </c>
      <c r="E21" s="67">
        <v>16000</v>
      </c>
    </row>
    <row r="22" spans="2:5">
      <c r="B22" s="273"/>
      <c r="C22" s="67"/>
      <c r="D22" s="67"/>
      <c r="E22" s="67"/>
    </row>
    <row r="23" spans="2:5">
      <c r="B23" s="273"/>
      <c r="C23" s="67"/>
      <c r="D23" s="67"/>
      <c r="E23" s="67"/>
    </row>
    <row r="24" spans="2:5">
      <c r="B24" s="273"/>
      <c r="C24" s="67"/>
      <c r="D24" s="67"/>
      <c r="E24" s="67"/>
    </row>
    <row r="25" spans="2:5">
      <c r="B25" s="273"/>
      <c r="C25" s="67"/>
      <c r="D25" s="67"/>
      <c r="E25" s="67"/>
    </row>
    <row r="26" spans="2:5">
      <c r="B26" s="274" t="s">
        <v>14</v>
      </c>
      <c r="C26" s="67"/>
      <c r="D26" s="258"/>
      <c r="E26" s="258"/>
    </row>
    <row r="27" spans="2:5">
      <c r="B27" s="274" t="s">
        <v>785</v>
      </c>
      <c r="C27" s="299" t="str">
        <f>IF(C28*0.1&lt;C26,"Exceed 10% Rule","")</f>
        <v/>
      </c>
      <c r="D27" s="263" t="str">
        <f>IF(D28*0.1&lt;D26,"Exceed 10% Rule","")</f>
        <v/>
      </c>
      <c r="E27" s="263" t="str">
        <f>IF(E28*0.1&lt;E26,"Exceed 10% Rule","")</f>
        <v/>
      </c>
    </row>
    <row r="28" spans="2:5">
      <c r="B28" s="264" t="s">
        <v>122</v>
      </c>
      <c r="C28" s="267">
        <f>SUM(C18:C26)</f>
        <v>37337</v>
      </c>
      <c r="D28" s="267">
        <f>SUM(D18:D26)</f>
        <v>47631</v>
      </c>
      <c r="E28" s="267">
        <f>SUM(E18:E26)</f>
        <v>51512</v>
      </c>
    </row>
    <row r="29" spans="2:5">
      <c r="B29" s="150" t="s">
        <v>229</v>
      </c>
      <c r="C29" s="82">
        <f>C16-C28</f>
        <v>23029</v>
      </c>
      <c r="D29" s="82">
        <f>D16-D28</f>
        <v>15398</v>
      </c>
      <c r="E29" s="82">
        <f>E16-E28</f>
        <v>3886</v>
      </c>
    </row>
    <row r="30" spans="2:5">
      <c r="B30" s="136" t="str">
        <f>CONCATENATE("",E1-2,"/",E1-1," Budget Authority Amount:")</f>
        <v>2012/2013 Budget Authority Amount:</v>
      </c>
      <c r="C30" s="241">
        <f>inputOth!B83</f>
        <v>60884</v>
      </c>
      <c r="D30" s="241">
        <f>inputPrYr!D44</f>
        <v>51631</v>
      </c>
      <c r="E30" s="381" t="str">
        <f>IF(E29&lt;0,"See Tab E","")</f>
        <v/>
      </c>
    </row>
    <row r="31" spans="2:5">
      <c r="B31" s="136"/>
      <c r="C31" s="277" t="str">
        <f>IF(C28&gt;C30,"See Tab A","")</f>
        <v/>
      </c>
      <c r="D31" s="277" t="str">
        <f>IF(D28&gt;D30,"See Tab C","")</f>
        <v/>
      </c>
      <c r="E31" s="97"/>
    </row>
    <row r="32" spans="2:5">
      <c r="B32" s="136"/>
      <c r="C32" s="277" t="str">
        <f>IF(C29&lt;0,"See Tab B","")</f>
        <v/>
      </c>
      <c r="D32" s="277" t="str">
        <f>IF(D29&lt;0,"See Tab D","")</f>
        <v/>
      </c>
      <c r="E32" s="97"/>
    </row>
    <row r="33" spans="2:5">
      <c r="B33" s="47"/>
      <c r="C33" s="97"/>
      <c r="D33" s="97"/>
      <c r="E33" s="97"/>
    </row>
    <row r="34" spans="2:5">
      <c r="B34" s="52" t="s">
        <v>106</v>
      </c>
      <c r="C34" s="294"/>
      <c r="D34" s="294"/>
      <c r="E34" s="294"/>
    </row>
    <row r="35" spans="2:5">
      <c r="B35" s="47"/>
      <c r="C35" s="715" t="s">
        <v>950</v>
      </c>
      <c r="D35" s="716" t="s">
        <v>951</v>
      </c>
      <c r="E35" s="144" t="s">
        <v>952</v>
      </c>
    </row>
    <row r="36" spans="2:5">
      <c r="B36" s="535" t="str">
        <f>inputPrYr!B45</f>
        <v>Parkside # 1</v>
      </c>
      <c r="C36" s="225" t="str">
        <f>CONCATENATE("Actual for ",$E$1-2,"")</f>
        <v>Actual for 2012</v>
      </c>
      <c r="D36" s="225" t="str">
        <f>CONCATENATE("Estimate for ",$E$1-1,"")</f>
        <v>Estimate for 2013</v>
      </c>
      <c r="E36" s="208" t="str">
        <f>CONCATENATE("Year for ",$E$1,"")</f>
        <v>Year for 2014</v>
      </c>
    </row>
    <row r="37" spans="2:5">
      <c r="B37" s="252" t="s">
        <v>228</v>
      </c>
      <c r="C37" s="67">
        <v>122611</v>
      </c>
      <c r="D37" s="228">
        <f>C60</f>
        <v>129277</v>
      </c>
      <c r="E37" s="228">
        <f>D60</f>
        <v>140243</v>
      </c>
    </row>
    <row r="38" spans="2:5" s="45" customFormat="1">
      <c r="B38" s="256" t="s">
        <v>230</v>
      </c>
      <c r="C38" s="87"/>
      <c r="D38" s="87"/>
      <c r="E38" s="87"/>
    </row>
    <row r="39" spans="2:5">
      <c r="B39" s="273" t="s">
        <v>1042</v>
      </c>
      <c r="C39" s="67">
        <v>67099</v>
      </c>
      <c r="D39" s="67">
        <v>75000</v>
      </c>
      <c r="E39" s="67">
        <v>80000</v>
      </c>
    </row>
    <row r="40" spans="2:5">
      <c r="B40" s="273" t="s">
        <v>1099</v>
      </c>
      <c r="C40" s="67">
        <v>36975</v>
      </c>
      <c r="D40" s="67">
        <v>53280</v>
      </c>
      <c r="E40" s="67">
        <v>60000</v>
      </c>
    </row>
    <row r="41" spans="2:5">
      <c r="B41" s="273" t="s">
        <v>1100</v>
      </c>
      <c r="C41" s="67">
        <v>2000</v>
      </c>
      <c r="D41" s="67">
        <v>2500</v>
      </c>
      <c r="E41" s="67">
        <v>2500</v>
      </c>
    </row>
    <row r="42" spans="2:5">
      <c r="B42" s="273" t="s">
        <v>1101</v>
      </c>
      <c r="C42" s="67">
        <v>25373</v>
      </c>
      <c r="D42" s="67">
        <v>0</v>
      </c>
      <c r="E42" s="67">
        <v>0</v>
      </c>
    </row>
    <row r="43" spans="2:5">
      <c r="B43" s="261" t="s">
        <v>1134</v>
      </c>
      <c r="C43" s="67">
        <v>0</v>
      </c>
      <c r="D43" s="67">
        <v>20000</v>
      </c>
      <c r="E43" s="67">
        <v>20000</v>
      </c>
    </row>
    <row r="44" spans="2:5">
      <c r="B44" s="159" t="s">
        <v>14</v>
      </c>
      <c r="C44" s="67">
        <v>1518</v>
      </c>
      <c r="D44" s="258">
        <v>125</v>
      </c>
      <c r="E44" s="258">
        <v>0</v>
      </c>
    </row>
    <row r="45" spans="2:5">
      <c r="B45" s="252" t="s">
        <v>784</v>
      </c>
      <c r="C45" s="299" t="str">
        <f>IF(C46*0.1&lt;C44,"Exceed 10% Rule","")</f>
        <v/>
      </c>
      <c r="D45" s="263" t="str">
        <f>IF(D46*0.1&lt;D44,"Exceed 10% Rule","")</f>
        <v/>
      </c>
      <c r="E45" s="263" t="str">
        <f>IF(E46*0.1&lt;E44,"Exceed 10% Rule","")</f>
        <v/>
      </c>
    </row>
    <row r="46" spans="2:5">
      <c r="B46" s="264" t="s">
        <v>115</v>
      </c>
      <c r="C46" s="267">
        <f>SUM(C39:C44)</f>
        <v>132965</v>
      </c>
      <c r="D46" s="267">
        <f>SUM(D39:D44)</f>
        <v>150905</v>
      </c>
      <c r="E46" s="267">
        <f>SUM(E39:E44)</f>
        <v>162500</v>
      </c>
    </row>
    <row r="47" spans="2:5">
      <c r="B47" s="264" t="s">
        <v>116</v>
      </c>
      <c r="C47" s="267">
        <f>C37+C46</f>
        <v>255576</v>
      </c>
      <c r="D47" s="267">
        <f>D37+D46</f>
        <v>280182</v>
      </c>
      <c r="E47" s="267">
        <f>E37+E46</f>
        <v>302743</v>
      </c>
    </row>
    <row r="48" spans="2:5">
      <c r="B48" s="150" t="s">
        <v>118</v>
      </c>
      <c r="C48" s="228"/>
      <c r="D48" s="228"/>
      <c r="E48" s="228"/>
    </row>
    <row r="49" spans="2:5">
      <c r="B49" s="273" t="s">
        <v>1055</v>
      </c>
      <c r="C49" s="67">
        <v>32011</v>
      </c>
      <c r="D49" s="67">
        <v>26190</v>
      </c>
      <c r="E49" s="67">
        <v>26988</v>
      </c>
    </row>
    <row r="50" spans="2:5">
      <c r="B50" s="273" t="s">
        <v>1102</v>
      </c>
      <c r="C50" s="67">
        <v>45684</v>
      </c>
      <c r="D50" s="67">
        <v>62179</v>
      </c>
      <c r="E50" s="67">
        <v>71100</v>
      </c>
    </row>
    <row r="51" spans="2:5">
      <c r="B51" s="273" t="s">
        <v>1015</v>
      </c>
      <c r="C51" s="67">
        <v>2632</v>
      </c>
      <c r="D51" s="67">
        <v>4000</v>
      </c>
      <c r="E51" s="67">
        <v>4000</v>
      </c>
    </row>
    <row r="52" spans="2:5">
      <c r="B52" s="273" t="s">
        <v>1016</v>
      </c>
      <c r="C52" s="67">
        <v>9860</v>
      </c>
      <c r="D52" s="67">
        <v>10000</v>
      </c>
      <c r="E52" s="67">
        <v>10000</v>
      </c>
    </row>
    <row r="53" spans="2:5">
      <c r="B53" s="273" t="s">
        <v>47</v>
      </c>
      <c r="C53" s="67">
        <v>35883</v>
      </c>
      <c r="D53" s="67">
        <v>34570</v>
      </c>
      <c r="E53" s="67">
        <v>38220</v>
      </c>
    </row>
    <row r="54" spans="2:5">
      <c r="B54" s="273" t="s">
        <v>1091</v>
      </c>
      <c r="C54" s="67">
        <v>229</v>
      </c>
      <c r="D54" s="67">
        <v>3000</v>
      </c>
      <c r="E54" s="67">
        <v>3000</v>
      </c>
    </row>
    <row r="55" spans="2:5">
      <c r="B55" s="273"/>
      <c r="C55" s="67"/>
      <c r="D55" s="67"/>
      <c r="E55" s="67"/>
    </row>
    <row r="56" spans="2:5">
      <c r="B56" s="273"/>
      <c r="C56" s="67"/>
      <c r="D56" s="67"/>
      <c r="E56" s="67"/>
    </row>
    <row r="57" spans="2:5">
      <c r="B57" s="274" t="s">
        <v>14</v>
      </c>
      <c r="C57" s="67"/>
      <c r="D57" s="258"/>
      <c r="E57" s="258"/>
    </row>
    <row r="58" spans="2:5">
      <c r="B58" s="274" t="s">
        <v>785</v>
      </c>
      <c r="C58" s="299" t="str">
        <f>IF(C59*0.1&lt;C57,"Exceed 10% Rule","")</f>
        <v/>
      </c>
      <c r="D58" s="263" t="str">
        <f>IF(D59*0.1&lt;D57,"Exceed 10% Rule","")</f>
        <v/>
      </c>
      <c r="E58" s="263" t="str">
        <f>IF(E59*0.1&lt;E57,"Exceed 10% Rule","")</f>
        <v/>
      </c>
    </row>
    <row r="59" spans="2:5">
      <c r="B59" s="264" t="s">
        <v>122</v>
      </c>
      <c r="C59" s="267">
        <f>SUM(C49:C57)</f>
        <v>126299</v>
      </c>
      <c r="D59" s="267">
        <f>SUM(D49:D57)</f>
        <v>139939</v>
      </c>
      <c r="E59" s="267">
        <f>SUM(E49:E57)</f>
        <v>153308</v>
      </c>
    </row>
    <row r="60" spans="2:5">
      <c r="B60" s="150" t="s">
        <v>229</v>
      </c>
      <c r="C60" s="82">
        <f>C47-C59</f>
        <v>129277</v>
      </c>
      <c r="D60" s="82">
        <f>D47-D59</f>
        <v>140243</v>
      </c>
      <c r="E60" s="82">
        <f>E47-E59</f>
        <v>149435</v>
      </c>
    </row>
    <row r="61" spans="2:5">
      <c r="B61" s="136" t="str">
        <f>CONCATENATE("",E1-2,"/",E1-1," Budget Authority Amount:")</f>
        <v>2012/2013 Budget Authority Amount:</v>
      </c>
      <c r="C61" s="241">
        <f>inputOth!B84</f>
        <v>147584</v>
      </c>
      <c r="D61" s="241">
        <f>inputPrYr!D45</f>
        <v>144321</v>
      </c>
      <c r="E61" s="381" t="str">
        <f>IF(E60&lt;0,"See Tab E","")</f>
        <v/>
      </c>
    </row>
    <row r="62" spans="2:5">
      <c r="B62" s="136"/>
      <c r="C62" s="277" t="str">
        <f>IF(C59&gt;C61,"See Tab A","")</f>
        <v/>
      </c>
      <c r="D62" s="277" t="str">
        <f>IF(D59&gt;D61,"See Tab C","")</f>
        <v/>
      </c>
      <c r="E62" s="47"/>
    </row>
    <row r="63" spans="2:5">
      <c r="B63" s="136"/>
      <c r="C63" s="277" t="str">
        <f>IF(C60&lt;0,"See Tab B","")</f>
        <v/>
      </c>
      <c r="D63" s="277" t="str">
        <f>IF(D60&lt;0,"See Tab D","")</f>
        <v/>
      </c>
      <c r="E63" s="47"/>
    </row>
    <row r="64" spans="2:5">
      <c r="B64" s="47"/>
      <c r="C64" s="47"/>
      <c r="D64" s="47"/>
      <c r="E64" s="47"/>
    </row>
    <row r="65" spans="2:5">
      <c r="B65" s="405" t="s">
        <v>125</v>
      </c>
      <c r="C65" s="282">
        <v>18</v>
      </c>
      <c r="D65" s="47"/>
      <c r="E65" s="47"/>
    </row>
  </sheetData>
  <sheetProtection sheet="1"/>
  <phoneticPr fontId="0" type="noConversion"/>
  <conditionalFormatting sqref="C13">
    <cfRule type="cellIs" dxfId="133" priority="3" stopIfTrue="1" operator="greaterThan">
      <formula>$C$15*0.1</formula>
    </cfRule>
  </conditionalFormatting>
  <conditionalFormatting sqref="D13">
    <cfRule type="cellIs" dxfId="132" priority="4" stopIfTrue="1" operator="greaterThan">
      <formula>$D$15*0.1</formula>
    </cfRule>
  </conditionalFormatting>
  <conditionalFormatting sqref="E13">
    <cfRule type="cellIs" dxfId="131" priority="5" stopIfTrue="1" operator="greaterThan">
      <formula>$E$15*0.1</formula>
    </cfRule>
  </conditionalFormatting>
  <conditionalFormatting sqref="C26">
    <cfRule type="cellIs" dxfId="130" priority="6" stopIfTrue="1" operator="greaterThan">
      <formula>$C$28*0.1</formula>
    </cfRule>
  </conditionalFormatting>
  <conditionalFormatting sqref="D26">
    <cfRule type="cellIs" dxfId="129" priority="7" stopIfTrue="1" operator="greaterThan">
      <formula>$D$28*0.1</formula>
    </cfRule>
  </conditionalFormatting>
  <conditionalFormatting sqref="E26">
    <cfRule type="cellIs" dxfId="128" priority="8" stopIfTrue="1" operator="greaterThan">
      <formula>$E$28*0.1</formula>
    </cfRule>
  </conditionalFormatting>
  <conditionalFormatting sqref="C44">
    <cfRule type="cellIs" dxfId="127" priority="9" stopIfTrue="1" operator="greaterThan">
      <formula>$C$46*0.1</formula>
    </cfRule>
  </conditionalFormatting>
  <conditionalFormatting sqref="D44">
    <cfRule type="cellIs" dxfId="126" priority="10" stopIfTrue="1" operator="greaterThan">
      <formula>$D$46*0.1</formula>
    </cfRule>
  </conditionalFormatting>
  <conditionalFormatting sqref="E44">
    <cfRule type="cellIs" dxfId="125" priority="11" stopIfTrue="1" operator="greaterThan">
      <formula>$E$46*0.1</formula>
    </cfRule>
  </conditionalFormatting>
  <conditionalFormatting sqref="C57">
    <cfRule type="cellIs" dxfId="124" priority="12" stopIfTrue="1" operator="greaterThan">
      <formula>$C$59*0.1</formula>
    </cfRule>
  </conditionalFormatting>
  <conditionalFormatting sqref="D57">
    <cfRule type="cellIs" dxfId="123" priority="13" stopIfTrue="1" operator="greaterThan">
      <formula>$D$59*0.1</formula>
    </cfRule>
  </conditionalFormatting>
  <conditionalFormatting sqref="E57">
    <cfRule type="cellIs" dxfId="122" priority="14" stopIfTrue="1" operator="greaterThan">
      <formula>$E$59*0.1</formula>
    </cfRule>
  </conditionalFormatting>
  <conditionalFormatting sqref="C59:D59">
    <cfRule type="cellIs" dxfId="121" priority="15" stopIfTrue="1" operator="greaterThan">
      <formula>$D$61</formula>
    </cfRule>
  </conditionalFormatting>
  <conditionalFormatting sqref="C60 E60 C29 E29">
    <cfRule type="cellIs" dxfId="120" priority="16" stopIfTrue="1" operator="lessThan">
      <formula>0</formula>
    </cfRule>
  </conditionalFormatting>
  <conditionalFormatting sqref="D28">
    <cfRule type="cellIs" dxfId="119" priority="17" stopIfTrue="1" operator="greaterThan">
      <formula>$D$30</formula>
    </cfRule>
  </conditionalFormatting>
  <conditionalFormatting sqref="C28">
    <cfRule type="cellIs" dxfId="118" priority="18" stopIfTrue="1" operator="greaterThan">
      <formula>$C$30</formula>
    </cfRule>
  </conditionalFormatting>
  <conditionalFormatting sqref="D60">
    <cfRule type="cellIs" dxfId="117" priority="2" stopIfTrue="1" operator="lessThan">
      <formula>0</formula>
    </cfRule>
  </conditionalFormatting>
  <conditionalFormatting sqref="D29">
    <cfRule type="cellIs" dxfId="116" priority="1" stopIfTrue="1" operator="lessThan">
      <formula>0</formula>
    </cfRule>
  </conditionalFormatting>
  <pageMargins left="0.5" right="0.5" top="1" bottom="0.5" header="0.5" footer="0.5"/>
  <pageSetup scale="67" orientation="portrait" blackAndWhite="1" horizontalDpi="120" verticalDpi="144" r:id="rId1"/>
  <headerFooter alignWithMargins="0">
    <oddHeader>&amp;RState of Kansas
City</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65"/>
  <sheetViews>
    <sheetView workbookViewId="0">
      <selection activeCell="C59" sqref="C59"/>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inputPrYr!B46</f>
        <v>Parkside # 2</v>
      </c>
      <c r="C5" s="225" t="str">
        <f>CONCATENATE("Actual for ",E1-2,"")</f>
        <v>Actual for 2012</v>
      </c>
      <c r="D5" s="225" t="str">
        <f>CONCATENATE("Estimate for ",E1-1,"")</f>
        <v>Estimate for 2013</v>
      </c>
      <c r="E5" s="208" t="str">
        <f>CONCATENATE("Year for ",E1,"")</f>
        <v>Year for 2014</v>
      </c>
    </row>
    <row r="6" spans="2:5">
      <c r="B6" s="252" t="s">
        <v>228</v>
      </c>
      <c r="C6" s="67">
        <v>158304</v>
      </c>
      <c r="D6" s="228">
        <f>C29</f>
        <v>204025</v>
      </c>
      <c r="E6" s="228">
        <f>D29</f>
        <v>202018</v>
      </c>
    </row>
    <row r="7" spans="2:5" s="45" customFormat="1">
      <c r="B7" s="256" t="s">
        <v>230</v>
      </c>
      <c r="C7" s="87"/>
      <c r="D7" s="87"/>
      <c r="E7" s="87"/>
    </row>
    <row r="8" spans="2:5">
      <c r="B8" s="273" t="s">
        <v>1042</v>
      </c>
      <c r="C8" s="67">
        <v>97507</v>
      </c>
      <c r="D8" s="67">
        <v>100000</v>
      </c>
      <c r="E8" s="67">
        <v>105000</v>
      </c>
    </row>
    <row r="9" spans="2:5">
      <c r="B9" s="273" t="s">
        <v>1099</v>
      </c>
      <c r="C9" s="67">
        <v>84856</v>
      </c>
      <c r="D9" s="67">
        <v>85000</v>
      </c>
      <c r="E9" s="67">
        <v>90000</v>
      </c>
    </row>
    <row r="10" spans="2:5">
      <c r="B10" s="273" t="s">
        <v>1100</v>
      </c>
      <c r="C10" s="67">
        <v>1597</v>
      </c>
      <c r="D10" s="67">
        <v>2000</v>
      </c>
      <c r="E10" s="67">
        <v>2000</v>
      </c>
    </row>
    <row r="11" spans="2:5">
      <c r="B11" s="273" t="s">
        <v>1101</v>
      </c>
      <c r="C11" s="67">
        <v>15563</v>
      </c>
      <c r="D11" s="67">
        <v>0</v>
      </c>
      <c r="E11" s="67">
        <v>0</v>
      </c>
    </row>
    <row r="12" spans="2:5">
      <c r="B12" s="261" t="s">
        <v>114</v>
      </c>
      <c r="C12" s="67"/>
      <c r="D12" s="67"/>
      <c r="E12" s="67"/>
    </row>
    <row r="13" spans="2:5">
      <c r="B13" s="159" t="s">
        <v>14</v>
      </c>
      <c r="C13" s="67"/>
      <c r="D13" s="258">
        <v>100</v>
      </c>
      <c r="E13" s="258"/>
    </row>
    <row r="14" spans="2:5">
      <c r="B14" s="252" t="s">
        <v>784</v>
      </c>
      <c r="C14" s="299" t="str">
        <f>IF(C15*0.1&lt;C13,"Exceed 10% Rule","")</f>
        <v/>
      </c>
      <c r="D14" s="263" t="str">
        <f>IF(D15*0.1&lt;D13,"Exceed 10% Rule","")</f>
        <v/>
      </c>
      <c r="E14" s="263" t="str">
        <f>IF(E15*0.1&lt;E13,"Exceed 10% Rule","")</f>
        <v/>
      </c>
    </row>
    <row r="15" spans="2:5">
      <c r="B15" s="264" t="s">
        <v>115</v>
      </c>
      <c r="C15" s="267">
        <f>SUM(C8:C13)</f>
        <v>199523</v>
      </c>
      <c r="D15" s="267">
        <f>SUM(D8:D13)</f>
        <v>187100</v>
      </c>
      <c r="E15" s="267">
        <f>SUM(E8:E13)</f>
        <v>197000</v>
      </c>
    </row>
    <row r="16" spans="2:5">
      <c r="B16" s="264" t="s">
        <v>116</v>
      </c>
      <c r="C16" s="267">
        <f>C6+C15</f>
        <v>357827</v>
      </c>
      <c r="D16" s="267">
        <f>D6+D15</f>
        <v>391125</v>
      </c>
      <c r="E16" s="267">
        <f>E6+E15</f>
        <v>399018</v>
      </c>
    </row>
    <row r="17" spans="2:5">
      <c r="B17" s="150" t="s">
        <v>118</v>
      </c>
      <c r="C17" s="228"/>
      <c r="D17" s="228"/>
      <c r="E17" s="228"/>
    </row>
    <row r="18" spans="2:5">
      <c r="B18" s="273" t="s">
        <v>1055</v>
      </c>
      <c r="C18" s="67">
        <v>32819</v>
      </c>
      <c r="D18" s="67">
        <v>26190</v>
      </c>
      <c r="E18" s="67">
        <v>26988</v>
      </c>
    </row>
    <row r="19" spans="2:5">
      <c r="B19" s="273" t="s">
        <v>1014</v>
      </c>
      <c r="C19" s="67">
        <v>54515</v>
      </c>
      <c r="D19" s="67">
        <v>70929</v>
      </c>
      <c r="E19" s="67">
        <v>84870</v>
      </c>
    </row>
    <row r="20" spans="2:5">
      <c r="B20" s="273" t="s">
        <v>1015</v>
      </c>
      <c r="C20" s="67">
        <v>2167</v>
      </c>
      <c r="D20" s="67">
        <v>2500</v>
      </c>
      <c r="E20" s="67">
        <v>3500</v>
      </c>
    </row>
    <row r="21" spans="2:5">
      <c r="B21" s="273" t="s">
        <v>1016</v>
      </c>
      <c r="C21" s="67">
        <v>4189</v>
      </c>
      <c r="D21" s="67">
        <v>10000</v>
      </c>
      <c r="E21" s="67">
        <v>10000</v>
      </c>
    </row>
    <row r="22" spans="2:5">
      <c r="B22" s="273" t="s">
        <v>1097</v>
      </c>
      <c r="C22" s="67">
        <v>58956</v>
      </c>
      <c r="D22" s="67">
        <v>56988</v>
      </c>
      <c r="E22" s="67">
        <v>59963</v>
      </c>
    </row>
    <row r="23" spans="2:5">
      <c r="B23" s="273" t="s">
        <v>1091</v>
      </c>
      <c r="C23" s="67">
        <v>1156</v>
      </c>
      <c r="D23" s="67">
        <v>2500</v>
      </c>
      <c r="E23" s="67">
        <v>2500</v>
      </c>
    </row>
    <row r="24" spans="2:5">
      <c r="B24" s="273" t="s">
        <v>1110</v>
      </c>
      <c r="C24" s="67">
        <v>0</v>
      </c>
      <c r="D24" s="67">
        <v>20000</v>
      </c>
      <c r="E24" s="67">
        <v>20000</v>
      </c>
    </row>
    <row r="25" spans="2:5">
      <c r="B25" s="273"/>
      <c r="C25" s="67"/>
      <c r="D25" s="67"/>
      <c r="E25" s="67"/>
    </row>
    <row r="26" spans="2:5">
      <c r="B26" s="274" t="s">
        <v>14</v>
      </c>
      <c r="C26" s="67"/>
      <c r="D26" s="258"/>
      <c r="E26" s="258"/>
    </row>
    <row r="27" spans="2:5">
      <c r="B27" s="274" t="s">
        <v>785</v>
      </c>
      <c r="C27" s="299" t="str">
        <f>IF(C28*0.1&lt;C26,"Exceed 10% Rule","")</f>
        <v/>
      </c>
      <c r="D27" s="263" t="str">
        <f>IF(D28*0.1&lt;D26,"Exceed 10% Rule","")</f>
        <v/>
      </c>
      <c r="E27" s="263" t="str">
        <f>IF(E28*0.1&lt;E26,"Exceed 10% Rule","")</f>
        <v/>
      </c>
    </row>
    <row r="28" spans="2:5">
      <c r="B28" s="264" t="s">
        <v>122</v>
      </c>
      <c r="C28" s="267">
        <f>SUM(C18:C26)</f>
        <v>153802</v>
      </c>
      <c r="D28" s="267">
        <f>SUM(D18:D26)</f>
        <v>189107</v>
      </c>
      <c r="E28" s="267">
        <f>SUM(E18:E26)</f>
        <v>207821</v>
      </c>
    </row>
    <row r="29" spans="2:5">
      <c r="B29" s="150" t="s">
        <v>229</v>
      </c>
      <c r="C29" s="82">
        <f>C16-C28</f>
        <v>204025</v>
      </c>
      <c r="D29" s="82">
        <f>D16-D28</f>
        <v>202018</v>
      </c>
      <c r="E29" s="82">
        <f>E16-E28</f>
        <v>191197</v>
      </c>
    </row>
    <row r="30" spans="2:5">
      <c r="B30" s="136" t="str">
        <f>CONCATENATE("",E1-2,"/",E1-1," Budget Authority Amount:")</f>
        <v>2012/2013 Budget Authority Amount:</v>
      </c>
      <c r="C30" s="241">
        <f>inputOth!B85</f>
        <v>178907</v>
      </c>
      <c r="D30" s="241">
        <f>inputPrYr!D46</f>
        <v>190263</v>
      </c>
      <c r="E30" s="381" t="str">
        <f>IF(E29&lt;0,"See Tab E","")</f>
        <v/>
      </c>
    </row>
    <row r="31" spans="2:5">
      <c r="B31" s="136"/>
      <c r="C31" s="277" t="str">
        <f>IF(C28&gt;C30,"See Tab A","")</f>
        <v/>
      </c>
      <c r="D31" s="277" t="str">
        <f>IF(D28&gt;D30,"See Tab C","")</f>
        <v/>
      </c>
      <c r="E31" s="97"/>
    </row>
    <row r="32" spans="2:5">
      <c r="B32" s="136"/>
      <c r="C32" s="277" t="str">
        <f>IF(C29&lt;0,"See Tab B","")</f>
        <v/>
      </c>
      <c r="D32" s="277" t="str">
        <f>IF(D29&lt;0,"See Tab D","")</f>
        <v/>
      </c>
      <c r="E32" s="97"/>
    </row>
    <row r="33" spans="2:5">
      <c r="B33" s="47"/>
      <c r="C33" s="97"/>
      <c r="D33" s="97"/>
      <c r="E33" s="97"/>
    </row>
    <row r="34" spans="2:5">
      <c r="B34" s="52" t="s">
        <v>106</v>
      </c>
      <c r="C34" s="294"/>
      <c r="D34" s="294"/>
      <c r="E34" s="294"/>
    </row>
    <row r="35" spans="2:5">
      <c r="B35" s="47"/>
      <c r="C35" s="715" t="s">
        <v>950</v>
      </c>
      <c r="D35" s="716" t="s">
        <v>951</v>
      </c>
      <c r="E35" s="144" t="s">
        <v>952</v>
      </c>
    </row>
    <row r="36" spans="2:5">
      <c r="B36" s="535" t="str">
        <f>inputPrYr!B47</f>
        <v>Park Plaza North</v>
      </c>
      <c r="C36" s="225" t="str">
        <f>CONCATENATE("Actual for ",$E$1-2,"")</f>
        <v>Actual for 2012</v>
      </c>
      <c r="D36" s="225" t="str">
        <f>CONCATENATE("Estimate for ",$E$1-1,"")</f>
        <v>Estimate for 2013</v>
      </c>
      <c r="E36" s="208" t="str">
        <f>CONCATENATE("Year for ",$E$1,"")</f>
        <v>Year for 2014</v>
      </c>
    </row>
    <row r="37" spans="2:5">
      <c r="B37" s="252" t="s">
        <v>228</v>
      </c>
      <c r="C37" s="67">
        <v>271481</v>
      </c>
      <c r="D37" s="228">
        <f>C60</f>
        <v>253822</v>
      </c>
      <c r="E37" s="228">
        <f>D60</f>
        <v>223467</v>
      </c>
    </row>
    <row r="38" spans="2:5" s="45" customFormat="1">
      <c r="B38" s="256" t="s">
        <v>230</v>
      </c>
      <c r="C38" s="87"/>
      <c r="D38" s="87"/>
      <c r="E38" s="87"/>
    </row>
    <row r="39" spans="2:5">
      <c r="B39" s="273" t="s">
        <v>1042</v>
      </c>
      <c r="C39" s="67">
        <v>328645</v>
      </c>
      <c r="D39" s="67">
        <v>290000</v>
      </c>
      <c r="E39" s="67">
        <v>300000</v>
      </c>
    </row>
    <row r="40" spans="2:5">
      <c r="B40" s="273" t="s">
        <v>1100</v>
      </c>
      <c r="C40" s="67">
        <v>1854</v>
      </c>
      <c r="D40" s="67">
        <v>2000</v>
      </c>
      <c r="E40" s="67">
        <v>2000</v>
      </c>
    </row>
    <row r="41" spans="2:5">
      <c r="B41" s="273"/>
      <c r="C41" s="67"/>
      <c r="D41" s="67"/>
      <c r="E41" s="67"/>
    </row>
    <row r="42" spans="2:5">
      <c r="B42" s="273"/>
      <c r="C42" s="67"/>
      <c r="D42" s="67"/>
      <c r="E42" s="67"/>
    </row>
    <row r="43" spans="2:5">
      <c r="B43" s="261" t="s">
        <v>114</v>
      </c>
      <c r="C43" s="67"/>
      <c r="D43" s="67"/>
      <c r="E43" s="67"/>
    </row>
    <row r="44" spans="2:5">
      <c r="B44" s="159" t="s">
        <v>14</v>
      </c>
      <c r="C44" s="67"/>
      <c r="D44" s="258"/>
      <c r="E44" s="258"/>
    </row>
    <row r="45" spans="2:5">
      <c r="B45" s="252" t="s">
        <v>784</v>
      </c>
      <c r="C45" s="299" t="str">
        <f>IF(C46*0.1&lt;C44,"Exceed 10% Rule","")</f>
        <v/>
      </c>
      <c r="D45" s="263" t="str">
        <f>IF(D46*0.1&lt;D44,"Exceed 10% Rule","")</f>
        <v/>
      </c>
      <c r="E45" s="263" t="str">
        <f>IF(E46*0.1&lt;E44,"Exceed 10% Rule","")</f>
        <v/>
      </c>
    </row>
    <row r="46" spans="2:5">
      <c r="B46" s="264" t="s">
        <v>115</v>
      </c>
      <c r="C46" s="267">
        <f>SUM(C39:C44)</f>
        <v>330499</v>
      </c>
      <c r="D46" s="267">
        <f>SUM(D39:D44)</f>
        <v>292000</v>
      </c>
      <c r="E46" s="267">
        <f>SUM(E39:E44)</f>
        <v>302000</v>
      </c>
    </row>
    <row r="47" spans="2:5">
      <c r="B47" s="264" t="s">
        <v>116</v>
      </c>
      <c r="C47" s="267">
        <f>C37+C46</f>
        <v>601980</v>
      </c>
      <c r="D47" s="267">
        <f>D37+D46</f>
        <v>545822</v>
      </c>
      <c r="E47" s="267">
        <f>E37+E46</f>
        <v>525467</v>
      </c>
    </row>
    <row r="48" spans="2:5">
      <c r="B48" s="150" t="s">
        <v>118</v>
      </c>
      <c r="C48" s="228"/>
      <c r="D48" s="228"/>
      <c r="E48" s="228"/>
    </row>
    <row r="49" spans="2:5">
      <c r="B49" s="273" t="s">
        <v>1055</v>
      </c>
      <c r="C49" s="67">
        <v>63252</v>
      </c>
      <c r="D49" s="67">
        <v>52380</v>
      </c>
      <c r="E49" s="67">
        <v>53976</v>
      </c>
    </row>
    <row r="50" spans="2:5">
      <c r="B50" s="273" t="s">
        <v>1014</v>
      </c>
      <c r="C50" s="67">
        <v>106549</v>
      </c>
      <c r="D50" s="67">
        <v>132630</v>
      </c>
      <c r="E50" s="67">
        <v>139750</v>
      </c>
    </row>
    <row r="51" spans="2:5">
      <c r="B51" s="273" t="s">
        <v>1015</v>
      </c>
      <c r="C51" s="67">
        <v>2782</v>
      </c>
      <c r="D51" s="67">
        <v>3500</v>
      </c>
      <c r="E51" s="67">
        <v>3500</v>
      </c>
    </row>
    <row r="52" spans="2:5">
      <c r="B52" s="273" t="s">
        <v>1016</v>
      </c>
      <c r="C52" s="67">
        <v>8673</v>
      </c>
      <c r="D52" s="67">
        <v>10000</v>
      </c>
      <c r="E52" s="67">
        <v>10000</v>
      </c>
    </row>
    <row r="53" spans="2:5">
      <c r="B53" s="273" t="s">
        <v>47</v>
      </c>
      <c r="C53" s="67">
        <v>123251</v>
      </c>
      <c r="D53" s="67">
        <v>120845</v>
      </c>
      <c r="E53" s="67">
        <v>123370</v>
      </c>
    </row>
    <row r="54" spans="2:5">
      <c r="B54" s="273" t="s">
        <v>1091</v>
      </c>
      <c r="C54" s="67">
        <v>2715</v>
      </c>
      <c r="D54" s="67">
        <v>3000</v>
      </c>
      <c r="E54" s="67">
        <v>3000</v>
      </c>
    </row>
    <row r="55" spans="2:5">
      <c r="B55" s="273" t="s">
        <v>286</v>
      </c>
      <c r="C55" s="67">
        <v>40936</v>
      </c>
      <c r="D55" s="67">
        <v>0</v>
      </c>
      <c r="E55" s="67">
        <v>0</v>
      </c>
    </row>
    <row r="56" spans="2:5">
      <c r="B56" s="273"/>
      <c r="C56" s="67"/>
      <c r="D56" s="67"/>
      <c r="E56" s="67"/>
    </row>
    <row r="57" spans="2:5">
      <c r="B57" s="274" t="s">
        <v>14</v>
      </c>
      <c r="C57" s="67"/>
      <c r="D57" s="258"/>
      <c r="E57" s="258"/>
    </row>
    <row r="58" spans="2:5">
      <c r="B58" s="274" t="s">
        <v>785</v>
      </c>
      <c r="C58" s="299" t="str">
        <f>IF(C59*0.1&lt;C57,"Exceed 10% Rule","")</f>
        <v/>
      </c>
      <c r="D58" s="263" t="str">
        <f>IF(D59*0.1&lt;D57,"Exceed 10% Rule","")</f>
        <v/>
      </c>
      <c r="E58" s="263" t="str">
        <f>IF(E59*0.1&lt;E57,"Exceed 10% Rule","")</f>
        <v/>
      </c>
    </row>
    <row r="59" spans="2:5">
      <c r="B59" s="264" t="s">
        <v>122</v>
      </c>
      <c r="C59" s="267">
        <f>SUM(C49:C57)</f>
        <v>348158</v>
      </c>
      <c r="D59" s="267">
        <f>SUM(D49:D57)</f>
        <v>322355</v>
      </c>
      <c r="E59" s="267">
        <f>SUM(E49:E57)</f>
        <v>333596</v>
      </c>
    </row>
    <row r="60" spans="2:5">
      <c r="B60" s="150" t="s">
        <v>229</v>
      </c>
      <c r="C60" s="82">
        <f>C47-C59</f>
        <v>253822</v>
      </c>
      <c r="D60" s="82">
        <f>D47-D59</f>
        <v>223467</v>
      </c>
      <c r="E60" s="82">
        <f>E47-E59</f>
        <v>191871</v>
      </c>
    </row>
    <row r="61" spans="2:5">
      <c r="B61" s="136" t="str">
        <f>CONCATENATE("",E1-2,"/",E1-1," Budget Authority Amount:")</f>
        <v>2012/2013 Budget Authority Amount:</v>
      </c>
      <c r="C61" s="241">
        <f>inputOth!B86</f>
        <v>360504</v>
      </c>
      <c r="D61" s="241">
        <f>inputPrYr!D47</f>
        <v>344778</v>
      </c>
      <c r="E61" s="381" t="str">
        <f>IF(E60&lt;0,"See Tab E","")</f>
        <v/>
      </c>
    </row>
    <row r="62" spans="2:5">
      <c r="B62" s="136"/>
      <c r="C62" s="277" t="str">
        <f>IF(C59&gt;C61,"See Tab A","")</f>
        <v/>
      </c>
      <c r="D62" s="277" t="str">
        <f>IF(D59&gt;D61,"See Tab C","")</f>
        <v/>
      </c>
      <c r="E62" s="47"/>
    </row>
    <row r="63" spans="2:5">
      <c r="B63" s="136"/>
      <c r="C63" s="277" t="str">
        <f>IF(C60&lt;0,"See Tab B","")</f>
        <v/>
      </c>
      <c r="D63" s="277" t="str">
        <f>IF(D60&lt;0,"See Tab D","")</f>
        <v/>
      </c>
      <c r="E63" s="47"/>
    </row>
    <row r="64" spans="2:5">
      <c r="B64" s="47"/>
      <c r="C64" s="47"/>
      <c r="D64" s="47"/>
      <c r="E64" s="47"/>
    </row>
    <row r="65" spans="2:5">
      <c r="B65" s="405" t="s">
        <v>125</v>
      </c>
      <c r="C65" s="282">
        <v>19</v>
      </c>
      <c r="D65" s="47"/>
      <c r="E65" s="47"/>
    </row>
  </sheetData>
  <sheetProtection sheet="1"/>
  <conditionalFormatting sqref="C13">
    <cfRule type="cellIs" dxfId="115" priority="18" stopIfTrue="1" operator="greaterThan">
      <formula>$C$15*0.1</formula>
    </cfRule>
  </conditionalFormatting>
  <conditionalFormatting sqref="D13">
    <cfRule type="cellIs" dxfId="114" priority="17" stopIfTrue="1" operator="greaterThan">
      <formula>$D$15*0.1</formula>
    </cfRule>
  </conditionalFormatting>
  <conditionalFormatting sqref="E13">
    <cfRule type="cellIs" dxfId="113" priority="16" stopIfTrue="1" operator="greaterThan">
      <formula>$E$15*0.1</formula>
    </cfRule>
  </conditionalFormatting>
  <conditionalFormatting sqref="C26">
    <cfRule type="cellIs" dxfId="112" priority="15" stopIfTrue="1" operator="greaterThan">
      <formula>$C$28*0.1</formula>
    </cfRule>
  </conditionalFormatting>
  <conditionalFormatting sqref="D26">
    <cfRule type="cellIs" dxfId="111" priority="14" stopIfTrue="1" operator="greaterThan">
      <formula>$D$28*0.1</formula>
    </cfRule>
  </conditionalFormatting>
  <conditionalFormatting sqref="E26">
    <cfRule type="cellIs" dxfId="110" priority="13" stopIfTrue="1" operator="greaterThan">
      <formula>$E$28*0.1</formula>
    </cfRule>
  </conditionalFormatting>
  <conditionalFormatting sqref="C44">
    <cfRule type="cellIs" dxfId="109" priority="12" stopIfTrue="1" operator="greaterThan">
      <formula>$C$46*0.1</formula>
    </cfRule>
  </conditionalFormatting>
  <conditionalFormatting sqref="D44">
    <cfRule type="cellIs" dxfId="108" priority="11" stopIfTrue="1" operator="greaterThan">
      <formula>$D$46*0.1</formula>
    </cfRule>
  </conditionalFormatting>
  <conditionalFormatting sqref="E44">
    <cfRule type="cellIs" dxfId="107" priority="10" stopIfTrue="1" operator="greaterThan">
      <formula>$E$46*0.1</formula>
    </cfRule>
  </conditionalFormatting>
  <conditionalFormatting sqref="C57">
    <cfRule type="cellIs" dxfId="106" priority="9" stopIfTrue="1" operator="greaterThan">
      <formula>$C$59*0.1</formula>
    </cfRule>
  </conditionalFormatting>
  <conditionalFormatting sqref="D57">
    <cfRule type="cellIs" dxfId="105" priority="8" stopIfTrue="1" operator="greaterThan">
      <formula>$D$59*0.1</formula>
    </cfRule>
  </conditionalFormatting>
  <conditionalFormatting sqref="E57">
    <cfRule type="cellIs" dxfId="104" priority="7" stopIfTrue="1" operator="greaterThan">
      <formula>$E$59*0.1</formula>
    </cfRule>
  </conditionalFormatting>
  <conditionalFormatting sqref="C59:D59">
    <cfRule type="cellIs" dxfId="103" priority="6" stopIfTrue="1" operator="greaterThan">
      <formula>$D$61</formula>
    </cfRule>
  </conditionalFormatting>
  <conditionalFormatting sqref="C60 E60 C29 E29">
    <cfRule type="cellIs" dxfId="102" priority="5" stopIfTrue="1" operator="lessThan">
      <formula>0</formula>
    </cfRule>
  </conditionalFormatting>
  <conditionalFormatting sqref="D28">
    <cfRule type="cellIs" dxfId="101" priority="4" stopIfTrue="1" operator="greaterThan">
      <formula>$D$30</formula>
    </cfRule>
  </conditionalFormatting>
  <conditionalFormatting sqref="C28">
    <cfRule type="cellIs" dxfId="100" priority="3" stopIfTrue="1" operator="greaterThan">
      <formula>$C$30</formula>
    </cfRule>
  </conditionalFormatting>
  <conditionalFormatting sqref="D60">
    <cfRule type="cellIs" dxfId="99" priority="2" stopIfTrue="1" operator="lessThan">
      <formula>0</formula>
    </cfRule>
  </conditionalFormatting>
  <conditionalFormatting sqref="D29">
    <cfRule type="cellIs" dxfId="98" priority="1" stopIfTrue="1" operator="lessThan">
      <formula>0</formula>
    </cfRule>
  </conditionalFormatting>
  <pageMargins left="0.7" right="0.7" top="0.75" bottom="0.75" header="0.3" footer="0.3"/>
  <pageSetup scale="67" orientation="portrait" blackAndWhite="1" r:id="rId1"/>
  <headerFooter>
    <oddHeader>&amp;RState of Kansas
City</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66"/>
  <sheetViews>
    <sheetView topLeftCell="A28" workbookViewId="0">
      <selection activeCell="B42" sqref="B42"/>
    </sheetView>
  </sheetViews>
  <sheetFormatPr defaultRowHeight="15.75"/>
  <cols>
    <col min="1" max="1" width="2.44140625" style="32" customWidth="1"/>
    <col min="2" max="2" width="31.109375" style="32" customWidth="1"/>
    <col min="3" max="4" width="15.77734375" style="32" customWidth="1"/>
    <col min="5" max="5" width="16.109375" style="32" customWidth="1"/>
    <col min="6" max="16384" width="8.88671875" style="32"/>
  </cols>
  <sheetData>
    <row r="1" spans="2:5">
      <c r="B1" s="197" t="str">
        <f>(inputPrYr!D2)</f>
        <v>City of Garnett</v>
      </c>
      <c r="C1" s="47"/>
      <c r="D1" s="47"/>
      <c r="E1" s="248">
        <f>inputPrYr!C5</f>
        <v>2014</v>
      </c>
    </row>
    <row r="2" spans="2:5">
      <c r="B2" s="47"/>
      <c r="C2" s="47"/>
      <c r="D2" s="47"/>
      <c r="E2" s="169"/>
    </row>
    <row r="3" spans="2:5">
      <c r="B3" s="249" t="s">
        <v>174</v>
      </c>
      <c r="C3" s="289"/>
      <c r="D3" s="289"/>
      <c r="E3" s="289"/>
    </row>
    <row r="4" spans="2:5">
      <c r="B4" s="52" t="s">
        <v>106</v>
      </c>
      <c r="C4" s="715" t="s">
        <v>950</v>
      </c>
      <c r="D4" s="716" t="s">
        <v>951</v>
      </c>
      <c r="E4" s="144" t="s">
        <v>952</v>
      </c>
    </row>
    <row r="5" spans="2:5">
      <c r="B5" s="535" t="str">
        <f>inputPrYr!B48</f>
        <v>Recreation Center</v>
      </c>
      <c r="C5" s="225" t="str">
        <f>CONCATENATE("Actual for ",E1-2,"")</f>
        <v>Actual for 2012</v>
      </c>
      <c r="D5" s="225" t="str">
        <f>CONCATENATE("Estimate for ",E1-1,"")</f>
        <v>Estimate for 2013</v>
      </c>
      <c r="E5" s="208" t="str">
        <f>CONCATENATE("Year for ",E1,"")</f>
        <v>Year for 2014</v>
      </c>
    </row>
    <row r="6" spans="2:5">
      <c r="B6" s="252" t="s">
        <v>228</v>
      </c>
      <c r="C6" s="67">
        <v>6852</v>
      </c>
      <c r="D6" s="228">
        <f>C30</f>
        <v>15300</v>
      </c>
      <c r="E6" s="228">
        <f>D30</f>
        <v>6252</v>
      </c>
    </row>
    <row r="7" spans="2:5" s="45" customFormat="1">
      <c r="B7" s="256" t="s">
        <v>230</v>
      </c>
      <c r="C7" s="87"/>
      <c r="D7" s="87"/>
      <c r="E7" s="87"/>
    </row>
    <row r="8" spans="2:5">
      <c r="B8" s="273" t="s">
        <v>1063</v>
      </c>
      <c r="C8" s="67">
        <v>0</v>
      </c>
      <c r="D8" s="67">
        <v>0</v>
      </c>
      <c r="E8" s="67">
        <v>5000</v>
      </c>
    </row>
    <row r="9" spans="2:5">
      <c r="B9" s="273" t="s">
        <v>1103</v>
      </c>
      <c r="C9" s="67">
        <v>23608</v>
      </c>
      <c r="D9" s="67">
        <v>1000</v>
      </c>
      <c r="E9" s="67">
        <v>1000</v>
      </c>
    </row>
    <row r="10" spans="2:5">
      <c r="B10" s="273" t="s">
        <v>1105</v>
      </c>
      <c r="C10" s="67">
        <v>24503</v>
      </c>
      <c r="D10" s="67">
        <v>27000</v>
      </c>
      <c r="E10" s="67">
        <v>32000</v>
      </c>
    </row>
    <row r="11" spans="2:5">
      <c r="B11" s="273" t="s">
        <v>1042</v>
      </c>
      <c r="C11" s="67">
        <v>590</v>
      </c>
      <c r="D11" s="67">
        <v>500</v>
      </c>
      <c r="E11" s="67">
        <v>500</v>
      </c>
    </row>
    <row r="12" spans="2:5">
      <c r="B12" s="273" t="s">
        <v>1106</v>
      </c>
      <c r="C12" s="67">
        <v>0</v>
      </c>
      <c r="D12" s="67">
        <v>0</v>
      </c>
      <c r="E12" s="67">
        <v>5000</v>
      </c>
    </row>
    <row r="13" spans="2:5">
      <c r="B13" s="261" t="s">
        <v>1149</v>
      </c>
      <c r="C13" s="67">
        <v>90</v>
      </c>
      <c r="D13" s="67">
        <v>10000</v>
      </c>
      <c r="E13" s="67">
        <v>10000</v>
      </c>
    </row>
    <row r="14" spans="2:5">
      <c r="B14" s="159" t="s">
        <v>14</v>
      </c>
      <c r="C14" s="67">
        <v>3789</v>
      </c>
      <c r="D14" s="258">
        <v>1000</v>
      </c>
      <c r="E14" s="258">
        <v>1000</v>
      </c>
    </row>
    <row r="15" spans="2:5">
      <c r="B15" s="252" t="s">
        <v>784</v>
      </c>
      <c r="C15" s="299" t="str">
        <f>IF(C16*0.1&lt;C14,"Exceed 10% Rule","")</f>
        <v/>
      </c>
      <c r="D15" s="263" t="str">
        <f>IF(D16*0.1&lt;D14,"Exceed 10% Rule","")</f>
        <v/>
      </c>
      <c r="E15" s="263" t="str">
        <f>IF(E16*0.1&lt;E14,"Exceed 10% Rule","")</f>
        <v/>
      </c>
    </row>
    <row r="16" spans="2:5">
      <c r="B16" s="264" t="s">
        <v>115</v>
      </c>
      <c r="C16" s="267">
        <f>SUM(C8:C14)</f>
        <v>52580</v>
      </c>
      <c r="D16" s="267">
        <f>SUM(D8:D14)</f>
        <v>39500</v>
      </c>
      <c r="E16" s="267">
        <f>SUM(E8:E14)</f>
        <v>54500</v>
      </c>
    </row>
    <row r="17" spans="2:5">
      <c r="B17" s="264" t="s">
        <v>116</v>
      </c>
      <c r="C17" s="267">
        <f>C6+C16</f>
        <v>59432</v>
      </c>
      <c r="D17" s="267">
        <f>D6+D16</f>
        <v>54800</v>
      </c>
      <c r="E17" s="267">
        <f>E6+E16</f>
        <v>60752</v>
      </c>
    </row>
    <row r="18" spans="2:5">
      <c r="B18" s="150" t="s">
        <v>118</v>
      </c>
      <c r="C18" s="228"/>
      <c r="D18" s="228"/>
      <c r="E18" s="228"/>
    </row>
    <row r="19" spans="2:5">
      <c r="B19" s="273" t="s">
        <v>1055</v>
      </c>
      <c r="C19" s="67">
        <v>22057</v>
      </c>
      <c r="D19" s="67">
        <v>33948</v>
      </c>
      <c r="E19" s="67">
        <v>36349</v>
      </c>
    </row>
    <row r="20" spans="2:5">
      <c r="B20" s="273" t="s">
        <v>1014</v>
      </c>
      <c r="C20" s="67">
        <v>2199</v>
      </c>
      <c r="D20" s="67">
        <v>5600</v>
      </c>
      <c r="E20" s="67">
        <v>5700</v>
      </c>
    </row>
    <row r="21" spans="2:5">
      <c r="B21" s="273" t="s">
        <v>1015</v>
      </c>
      <c r="C21" s="67">
        <v>5930</v>
      </c>
      <c r="D21" s="67">
        <v>3000</v>
      </c>
      <c r="E21" s="67">
        <v>3500</v>
      </c>
    </row>
    <row r="22" spans="2:5">
      <c r="B22" s="273" t="s">
        <v>1016</v>
      </c>
      <c r="C22" s="67">
        <v>13946</v>
      </c>
      <c r="D22" s="67">
        <v>6000</v>
      </c>
      <c r="E22" s="67">
        <v>10000</v>
      </c>
    </row>
    <row r="23" spans="2:5">
      <c r="B23" s="273"/>
      <c r="C23" s="67"/>
      <c r="D23" s="67"/>
      <c r="E23" s="67"/>
    </row>
    <row r="24" spans="2:5">
      <c r="B24" s="273"/>
      <c r="C24" s="67"/>
      <c r="D24" s="67"/>
      <c r="E24" s="67"/>
    </row>
    <row r="25" spans="2:5">
      <c r="B25" s="273"/>
      <c r="C25" s="67"/>
      <c r="D25" s="67"/>
      <c r="E25" s="67"/>
    </row>
    <row r="26" spans="2:5">
      <c r="B26" s="273"/>
      <c r="C26" s="67"/>
      <c r="D26" s="67"/>
      <c r="E26" s="67"/>
    </row>
    <row r="27" spans="2:5">
      <c r="B27" s="274" t="s">
        <v>14</v>
      </c>
      <c r="C27" s="67"/>
      <c r="D27" s="258"/>
      <c r="E27" s="258"/>
    </row>
    <row r="28" spans="2:5">
      <c r="B28" s="274" t="s">
        <v>787</v>
      </c>
      <c r="C28" s="299" t="str">
        <f>IF(C29*0.1&lt;C27,"Exceed 10% Rule","")</f>
        <v/>
      </c>
      <c r="D28" s="263" t="str">
        <f>IF(D29*0.1&lt;D27,"Exceed 10% Rule","")</f>
        <v/>
      </c>
      <c r="E28" s="263" t="str">
        <f>IF(E29*0.1&lt;E27,"Exceed 10% Rule","")</f>
        <v/>
      </c>
    </row>
    <row r="29" spans="2:5">
      <c r="B29" s="264" t="s">
        <v>122</v>
      </c>
      <c r="C29" s="267">
        <f>SUM(C19:C27)</f>
        <v>44132</v>
      </c>
      <c r="D29" s="267">
        <f>SUM(D19:D27)</f>
        <v>48548</v>
      </c>
      <c r="E29" s="267">
        <f>SUM(E19:E27)</f>
        <v>55549</v>
      </c>
    </row>
    <row r="30" spans="2:5">
      <c r="B30" s="150" t="s">
        <v>229</v>
      </c>
      <c r="C30" s="82">
        <f>C17-C29</f>
        <v>15300</v>
      </c>
      <c r="D30" s="82">
        <f>D17-D29</f>
        <v>6252</v>
      </c>
      <c r="E30" s="82">
        <f>E17-E29</f>
        <v>5203</v>
      </c>
    </row>
    <row r="31" spans="2:5">
      <c r="B31" s="136" t="str">
        <f>CONCATENATE("",E1-2,"/",E1-1," Budget Authority Amount:")</f>
        <v>2012/2013 Budget Authority Amount:</v>
      </c>
      <c r="C31" s="241">
        <f>inputOth!B87</f>
        <v>0</v>
      </c>
      <c r="D31" s="241">
        <f>inputPrYr!D48</f>
        <v>44900</v>
      </c>
      <c r="E31" s="381" t="str">
        <f>IF(E30&lt;0,"See Tab E","")</f>
        <v/>
      </c>
    </row>
    <row r="32" spans="2:5">
      <c r="B32" s="136"/>
      <c r="C32" s="382" t="str">
        <f>IF(C29&gt;C31,"See Tab A","")</f>
        <v>See Tab A</v>
      </c>
      <c r="D32" s="277" t="str">
        <f>IF(D29&gt;D31,"See Tab C","")</f>
        <v>See Tab C</v>
      </c>
      <c r="E32" s="97"/>
    </row>
    <row r="33" spans="2:5">
      <c r="B33" s="136"/>
      <c r="C33" s="382" t="str">
        <f>IF(C30&lt;0,"See Tab B","")</f>
        <v/>
      </c>
      <c r="D33" s="277" t="str">
        <f>IF(D30&lt;0,"See Tab D","")</f>
        <v/>
      </c>
      <c r="E33" s="97"/>
    </row>
    <row r="34" spans="2:5">
      <c r="B34" s="47"/>
      <c r="C34" s="383"/>
      <c r="D34" s="97"/>
      <c r="E34" s="97"/>
    </row>
    <row r="35" spans="2:5">
      <c r="B35" s="52" t="s">
        <v>106</v>
      </c>
      <c r="C35" s="384"/>
      <c r="D35" s="294"/>
      <c r="E35" s="294"/>
    </row>
    <row r="36" spans="2:5">
      <c r="B36" s="47"/>
      <c r="C36" s="715" t="s">
        <v>950</v>
      </c>
      <c r="D36" s="716" t="s">
        <v>951</v>
      </c>
      <c r="E36" s="144" t="s">
        <v>952</v>
      </c>
    </row>
    <row r="37" spans="2:5">
      <c r="B37" s="535" t="str">
        <f>inputPrYr!B49</f>
        <v>Community Development</v>
      </c>
      <c r="C37" s="225" t="str">
        <f>CONCATENATE("Actual for ",$E$1-2,"")</f>
        <v>Actual for 2012</v>
      </c>
      <c r="D37" s="225" t="str">
        <f>CONCATENATE("Estimate for ",$E$1-1,"")</f>
        <v>Estimate for 2013</v>
      </c>
      <c r="E37" s="208" t="str">
        <f>CONCATENATE("Year for ",$E$1,"")</f>
        <v>Year for 2014</v>
      </c>
    </row>
    <row r="38" spans="2:5">
      <c r="B38" s="252" t="s">
        <v>228</v>
      </c>
      <c r="C38" s="67">
        <v>0</v>
      </c>
      <c r="D38" s="228">
        <f>C61</f>
        <v>0</v>
      </c>
      <c r="E38" s="228">
        <f>D61</f>
        <v>15000</v>
      </c>
    </row>
    <row r="39" spans="2:5" s="45" customFormat="1">
      <c r="B39" s="256" t="s">
        <v>230</v>
      </c>
      <c r="C39" s="87"/>
      <c r="D39" s="87"/>
      <c r="E39" s="87"/>
    </row>
    <row r="40" spans="2:5">
      <c r="B40" s="273" t="s">
        <v>1008</v>
      </c>
      <c r="C40" s="67">
        <v>0</v>
      </c>
      <c r="D40" s="67">
        <v>15000</v>
      </c>
      <c r="E40" s="67">
        <v>19000</v>
      </c>
    </row>
    <row r="41" spans="2:5">
      <c r="B41" s="273" t="s">
        <v>1145</v>
      </c>
      <c r="C41" s="67">
        <v>0</v>
      </c>
      <c r="D41" s="67">
        <v>0</v>
      </c>
      <c r="E41" s="67">
        <v>1020</v>
      </c>
    </row>
    <row r="42" spans="2:5">
      <c r="B42" s="273"/>
      <c r="C42" s="67">
        <v>0</v>
      </c>
      <c r="D42" s="67"/>
      <c r="E42" s="67">
        <v>0</v>
      </c>
    </row>
    <row r="43" spans="2:5">
      <c r="B43" s="273"/>
      <c r="C43" s="67"/>
      <c r="D43" s="67"/>
      <c r="E43" s="67"/>
    </row>
    <row r="44" spans="2:5">
      <c r="B44" s="261" t="s">
        <v>114</v>
      </c>
      <c r="C44" s="67"/>
      <c r="D44" s="67"/>
      <c r="E44" s="67"/>
    </row>
    <row r="45" spans="2:5">
      <c r="B45" s="159" t="s">
        <v>14</v>
      </c>
      <c r="C45" s="67"/>
      <c r="D45" s="258"/>
      <c r="E45" s="258"/>
    </row>
    <row r="46" spans="2:5">
      <c r="B46" s="252" t="s">
        <v>784</v>
      </c>
      <c r="C46" s="299" t="str">
        <f>IF(C47*0.1&lt;C45,"Exceed 10% Rule","")</f>
        <v/>
      </c>
      <c r="D46" s="263" t="str">
        <f>IF(D47*0.1&lt;D45,"Exceed 10% Rule","")</f>
        <v/>
      </c>
      <c r="E46" s="263" t="str">
        <f>IF(E47*0.1&lt;E45,"Exceed 10% Rule","")</f>
        <v/>
      </c>
    </row>
    <row r="47" spans="2:5">
      <c r="B47" s="264" t="s">
        <v>115</v>
      </c>
      <c r="C47" s="267">
        <f>SUM(C40:C45)</f>
        <v>0</v>
      </c>
      <c r="D47" s="267">
        <f>SUM(D40:D45)</f>
        <v>15000</v>
      </c>
      <c r="E47" s="267">
        <f>SUM(E40:E45)</f>
        <v>20020</v>
      </c>
    </row>
    <row r="48" spans="2:5">
      <c r="B48" s="264" t="s">
        <v>116</v>
      </c>
      <c r="C48" s="267">
        <f>C38+C47</f>
        <v>0</v>
      </c>
      <c r="D48" s="267">
        <f>D38+D47</f>
        <v>15000</v>
      </c>
      <c r="E48" s="267">
        <f>E38+E47</f>
        <v>35020</v>
      </c>
    </row>
    <row r="49" spans="2:5">
      <c r="B49" s="150" t="s">
        <v>118</v>
      </c>
      <c r="C49" s="228"/>
      <c r="D49" s="228"/>
      <c r="E49" s="228"/>
    </row>
    <row r="50" spans="2:5">
      <c r="B50" s="273" t="s">
        <v>1014</v>
      </c>
      <c r="C50" s="67">
        <v>0</v>
      </c>
      <c r="D50" s="67">
        <v>0</v>
      </c>
      <c r="E50" s="67">
        <v>4900</v>
      </c>
    </row>
    <row r="51" spans="2:5">
      <c r="B51" s="273" t="s">
        <v>1015</v>
      </c>
      <c r="C51" s="67">
        <v>0</v>
      </c>
      <c r="D51" s="67">
        <v>0</v>
      </c>
      <c r="E51" s="67">
        <v>4350</v>
      </c>
    </row>
    <row r="52" spans="2:5">
      <c r="B52" s="273" t="s">
        <v>1016</v>
      </c>
      <c r="C52" s="67">
        <v>0</v>
      </c>
      <c r="D52" s="67">
        <v>0</v>
      </c>
      <c r="E52" s="67">
        <v>16000</v>
      </c>
    </row>
    <row r="53" spans="2:5">
      <c r="B53" s="273"/>
      <c r="C53" s="67"/>
      <c r="D53" s="67"/>
      <c r="E53" s="67"/>
    </row>
    <row r="54" spans="2:5">
      <c r="B54" s="273"/>
      <c r="C54" s="67"/>
      <c r="D54" s="67"/>
      <c r="E54" s="67"/>
    </row>
    <row r="55" spans="2:5">
      <c r="B55" s="273"/>
      <c r="C55" s="67"/>
      <c r="D55" s="67"/>
      <c r="E55" s="67"/>
    </row>
    <row r="56" spans="2:5">
      <c r="B56" s="273"/>
      <c r="C56" s="67"/>
      <c r="D56" s="67"/>
      <c r="E56" s="67"/>
    </row>
    <row r="57" spans="2:5">
      <c r="B57" s="273"/>
      <c r="C57" s="67"/>
      <c r="D57" s="67"/>
      <c r="E57" s="67"/>
    </row>
    <row r="58" spans="2:5">
      <c r="B58" s="274" t="s">
        <v>14</v>
      </c>
      <c r="C58" s="67"/>
      <c r="D58" s="258"/>
      <c r="E58" s="258"/>
    </row>
    <row r="59" spans="2:5">
      <c r="B59" s="274" t="s">
        <v>785</v>
      </c>
      <c r="C59" s="299" t="str">
        <f>IF(C60*0.1&lt;C58,"Exceed 10% Rule","")</f>
        <v/>
      </c>
      <c r="D59" s="263" t="str">
        <f>IF(D60*0.1&lt;D58,"Exceed 10% Rule","")</f>
        <v/>
      </c>
      <c r="E59" s="263" t="str">
        <f>IF(E60*0.1&lt;E58,"Exceed 10% Rule","")</f>
        <v/>
      </c>
    </row>
    <row r="60" spans="2:5">
      <c r="B60" s="264" t="s">
        <v>122</v>
      </c>
      <c r="C60" s="267">
        <f>SUM(C50:C58)</f>
        <v>0</v>
      </c>
      <c r="D60" s="267">
        <f>SUM(D50:D58)</f>
        <v>0</v>
      </c>
      <c r="E60" s="267">
        <f>SUM(E50:E58)</f>
        <v>25250</v>
      </c>
    </row>
    <row r="61" spans="2:5">
      <c r="B61" s="150" t="s">
        <v>229</v>
      </c>
      <c r="C61" s="82">
        <f>C48-C60</f>
        <v>0</v>
      </c>
      <c r="D61" s="82">
        <f>D48-D60</f>
        <v>15000</v>
      </c>
      <c r="E61" s="82">
        <f>E48-E60</f>
        <v>9770</v>
      </c>
    </row>
    <row r="62" spans="2:5">
      <c r="B62" s="136" t="str">
        <f>CONCATENATE("",E1-2,"/",E1-1," Budget Authority Amount:")</f>
        <v>2012/2013 Budget Authority Amount:</v>
      </c>
      <c r="C62" s="241">
        <f>inputOth!B88</f>
        <v>0</v>
      </c>
      <c r="D62" s="241">
        <f>inputPrYr!D49</f>
        <v>0</v>
      </c>
      <c r="E62" s="381" t="str">
        <f>IF(E61&lt;0,"See Tab E","")</f>
        <v/>
      </c>
    </row>
    <row r="63" spans="2:5">
      <c r="B63" s="136"/>
      <c r="C63" s="277" t="str">
        <f>IF(C60&gt;C62,"See Tab A","")</f>
        <v/>
      </c>
      <c r="D63" s="277" t="str">
        <f>IF(D60&gt;D62,"See Tab C","")</f>
        <v/>
      </c>
      <c r="E63" s="47"/>
    </row>
    <row r="64" spans="2:5">
      <c r="B64" s="136"/>
      <c r="C64" s="277" t="str">
        <f>IF(C61&lt;0,"See Tab B","")</f>
        <v/>
      </c>
      <c r="D64" s="277" t="str">
        <f>IF(D61&lt;0,"See Tab D","")</f>
        <v/>
      </c>
      <c r="E64" s="47"/>
    </row>
    <row r="65" spans="2:5">
      <c r="B65" s="47"/>
      <c r="C65" s="47"/>
      <c r="D65" s="47"/>
      <c r="E65" s="47"/>
    </row>
    <row r="66" spans="2:5">
      <c r="B66" s="405" t="s">
        <v>125</v>
      </c>
      <c r="C66" s="282">
        <v>20</v>
      </c>
      <c r="D66" s="47"/>
      <c r="E66" s="47"/>
    </row>
  </sheetData>
  <conditionalFormatting sqref="C14">
    <cfRule type="cellIs" dxfId="97" priority="18" stopIfTrue="1" operator="greaterThan">
      <formula>$C$16*0.1</formula>
    </cfRule>
  </conditionalFormatting>
  <conditionalFormatting sqref="D14">
    <cfRule type="cellIs" dxfId="96" priority="17" stopIfTrue="1" operator="greaterThan">
      <formula>$D$16*0.1</formula>
    </cfRule>
  </conditionalFormatting>
  <conditionalFormatting sqref="E14">
    <cfRule type="cellIs" dxfId="95" priority="16" stopIfTrue="1" operator="greaterThan">
      <formula>$E$16*0.1</formula>
    </cfRule>
  </conditionalFormatting>
  <conditionalFormatting sqref="C27">
    <cfRule type="cellIs" dxfId="94" priority="15" stopIfTrue="1" operator="greaterThan">
      <formula>$C$29*0.1</formula>
    </cfRule>
  </conditionalFormatting>
  <conditionalFormatting sqref="D27">
    <cfRule type="cellIs" dxfId="93" priority="14" stopIfTrue="1" operator="greaterThan">
      <formula>$D$29*0.1</formula>
    </cfRule>
  </conditionalFormatting>
  <conditionalFormatting sqref="E27">
    <cfRule type="cellIs" dxfId="92" priority="13" stopIfTrue="1" operator="greaterThan">
      <formula>$E$29*0.1</formula>
    </cfRule>
  </conditionalFormatting>
  <conditionalFormatting sqref="C45">
    <cfRule type="cellIs" dxfId="91" priority="12" stopIfTrue="1" operator="greaterThan">
      <formula>$C$47*0.1</formula>
    </cfRule>
  </conditionalFormatting>
  <conditionalFormatting sqref="D45">
    <cfRule type="cellIs" dxfId="90" priority="11" stopIfTrue="1" operator="greaterThan">
      <formula>$D$47*0.1</formula>
    </cfRule>
  </conditionalFormatting>
  <conditionalFormatting sqref="E45">
    <cfRule type="cellIs" dxfId="89" priority="10" stopIfTrue="1" operator="greaterThan">
      <formula>$E$47*0.1</formula>
    </cfRule>
  </conditionalFormatting>
  <conditionalFormatting sqref="C58">
    <cfRule type="cellIs" dxfId="88" priority="9" stopIfTrue="1" operator="greaterThan">
      <formula>$C$60*0.1</formula>
    </cfRule>
  </conditionalFormatting>
  <conditionalFormatting sqref="D58">
    <cfRule type="cellIs" dxfId="87" priority="8" stopIfTrue="1" operator="greaterThan">
      <formula>$D$60*0.1</formula>
    </cfRule>
  </conditionalFormatting>
  <conditionalFormatting sqref="E58">
    <cfRule type="cellIs" dxfId="86" priority="7" stopIfTrue="1" operator="greaterThan">
      <formula>$E$60*0.1</formula>
    </cfRule>
  </conditionalFormatting>
  <conditionalFormatting sqref="C60:D60">
    <cfRule type="cellIs" dxfId="85" priority="6" stopIfTrue="1" operator="greaterThan">
      <formula>$D$62</formula>
    </cfRule>
  </conditionalFormatting>
  <conditionalFormatting sqref="C61 E61 C30 E30">
    <cfRule type="cellIs" dxfId="84" priority="5" stopIfTrue="1" operator="lessThan">
      <formula>0</formula>
    </cfRule>
  </conditionalFormatting>
  <conditionalFormatting sqref="D29">
    <cfRule type="cellIs" dxfId="83" priority="4" stopIfTrue="1" operator="greaterThan">
      <formula>$D$31</formula>
    </cfRule>
  </conditionalFormatting>
  <conditionalFormatting sqref="C29">
    <cfRule type="cellIs" dxfId="82" priority="3" stopIfTrue="1" operator="greaterThan">
      <formula>$C$31</formula>
    </cfRule>
  </conditionalFormatting>
  <conditionalFormatting sqref="D61">
    <cfRule type="cellIs" dxfId="81" priority="2" stopIfTrue="1" operator="lessThan">
      <formula>0</formula>
    </cfRule>
  </conditionalFormatting>
  <conditionalFormatting sqref="D30">
    <cfRule type="cellIs" dxfId="80" priority="1" stopIfTrue="1" operator="lessThan">
      <formula>0</formula>
    </cfRule>
  </conditionalFormatting>
  <pageMargins left="0.7" right="0.7" top="0.75" bottom="0.75" header="0.3" footer="0.3"/>
  <pageSetup scale="67" orientation="portrait" blackAndWhite="1" r:id="rId1"/>
  <headerFooter>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A1:M70"/>
  <sheetViews>
    <sheetView zoomScale="75" workbookViewId="0">
      <selection activeCell="B15" sqref="B15"/>
    </sheetView>
  </sheetViews>
  <sheetFormatPr defaultRowHeight="15.75"/>
  <cols>
    <col min="1" max="1" width="20.77734375" style="32" customWidth="1"/>
    <col min="2" max="2" width="15.77734375" style="32" customWidth="1"/>
    <col min="3" max="3" width="10.77734375" style="32" customWidth="1"/>
    <col min="4" max="4" width="15.77734375" style="32" customWidth="1"/>
    <col min="5" max="5" width="10.77734375" style="32" customWidth="1"/>
    <col min="6" max="6" width="15.77734375" style="32" customWidth="1"/>
    <col min="7" max="7" width="12.77734375" style="32" customWidth="1"/>
    <col min="8" max="8" width="10.77734375" style="32" customWidth="1"/>
    <col min="9" max="9" width="8.88671875" style="32"/>
    <col min="10" max="10" width="12.44140625" style="32" customWidth="1"/>
    <col min="11" max="11" width="12.33203125" style="32" customWidth="1"/>
    <col min="12" max="12" width="10.5546875" style="32" customWidth="1"/>
    <col min="13" max="13" width="12.109375" style="32" customWidth="1"/>
    <col min="14" max="16384" width="8.88671875" style="32"/>
  </cols>
  <sheetData>
    <row r="1" spans="1:9">
      <c r="A1" s="773" t="s">
        <v>170</v>
      </c>
      <c r="B1" s="773"/>
      <c r="C1" s="773"/>
      <c r="D1" s="773"/>
      <c r="E1" s="773"/>
      <c r="F1" s="773"/>
      <c r="G1" s="773"/>
      <c r="H1" s="773"/>
      <c r="I1" s="326"/>
    </row>
    <row r="2" spans="1:9" ht="18" customHeight="1">
      <c r="A2" s="47"/>
      <c r="B2" s="47"/>
      <c r="C2" s="47"/>
      <c r="D2" s="47"/>
      <c r="E2" s="47"/>
      <c r="F2" s="47"/>
      <c r="G2" s="47"/>
      <c r="H2" s="47">
        <f>inputPrYr!$C$5</f>
        <v>2014</v>
      </c>
    </row>
    <row r="3" spans="1:9" ht="18" customHeight="1">
      <c r="A3" s="765" t="s">
        <v>127</v>
      </c>
      <c r="B3" s="765"/>
      <c r="C3" s="765"/>
      <c r="D3" s="765"/>
      <c r="E3" s="765"/>
      <c r="F3" s="765"/>
      <c r="G3" s="765"/>
      <c r="H3" s="765"/>
    </row>
    <row r="4" spans="1:9">
      <c r="A4" s="763" t="str">
        <f>inputPrYr!D2</f>
        <v>City of Garnett</v>
      </c>
      <c r="B4" s="763"/>
      <c r="C4" s="763"/>
      <c r="D4" s="763"/>
      <c r="E4" s="763"/>
      <c r="F4" s="763"/>
      <c r="G4" s="763"/>
      <c r="H4" s="763"/>
    </row>
    <row r="5" spans="1:9" ht="18" customHeight="1">
      <c r="A5" s="810" t="str">
        <f>CONCATENATE("will meet on ",inputBudSum!B7," at ",inputBudSum!B9," at ",inputBudSum!B11," for the purpose of hearing and")</f>
        <v>will meet on October 8, 2013 at 6:00 p.m. at City Hall for the purpose of hearing and</v>
      </c>
      <c r="B5" s="810"/>
      <c r="C5" s="810"/>
      <c r="D5" s="810"/>
      <c r="E5" s="810"/>
      <c r="F5" s="810"/>
      <c r="G5" s="810"/>
      <c r="H5" s="810"/>
    </row>
    <row r="6" spans="1:9" ht="16.5" customHeight="1">
      <c r="A6" s="765" t="s">
        <v>652</v>
      </c>
      <c r="B6" s="765"/>
      <c r="C6" s="765"/>
      <c r="D6" s="765"/>
      <c r="E6" s="765"/>
      <c r="F6" s="765"/>
      <c r="G6" s="765"/>
      <c r="H6" s="765"/>
    </row>
    <row r="7" spans="1:9" ht="16.5" customHeight="1">
      <c r="A7" s="809" t="str">
        <f>CONCATENATE("Detailed budget information is available at ",inputBudSum!B14," and will be available at this hearing.")</f>
        <v>Detailed budget information is available at City Hall and will be available at this hearing.</v>
      </c>
      <c r="B7" s="809"/>
      <c r="C7" s="809"/>
      <c r="D7" s="809"/>
      <c r="E7" s="809"/>
      <c r="F7" s="809"/>
      <c r="G7" s="809"/>
      <c r="H7" s="809"/>
    </row>
    <row r="8" spans="1:9">
      <c r="A8" s="55" t="s">
        <v>171</v>
      </c>
      <c r="B8" s="56"/>
      <c r="C8" s="56"/>
      <c r="D8" s="56"/>
      <c r="E8" s="56"/>
      <c r="F8" s="56"/>
      <c r="G8" s="56"/>
      <c r="H8" s="56"/>
    </row>
    <row r="9" spans="1:9">
      <c r="A9" s="138" t="str">
        <f>CONCATENATE("Proposed Budget ",H2," Expenditures and Amount of ",H2-1," Ad Valorem Tax establish the maximum limits of the ",H2," budget.")</f>
        <v>Proposed Budget 2014 Expenditures and Amount of 2013 Ad Valorem Tax establish the maximum limits of the 2014 budget.</v>
      </c>
      <c r="B9" s="56"/>
      <c r="C9" s="56"/>
      <c r="D9" s="56"/>
      <c r="E9" s="56"/>
      <c r="F9" s="56"/>
      <c r="G9" s="56"/>
      <c r="H9" s="56"/>
    </row>
    <row r="10" spans="1:9">
      <c r="A10" s="138" t="s">
        <v>235</v>
      </c>
      <c r="B10" s="56"/>
      <c r="C10" s="56"/>
      <c r="D10" s="56"/>
      <c r="E10" s="56"/>
      <c r="F10" s="56"/>
      <c r="G10" s="56"/>
      <c r="H10" s="56"/>
    </row>
    <row r="11" spans="1:9">
      <c r="A11" s="47"/>
      <c r="B11" s="289"/>
      <c r="C11" s="289"/>
      <c r="D11" s="289"/>
      <c r="E11" s="289"/>
      <c r="F11" s="289"/>
      <c r="G11" s="289"/>
      <c r="H11" s="289"/>
    </row>
    <row r="12" spans="1:9">
      <c r="A12" s="47"/>
      <c r="B12" s="327" t="str">
        <f>CONCATENATE("Prior Year Actual for ",H2-2,"")</f>
        <v>Prior Year Actual for 2012</v>
      </c>
      <c r="C12" s="141"/>
      <c r="D12" s="327" t="str">
        <f>CONCATENATE("Current Year Estimate for ",H2-1,"")</f>
        <v>Current Year Estimate for 2013</v>
      </c>
      <c r="E12" s="141"/>
      <c r="F12" s="139" t="str">
        <f>CONCATENATE("Proposed Budget Year for ",H2,"")</f>
        <v>Proposed Budget Year for 2014</v>
      </c>
      <c r="G12" s="140"/>
      <c r="H12" s="141"/>
    </row>
    <row r="13" spans="1:9" ht="21" customHeight="1">
      <c r="A13" s="47"/>
      <c r="B13" s="279"/>
      <c r="C13" s="144" t="s">
        <v>128</v>
      </c>
      <c r="D13" s="144"/>
      <c r="E13" s="144" t="s">
        <v>128</v>
      </c>
      <c r="F13" s="566" t="s">
        <v>10</v>
      </c>
      <c r="G13" s="144" t="str">
        <f>CONCATENATE("Amount of ",H2-1,"")</f>
        <v>Amount of 2013</v>
      </c>
      <c r="H13" s="144" t="s">
        <v>301</v>
      </c>
    </row>
    <row r="14" spans="1:9">
      <c r="A14" s="64" t="s">
        <v>129</v>
      </c>
      <c r="B14" s="148" t="s">
        <v>130</v>
      </c>
      <c r="C14" s="148" t="s">
        <v>131</v>
      </c>
      <c r="D14" s="148" t="s">
        <v>130</v>
      </c>
      <c r="E14" s="148" t="s">
        <v>131</v>
      </c>
      <c r="F14" s="567" t="s">
        <v>675</v>
      </c>
      <c r="G14" s="149" t="s">
        <v>107</v>
      </c>
      <c r="H14" s="148" t="s">
        <v>131</v>
      </c>
    </row>
    <row r="15" spans="1:9">
      <c r="A15" s="87" t="str">
        <f>inputPrYr!B17</f>
        <v>General</v>
      </c>
      <c r="B15" s="87">
        <f>IF('general page 7'!$C$111&lt;&gt;0,'general page 7'!$C$111,"  ")</f>
        <v>550818</v>
      </c>
      <c r="C15" s="328" t="str">
        <f>IF(inputPrYr!D84&gt;0,inputPrYr!D84,"  ")</f>
        <v xml:space="preserve">  </v>
      </c>
      <c r="D15" s="87">
        <f>IF('general page 7'!$D$111&lt;&gt;0,'general page 7'!$D$111,"  ")</f>
        <v>702420</v>
      </c>
      <c r="E15" s="328" t="str">
        <f>IF(inputOth!D21&gt;0,inputOth!D21,"  ")</f>
        <v xml:space="preserve">  </v>
      </c>
      <c r="F15" s="87">
        <f>IF('general page 7'!$E$111&lt;&gt;0,'general page 7'!$E$111,"  ")</f>
        <v>647406</v>
      </c>
      <c r="G15" s="87" t="str">
        <f>IF('general page 7'!$E$118&lt;&gt;0,'general page 7'!$E$118,"  ")</f>
        <v xml:space="preserve">  </v>
      </c>
      <c r="H15" s="328" t="str">
        <f>IF('general page 7'!E118&gt;0,ROUND(G15/$F$57*1000,3),"")</f>
        <v/>
      </c>
    </row>
    <row r="16" spans="1:9">
      <c r="A16" s="87" t="str">
        <f>inputPrYr!B18</f>
        <v>Debt Service</v>
      </c>
      <c r="B16" s="87">
        <f>IF('DebtSvs-library page 9'!C34&lt;&gt;0,'DebtSvs-library page 9'!C34,"  ")</f>
        <v>144032</v>
      </c>
      <c r="C16" s="328">
        <f>IF(inputPrYr!D85&gt;0,inputPrYr!D85,"  ")</f>
        <v>4.5279999999999996</v>
      </c>
      <c r="D16" s="87">
        <f>IF('DebtSvs-library page 9'!D34&lt;&gt;0,'DebtSvs-library page 9'!D34,"  ")</f>
        <v>104810</v>
      </c>
      <c r="E16" s="328">
        <f>IF(inputOth!D22&gt;0,inputOth!D22,"  ")</f>
        <v>2.0579999999999998</v>
      </c>
      <c r="F16" s="87">
        <f>IF('DebtSvs-library page 9'!E34&lt;&gt;0,'DebtSvs-library page 9'!E34,"  ")</f>
        <v>103660</v>
      </c>
      <c r="G16" s="87">
        <f>IF('DebtSvs-library page 9'!E41&lt;&gt;0,'DebtSvs-library page 9'!E41,"  ")</f>
        <v>43187</v>
      </c>
      <c r="H16" s="328">
        <f>IF('DebtSvs-library page 9'!E41&gt;0,ROUND(G16/$F$57*1000,3),"  ")</f>
        <v>2.4249999999999998</v>
      </c>
    </row>
    <row r="17" spans="1:8">
      <c r="A17" s="87" t="str">
        <f>IF(inputPrYr!$B19&gt;"  ",(inputPrYr!$B19),"  ")</f>
        <v>Library</v>
      </c>
      <c r="B17" s="87">
        <f>IF('DebtSvs-library page 9'!C74&lt;&gt;0,'DebtSvs-library page 9'!C74,"  ")</f>
        <v>126720</v>
      </c>
      <c r="C17" s="328">
        <f>IF(inputPrYr!D86&gt;0,inputPrYr!D86,"  ")</f>
        <v>5.5</v>
      </c>
      <c r="D17" s="87">
        <f>IF('DebtSvs-library page 9'!D74&lt;&gt;0,'DebtSvs-library page 9'!D74,"  ")</f>
        <v>133632</v>
      </c>
      <c r="E17" s="328">
        <f>IF(inputOth!D23&gt;0,inputOth!D23,"  ")</f>
        <v>5.665</v>
      </c>
      <c r="F17" s="87">
        <f>IF('DebtSvs-library page 9'!E74&lt;&gt;0,'DebtSvs-library page 9'!E74,"  ")</f>
        <v>142426</v>
      </c>
      <c r="G17" s="87">
        <f>IF('DebtSvs-library page 9'!E81&lt;&gt;0,'DebtSvs-library page 9'!E81,"  ")</f>
        <v>107910</v>
      </c>
      <c r="H17" s="328">
        <f>IF('DebtSvs-library page 9'!E81&lt;&gt;0,ROUND(G17/$F$57*1000,3),"  ")</f>
        <v>6.06</v>
      </c>
    </row>
    <row r="18" spans="1:8">
      <c r="A18" s="87" t="str">
        <f>IF(inputPrYr!$B21&gt;"  ",(inputPrYr!$B21),"  ")</f>
        <v>Airport</v>
      </c>
      <c r="B18" s="87">
        <f>IF('Airport_Park page 10'!$C$33&gt;0,'Airport_Park page 10'!$C$33,"  ")</f>
        <v>59623</v>
      </c>
      <c r="C18" s="328">
        <f>IF(inputPrYr!D87&gt;0,inputPrYr!D87,"  ")</f>
        <v>1.5760000000000001</v>
      </c>
      <c r="D18" s="87">
        <f>IF('Airport_Park page 10'!$D$33&gt;0,'Airport_Park page 10'!$D$33,"  ")</f>
        <v>66770</v>
      </c>
      <c r="E18" s="328">
        <f>IF(inputOth!D24&gt;0,inputOth!D24,"  ")</f>
        <v>2.08</v>
      </c>
      <c r="F18" s="87">
        <f>IF('Airport_Park page 10'!$E$33&gt;0,'Airport_Park page 10'!$E$33,"  ")</f>
        <v>67101</v>
      </c>
      <c r="G18" s="87">
        <f>IF('Airport_Park page 10'!$E$40&lt;&gt;0,'Airport_Park page 10'!$E$40,"  ")</f>
        <v>29394</v>
      </c>
      <c r="H18" s="328">
        <f>IF('Airport_Park page 10'!E40&lt;&gt;0,ROUND(G18/$F$57*1000,3),"  ")</f>
        <v>1.651</v>
      </c>
    </row>
    <row r="19" spans="1:8">
      <c r="A19" s="87" t="str">
        <f>IF(inputPrYr!$B22&gt;"  ",(inputPrYr!$B22),"  ")</f>
        <v>Park</v>
      </c>
      <c r="B19" s="87">
        <f>IF('Airport_Park page 10'!$C$73&gt;0,'Airport_Park page 10'!$C$73,"  ")</f>
        <v>164708</v>
      </c>
      <c r="C19" s="328">
        <f>IF(inputPrYr!D88&gt;0,inputPrYr!D88,"  ")</f>
        <v>5.1959999999999997</v>
      </c>
      <c r="D19" s="87">
        <f>IF('Airport_Park page 10'!$D$73&gt;0,'Airport_Park page 10'!$D$73,"  ")</f>
        <v>147814</v>
      </c>
      <c r="E19" s="328">
        <f>IF(inputOth!D25&gt;0,inputOth!D25,"  ")</f>
        <v>9.1050000000000004</v>
      </c>
      <c r="F19" s="87">
        <f>IF('Airport_Park page 10'!$E$73&gt;0,'Airport_Park page 10'!$E$73,"  ")</f>
        <v>156143</v>
      </c>
      <c r="G19" s="87">
        <f>IF('Airport_Park page 10'!$E$80&lt;&gt;0,'Airport_Park page 10'!$E$80,"  ")</f>
        <v>90630</v>
      </c>
      <c r="H19" s="328">
        <f>IF('Airport_Park page 10'!E80&lt;&gt;0,ROUND(G19/$F$57*1000,3),"  ")</f>
        <v>5.09</v>
      </c>
    </row>
    <row r="20" spans="1:8">
      <c r="A20" s="87" t="str">
        <f>IF(inputPrYr!$B23&gt;"  ",(inputPrYr!$B23),"  ")</f>
        <v xml:space="preserve">Recreation </v>
      </c>
      <c r="B20" s="87">
        <f>IF('Rec_Law Enf page11'!$C$35&gt;0,'Rec_Law Enf page11'!$C$35,"  ")</f>
        <v>142476</v>
      </c>
      <c r="C20" s="328">
        <f>IF(inputPrYr!D89&gt;0,inputPrYr!D89,"  ")</f>
        <v>4.0570000000000004</v>
      </c>
      <c r="D20" s="87">
        <f>IF('Rec_Law Enf page11'!$D$35&gt;0,'Rec_Law Enf page11'!$D$35,"  ")</f>
        <v>165620</v>
      </c>
      <c r="E20" s="328">
        <f>IF(inputOth!D26&gt;0,inputOth!D26,"  ")</f>
        <v>14.686</v>
      </c>
      <c r="F20" s="87">
        <f>IF('Rec_Law Enf page11'!$E$35&gt;0,'Rec_Law Enf page11'!$E$35,"  ")</f>
        <v>168464</v>
      </c>
      <c r="G20" s="87">
        <f>IF('Rec_Law Enf page11'!$E$42&lt;&gt;0,'Rec_Law Enf page11'!$E$42,"  ")</f>
        <v>69486</v>
      </c>
      <c r="H20" s="328">
        <f>IF('Rec_Law Enf page11'!E42&lt;&gt;0,ROUND(G20/$F$57*1000,3),"  ")</f>
        <v>3.9020000000000001</v>
      </c>
    </row>
    <row r="21" spans="1:8">
      <c r="A21" s="87" t="str">
        <f>IF(inputPrYr!$B24&gt;"  ",(inputPrYr!$B24),"  ")</f>
        <v>Law Enforcement</v>
      </c>
      <c r="B21" s="87">
        <f>IF('Rec_Law Enf page11'!$C$75&gt;0,'Rec_Law Enf page11'!$C$75,"  ")</f>
        <v>405520</v>
      </c>
      <c r="C21" s="328">
        <f>IF(inputPrYr!D90&gt;0,inputPrYr!D90,"  ")</f>
        <v>13.21</v>
      </c>
      <c r="D21" s="87">
        <f>IF('Rec_Law Enf page11'!$D$75&gt;0,'Rec_Law Enf page11'!$D$75,"  ")</f>
        <v>406925</v>
      </c>
      <c r="E21" s="328">
        <f>IF(inputOth!D27&gt;0,inputOth!D27,"  ")</f>
        <v>5.5709999999999997</v>
      </c>
      <c r="F21" s="87">
        <f>IF('Rec_Law Enf page11'!$E$75&gt;0,'Rec_Law Enf page11'!$E$75,"  ")</f>
        <v>453228</v>
      </c>
      <c r="G21" s="87">
        <f>IF('Rec_Law Enf page11'!$E$82&lt;&gt;0,'Rec_Law Enf page11'!$E$82,"  ")</f>
        <v>257258</v>
      </c>
      <c r="H21" s="328">
        <f>IF('Rec_Law Enf page11'!E82&lt;&gt;0,ROUND(G21/$F$57*1000,3),"  ")</f>
        <v>14.448</v>
      </c>
    </row>
    <row r="22" spans="1:8">
      <c r="A22" s="87" t="str">
        <f>IF(inputPrYr!$B25&gt;"  ",(inputPrYr!$B25),"  ")</f>
        <v>Employee Benefits</v>
      </c>
      <c r="B22" s="87">
        <f>IF('Emp Ben page12'!$C$36&gt;0,'Emp Ben page12'!$C$36,"  ")</f>
        <v>908195</v>
      </c>
      <c r="C22" s="328">
        <f>IF(inputPrYr!D91&gt;0,inputPrYr!D91,"  ")</f>
        <v>9.0069999999999997</v>
      </c>
      <c r="D22" s="87">
        <f>IF('Emp Ben page12'!$D$36&gt;0,'Emp Ben page12'!$D$36,"  ")</f>
        <v>1024157</v>
      </c>
      <c r="E22" s="328">
        <f>IF(inputOth!D28&gt;0,inputOth!D28,"  ")</f>
        <v>3.7290000000000001</v>
      </c>
      <c r="F22" s="87">
        <f>IF('Emp Ben page12'!$E$36&gt;0,'Emp Ben page12'!$E$36,"  ")</f>
        <v>1101904</v>
      </c>
      <c r="G22" s="87">
        <f>IF('Emp Ben page12'!$E$43&lt;&gt;0,'Emp Ben page12'!$E$43,"  ")</f>
        <v>163617</v>
      </c>
      <c r="H22" s="328">
        <f>IF('Emp Ben page12'!E43&lt;&gt;0,ROUND(G22/$F$57*1000,3),"  ")</f>
        <v>9.1890000000000001</v>
      </c>
    </row>
    <row r="23" spans="1:8">
      <c r="A23" s="87" t="str">
        <f>IF(inputPrYr!$B26&gt;"  ",(inputPrYr!$B26),"  ")</f>
        <v xml:space="preserve">  </v>
      </c>
      <c r="B23" s="87" t="str">
        <f>IF('Emp Ben page12'!$C$76&gt;0,'Emp Ben page12'!$C$76,"  ")</f>
        <v xml:space="preserve">  </v>
      </c>
      <c r="C23" s="328" t="str">
        <f>IF(inputPrYr!D92&gt;0,inputPrYr!D92,"  ")</f>
        <v xml:space="preserve">  </v>
      </c>
      <c r="D23" s="87" t="str">
        <f>IF('Emp Ben page12'!$D$76&gt;0,'Emp Ben page12'!$D$76,"  ")</f>
        <v xml:space="preserve">  </v>
      </c>
      <c r="E23" s="328" t="str">
        <f>IF(inputOth!D29&gt;0,inputOth!D29,"  ")</f>
        <v xml:space="preserve">  </v>
      </c>
      <c r="F23" s="87" t="str">
        <f>IF('Emp Ben page12'!$E$76&gt;0,'Emp Ben page12'!$E$76,"  ")</f>
        <v xml:space="preserve">  </v>
      </c>
      <c r="G23" s="87" t="str">
        <f>IF('Emp Ben page12'!$E$83&lt;&gt;0,'Emp Ben page12'!$E$83,"  ")</f>
        <v xml:space="preserve">  </v>
      </c>
      <c r="H23" s="328" t="str">
        <f>IF('Emp Ben page12'!E83&lt;&gt;0,ROUND(G23/$F$57*1000,3),"  ")</f>
        <v xml:space="preserve">  </v>
      </c>
    </row>
    <row r="24" spans="1:8">
      <c r="A24" s="87" t="str">
        <f>IF(inputPrYr!$B27&gt;"  ",(inputPrYr!$B27),"  ")</f>
        <v xml:space="preserve">  </v>
      </c>
      <c r="B24" s="87" t="str">
        <f>IF('levy page12'!$C$33&gt;0,'levy page12'!$C$33,"  ")</f>
        <v xml:space="preserve">  </v>
      </c>
      <c r="C24" s="328" t="str">
        <f>IF(inputPrYr!D93&gt;0,inputPrYr!D93,"  ")</f>
        <v xml:space="preserve">  </v>
      </c>
      <c r="D24" s="87" t="str">
        <f>IF('levy page12'!$D$33&gt;0,'levy page12'!$D$33,"  ")</f>
        <v xml:space="preserve">  </v>
      </c>
      <c r="E24" s="328" t="str">
        <f>IF(inputOth!D30&gt;0,inputOth!D30,"  ")</f>
        <v xml:space="preserve">  </v>
      </c>
      <c r="F24" s="87" t="str">
        <f>IF('levy page12'!$E$33&gt;0,'levy page12'!$E$33,"  ")</f>
        <v xml:space="preserve">  </v>
      </c>
      <c r="G24" s="87" t="str">
        <f>IF('levy page12'!$E$40&lt;&gt;0,'levy page12'!$E$40,"  ")</f>
        <v xml:space="preserve">  </v>
      </c>
      <c r="H24" s="328" t="str">
        <f>IF('levy page12'!E40&lt;&gt;0,ROUND(G24/$F$57*1000,3),"  ")</f>
        <v xml:space="preserve">  </v>
      </c>
    </row>
    <row r="25" spans="1:8">
      <c r="A25" s="87" t="str">
        <f>IF(inputPrYr!$B28&gt;"  ",(inputPrYr!$B28),"  ")</f>
        <v xml:space="preserve">  </v>
      </c>
      <c r="B25" s="87" t="str">
        <f>IF('levy page12'!$C$73&gt;0,'levy page12'!$C$73,"  ")</f>
        <v xml:space="preserve">  </v>
      </c>
      <c r="C25" s="328" t="str">
        <f>IF(inputPrYr!D94&gt;0,inputPrYr!D94,"  ")</f>
        <v xml:space="preserve">  </v>
      </c>
      <c r="D25" s="87" t="str">
        <f>IF('levy page12'!$D$73&gt;0,'levy page12'!$D$73,"  ")</f>
        <v xml:space="preserve">  </v>
      </c>
      <c r="E25" s="328" t="str">
        <f>IF(inputOth!D31&gt;0,inputOth!D31,"  ")</f>
        <v xml:space="preserve">  </v>
      </c>
      <c r="F25" s="87" t="str">
        <f>IF('levy page12'!$E$73&gt;0,'levy page12'!$E$73,"  ")</f>
        <v xml:space="preserve">  </v>
      </c>
      <c r="G25" s="87" t="str">
        <f>IF('levy page12'!$E$80&lt;&gt;0,'levy page12'!$E$80,"  ")</f>
        <v xml:space="preserve">  </v>
      </c>
      <c r="H25" s="328" t="str">
        <f>IF('levy page12'!E80&lt;&gt;0,ROUND(G25/$F$57*1000,3),"  ")</f>
        <v xml:space="preserve">  </v>
      </c>
    </row>
    <row r="26" spans="1:8">
      <c r="A26" s="87" t="str">
        <f>IF(inputPrYr!$B29&gt;"  ",(inputPrYr!$B29),"  ")</f>
        <v xml:space="preserve">  </v>
      </c>
      <c r="B26" s="87" t="str">
        <f>IF('levy page13'!$C$33&gt;0,'levy page13'!$C$33,"  ")</f>
        <v xml:space="preserve">  </v>
      </c>
      <c r="C26" s="328" t="str">
        <f>IF(inputPrYr!D95&gt;0,inputPrYr!D95,"  ")</f>
        <v xml:space="preserve">  </v>
      </c>
      <c r="D26" s="87" t="str">
        <f>IF('levy page13'!$D$33&gt;0,'levy page13'!$D$33,"  ")</f>
        <v xml:space="preserve">  </v>
      </c>
      <c r="E26" s="328" t="str">
        <f>IF(inputOth!D32&gt;0,inputOth!D32,"  ")</f>
        <v xml:space="preserve">  </v>
      </c>
      <c r="F26" s="87" t="str">
        <f>IF('levy page13'!$E$33&gt;0,'levy page13'!$E$33,"  ")</f>
        <v xml:space="preserve">  </v>
      </c>
      <c r="G26" s="87" t="str">
        <f>IF('levy page13'!$E$40&lt;&gt;0,'levy page13'!$E$40,"  ")</f>
        <v xml:space="preserve">  </v>
      </c>
      <c r="H26" s="328" t="str">
        <f>IF('levy page13'!E40&lt;&gt;0,ROUND(G26/$F$57*1000,3),"  ")</f>
        <v xml:space="preserve">  </v>
      </c>
    </row>
    <row r="27" spans="1:8">
      <c r="A27" s="87" t="str">
        <f>IF(inputPrYr!B30&gt;"  ",(inputPrYr!B30),"  ")</f>
        <v xml:space="preserve">  </v>
      </c>
      <c r="B27" s="87" t="str">
        <f>IF('levy page13'!$C$73&gt;0,'levy page13'!$C$73,"  ")</f>
        <v xml:space="preserve">  </v>
      </c>
      <c r="C27" s="328" t="str">
        <f>IF(inputPrYr!D96&gt;0,inputPrYr!D96,"  ")</f>
        <v xml:space="preserve">  </v>
      </c>
      <c r="D27" s="87" t="str">
        <f>IF('levy page13'!$D$73&gt;0,'levy page13'!$D$73,"  ")</f>
        <v xml:space="preserve">  </v>
      </c>
      <c r="E27" s="328" t="str">
        <f>IF(inputOth!D33&gt;0,inputOth!D33,"  ")</f>
        <v xml:space="preserve">  </v>
      </c>
      <c r="F27" s="87" t="str">
        <f>IF('levy page13'!$E$73&gt;0,'levy page13'!$E$73,"  ")</f>
        <v xml:space="preserve">  </v>
      </c>
      <c r="G27" s="87" t="str">
        <f>IF('levy page13'!$E$80&lt;&gt;0,'levy page13'!$E$80,"  ")</f>
        <v xml:space="preserve">  </v>
      </c>
      <c r="H27" s="328" t="str">
        <f>IF('levy page13'!E80&lt;&gt;0,ROUND(G27/$F$57*1000,3),"  ")</f>
        <v xml:space="preserve">  </v>
      </c>
    </row>
    <row r="28" spans="1:8">
      <c r="A28" s="87" t="str">
        <f>IF(inputPrYr!$B34&gt;"  ",(inputPrYr!$B34),"  ")</f>
        <v>Special Highway</v>
      </c>
      <c r="B28" s="87">
        <f>IF('Sp Hiway_State Aid page 13'!$C$30&gt;0,'Sp Hiway_State Aid page 13'!$C$30,"  ")</f>
        <v>80442</v>
      </c>
      <c r="C28" s="65"/>
      <c r="D28" s="87">
        <f>IF('Sp Hiway_State Aid page 13'!$D$30&gt;0,'Sp Hiway_State Aid page 13'!$D$30,"  ")</f>
        <v>87222</v>
      </c>
      <c r="E28" s="65"/>
      <c r="F28" s="87">
        <f>IF('Sp Hiway_State Aid page 13'!$E$30&gt;0,'Sp Hiway_State Aid page 13'!$E$30,"  ")</f>
        <v>91290</v>
      </c>
      <c r="G28" s="87"/>
      <c r="H28" s="328"/>
    </row>
    <row r="29" spans="1:8">
      <c r="A29" s="87" t="str">
        <f>IF(inputPrYr!$B35&gt;"  ",(inputPrYr!$B35),"  ")</f>
        <v>State Aid</v>
      </c>
      <c r="B29" s="87">
        <f>IF('Sp Hiway_State Aid page 13'!$C$61&gt;0,'Sp Hiway_State Aid page 13'!$C$61,"  ")</f>
        <v>1380</v>
      </c>
      <c r="C29" s="65"/>
      <c r="D29" s="87">
        <f>IF('Sp Hiway_State Aid page 13'!$D$61&gt;0,'Sp Hiway_State Aid page 13'!$D$61,"  ")</f>
        <v>1352</v>
      </c>
      <c r="E29" s="65"/>
      <c r="F29" s="87">
        <f>IF('Sp Hiway_State Aid page 13'!$E$61&gt;0,'Sp Hiway_State Aid page 13'!$E$61,"  ")</f>
        <v>1217</v>
      </c>
      <c r="G29" s="87"/>
      <c r="H29" s="328"/>
    </row>
    <row r="30" spans="1:8">
      <c r="A30" s="87" t="str">
        <f>IF(inputPrYr!$B36&gt;"  ",(inputPrYr!$B36),"  ")</f>
        <v>SEK</v>
      </c>
      <c r="B30" s="87">
        <f>IF('SEK_Special Park_Rec page14'!$C$28&gt;0,'SEK_Special Park_Rec page14'!$C$28,"  ")</f>
        <v>12840</v>
      </c>
      <c r="C30" s="65"/>
      <c r="D30" s="87">
        <f>IF('SEK_Special Park_Rec page14'!$D$28&gt;0,'SEK_Special Park_Rec page14'!$D$28,"  ")</f>
        <v>13126</v>
      </c>
      <c r="E30" s="65"/>
      <c r="F30" s="87">
        <f>IF('SEK_Special Park_Rec page14'!$E$28&gt;0,'SEK_Special Park_Rec page14'!$E$28,"  ")</f>
        <v>13511</v>
      </c>
      <c r="G30" s="87"/>
      <c r="H30" s="328"/>
    </row>
    <row r="31" spans="1:8">
      <c r="A31" s="87" t="str">
        <f>IF(inputPrYr!$B37&gt;"  ",(inputPrYr!$B37),"  ")</f>
        <v>Special Parks &amp; Rec</v>
      </c>
      <c r="B31" s="87">
        <f>IF('SEK_Special Park_Rec page14'!$C$59&gt;0,'SEK_Special Park_Rec page14'!$C$59,"  ")</f>
        <v>5221</v>
      </c>
      <c r="C31" s="65"/>
      <c r="D31" s="87">
        <f>IF('SEK_Special Park_Rec page14'!$D$59&gt;0,'SEK_Special Park_Rec page14'!$D$59,"  ")</f>
        <v>4305</v>
      </c>
      <c r="E31" s="65"/>
      <c r="F31" s="87">
        <f>IF('SEK_Special Park_Rec page14'!$E$59&gt;0,'SEK_Special Park_Rec page14'!$E$59,"  ")</f>
        <v>8500</v>
      </c>
      <c r="G31" s="87"/>
      <c r="H31" s="328"/>
    </row>
    <row r="32" spans="1:8">
      <c r="A32" s="87" t="str">
        <f>IF(inputPrYr!$B38&gt;"  ",(inputPrYr!$B38),"  ")</f>
        <v>Electric</v>
      </c>
      <c r="B32" s="87">
        <f>IF('Elec_Water page15'!$C$29&gt;0,'Elec_Water page15'!$C$29,"  ")</f>
        <v>3330263</v>
      </c>
      <c r="C32" s="65"/>
      <c r="D32" s="87">
        <f>IF('Elec_Water page15'!$D$29&gt;0,'Elec_Water page15'!$D$29,"  ")</f>
        <v>3534772</v>
      </c>
      <c r="E32" s="65"/>
      <c r="F32" s="87">
        <f>IF('Elec_Water page15'!$E$29&gt;0,'Elec_Water page15'!$E$29,"  ")</f>
        <v>3427433</v>
      </c>
      <c r="G32" s="65"/>
      <c r="H32" s="65"/>
    </row>
    <row r="33" spans="1:13">
      <c r="A33" s="87" t="str">
        <f>IF(inputPrYr!$B39&gt;"  ",(inputPrYr!$B39),"  ")</f>
        <v>Water</v>
      </c>
      <c r="B33" s="87">
        <f>IF('Elec_Water page15'!$C$61&gt;0,'Elec_Water page15'!$C$61,"  ")</f>
        <v>1689207</v>
      </c>
      <c r="C33" s="65"/>
      <c r="D33" s="87">
        <f>IF('Elec_Water page15'!$D$61&gt;0,'Elec_Water page15'!$D$61,"  ")</f>
        <v>1646501</v>
      </c>
      <c r="E33" s="65"/>
      <c r="F33" s="87">
        <f>IF('Elec_Water page15'!$E$61&gt;0,'Elec_Water page15'!$E$61,"  ")</f>
        <v>1758254</v>
      </c>
      <c r="G33" s="65"/>
      <c r="H33" s="65"/>
    </row>
    <row r="34" spans="1:13">
      <c r="A34" s="87" t="str">
        <f>IF(inputPrYr!$B40&gt;"  ",(inputPrYr!$B40),"  ")</f>
        <v>Gas</v>
      </c>
      <c r="B34" s="87">
        <f>IF('Gas_Refuse page16'!$C$28&gt;0,'Gas_Refuse page16'!$C$28,"  ")</f>
        <v>1046152</v>
      </c>
      <c r="C34" s="65"/>
      <c r="D34" s="87">
        <f>IF('Gas_Refuse page16'!$D$28&gt;0,'Gas_Refuse page16'!$D$28,"  ")</f>
        <v>1163477</v>
      </c>
      <c r="E34" s="65"/>
      <c r="F34" s="87">
        <f>IF('Gas_Refuse page16'!$E$28&gt;0,'Gas_Refuse page16'!$E$28,"  ")</f>
        <v>1303812</v>
      </c>
      <c r="G34" s="65"/>
      <c r="H34" s="65"/>
    </row>
    <row r="35" spans="1:13">
      <c r="A35" s="87" t="str">
        <f>IF(inputPrYr!$B41&gt;"  ",(inputPrYr!$B41),"  ")</f>
        <v>Refuse</v>
      </c>
      <c r="B35" s="87">
        <f>IF('Gas_Refuse page16'!$C$59&gt;0,'Gas_Refuse page16'!$C$59,"  ")</f>
        <v>306318</v>
      </c>
      <c r="C35" s="65"/>
      <c r="D35" s="87">
        <f>IF('Gas_Refuse page16'!$D$59&gt;0,'Gas_Refuse page16'!$D$59,"  ")</f>
        <v>322738</v>
      </c>
      <c r="E35" s="65"/>
      <c r="F35" s="87">
        <f>IF('Gas_Refuse page16'!$E$59&gt;0,'Gas_Refuse page16'!$E$59,"  ")</f>
        <v>327862</v>
      </c>
      <c r="G35" s="65"/>
      <c r="H35" s="65"/>
    </row>
    <row r="36" spans="1:13">
      <c r="A36" s="87" t="str">
        <f>IF(inputPrYr!$B42&gt;"  ",(inputPrYr!$B42),"  ")</f>
        <v>Capital Outlay</v>
      </c>
      <c r="B36" s="87">
        <f>IF('Capital Out_Comb Util page17'!$C$32&gt;0,'Capital Out_Comb Util page17'!$C$32,"  ")</f>
        <v>460754</v>
      </c>
      <c r="C36" s="65"/>
      <c r="D36" s="87">
        <f>IF('Capital Out_Comb Util page17'!$D$32&gt;0,'Capital Out_Comb Util page17'!$D$32,"  ")</f>
        <v>402515</v>
      </c>
      <c r="E36" s="65"/>
      <c r="F36" s="87">
        <f>IF('Capital Out_Comb Util page17'!$E$32&gt;0,'Capital Out_Comb Util page17'!$E$32,"  ")</f>
        <v>308811</v>
      </c>
      <c r="G36" s="65"/>
      <c r="H36" s="65"/>
    </row>
    <row r="37" spans="1:13">
      <c r="A37" s="87" t="str">
        <f>IF(inputPrYr!$B43&gt;"  ",(inputPrYr!$B43),"  ")</f>
        <v>Combined Utility</v>
      </c>
      <c r="B37" s="87">
        <f>IF('Capital Out_Comb Util page17'!$C$63&gt;0,'Capital Out_Comb Util page17'!$C$63,"  ")</f>
        <v>552912</v>
      </c>
      <c r="C37" s="65"/>
      <c r="D37" s="87">
        <f>IF('Capital Out_Comb Util page17'!$D$63&gt;0,'Capital Out_Comb Util page17'!$D$63,"  ")</f>
        <v>555113</v>
      </c>
      <c r="E37" s="65"/>
      <c r="F37" s="87">
        <f>IF('Capital Out_Comb Util page17'!$E$63&gt;0,'Capital Out_Comb Util page17'!$E$63,"  ")</f>
        <v>560863</v>
      </c>
      <c r="G37" s="65"/>
      <c r="H37" s="65"/>
    </row>
    <row r="38" spans="1:13">
      <c r="A38" s="87" t="str">
        <f>IF(inputPrYr!$B44&gt;"  ",(inputPrYr!$B44),"  ")</f>
        <v>Economic Development</v>
      </c>
      <c r="B38" s="87">
        <f>IF('Econ Dev_PS #1 page18'!$C$28&gt;0,'Econ Dev_PS #1 page18'!$C$28,"  ")</f>
        <v>37337</v>
      </c>
      <c r="C38" s="65"/>
      <c r="D38" s="87">
        <f>IF('Econ Dev_PS #1 page18'!$D$28&gt;0,'Econ Dev_PS #1 page18'!$D$28,"  ")</f>
        <v>47631</v>
      </c>
      <c r="E38" s="65"/>
      <c r="F38" s="87">
        <f>IF('Econ Dev_PS #1 page18'!$E$28&gt;0,'Econ Dev_PS #1 page18'!$E$28,"  ")</f>
        <v>51512</v>
      </c>
      <c r="G38" s="65"/>
      <c r="H38" s="65"/>
    </row>
    <row r="39" spans="1:13">
      <c r="A39" s="87" t="str">
        <f>IF(inputPrYr!$B45&gt;"  ",(inputPrYr!$B45),"  ")</f>
        <v>Parkside # 1</v>
      </c>
      <c r="B39" s="87">
        <f>IF('Econ Dev_PS #1 page18'!$C$59&gt;0,'Econ Dev_PS #1 page18'!$C$59,"  ")</f>
        <v>126299</v>
      </c>
      <c r="C39" s="65"/>
      <c r="D39" s="87">
        <f>IF('Econ Dev_PS #1 page18'!$D$59&gt;0,'Econ Dev_PS #1 page18'!$D$59,"  ")</f>
        <v>139939</v>
      </c>
      <c r="E39" s="65"/>
      <c r="F39" s="87">
        <f>IF('Econ Dev_PS #1 page18'!$E$59&gt;0,'Econ Dev_PS #1 page18'!$E$59,"  ")</f>
        <v>153308</v>
      </c>
      <c r="G39" s="65"/>
      <c r="H39" s="65"/>
    </row>
    <row r="40" spans="1:13">
      <c r="A40" s="87" t="str">
        <f>IF(inputPrYr!$B46&gt;"  ",(inputPrYr!$B46),"  ")</f>
        <v>Parkside # 2</v>
      </c>
      <c r="B40" s="87">
        <f>IF('PS # 2_Park Plaza N page 19'!$C$28&gt;0,'PS # 2_Park Plaza N page 19'!$C$28,"  ")</f>
        <v>153802</v>
      </c>
      <c r="C40" s="65"/>
      <c r="D40" s="87">
        <f>IF('PS # 2_Park Plaza N page 19'!$D$28&gt;0,'PS # 2_Park Plaza N page 19'!$D$28,"  ")</f>
        <v>189107</v>
      </c>
      <c r="E40" s="65"/>
      <c r="F40" s="87">
        <f>IF('PS # 2_Park Plaza N page 19'!$E$28&gt;0,'PS # 2_Park Plaza N page 19'!$E$28,"  ")</f>
        <v>207821</v>
      </c>
      <c r="G40" s="65"/>
      <c r="H40" s="65"/>
    </row>
    <row r="41" spans="1:13">
      <c r="A41" s="87" t="str">
        <f>IF(inputPrYr!$B47&gt;"  ",(inputPrYr!$B47),"  ")</f>
        <v>Park Plaza North</v>
      </c>
      <c r="B41" s="87">
        <f>IF('PS # 2_Park Plaza N page 19'!$C$59&gt;0,'PS # 2_Park Plaza N page 19'!$C$59,"  ")</f>
        <v>348158</v>
      </c>
      <c r="C41" s="65"/>
      <c r="D41" s="87">
        <f>IF('PS # 2_Park Plaza N page 19'!$D$59&gt;0,'PS # 2_Park Plaza N page 19'!$D$59,"  ")</f>
        <v>322355</v>
      </c>
      <c r="E41" s="65"/>
      <c r="F41" s="87">
        <f>IF('PS # 2_Park Plaza N page 19'!$E$59&gt;0,'PS # 2_Park Plaza N page 19'!$E$59,"  ")</f>
        <v>333596</v>
      </c>
      <c r="G41" s="65"/>
      <c r="H41" s="65"/>
      <c r="J41" s="812" t="str">
        <f>CONCATENATE("Estimated Value Of One Mill For ",H2,"")</f>
        <v>Estimated Value Of One Mill For 2014</v>
      </c>
      <c r="K41" s="817"/>
      <c r="L41" s="817"/>
      <c r="M41" s="818"/>
    </row>
    <row r="42" spans="1:13">
      <c r="A42" s="87" t="str">
        <f>IF(inputPrYr!$B48&gt;"  ",(inputPrYr!$B48),"  ")</f>
        <v>Recreation Center</v>
      </c>
      <c r="B42" s="87">
        <f>IF('Rec Ctr_Comm Dev page 20'!$C$29&gt;0,'Rec Ctr_Comm Dev page 20'!$C$29,"  ")</f>
        <v>44132</v>
      </c>
      <c r="C42" s="65"/>
      <c r="D42" s="87">
        <f>IF('Rec Ctr_Comm Dev page 20'!$D$29&gt;0,'Rec Ctr_Comm Dev page 20'!$D$29,"  ")</f>
        <v>48548</v>
      </c>
      <c r="E42" s="65"/>
      <c r="F42" s="87">
        <f>IF('Rec Ctr_Comm Dev page 20'!$E$29&gt;0,'Rec Ctr_Comm Dev page 20'!$E$29,"  ")</f>
        <v>55549</v>
      </c>
      <c r="G42" s="65"/>
      <c r="H42" s="65"/>
      <c r="J42" s="512"/>
      <c r="K42" s="513"/>
      <c r="L42" s="513"/>
      <c r="M42" s="514"/>
    </row>
    <row r="43" spans="1:13">
      <c r="A43" s="87" t="str">
        <f>IF(inputPrYr!$B49&gt;"  ",(inputPrYr!$B49),"  ")</f>
        <v>Community Development</v>
      </c>
      <c r="B43" s="87" t="str">
        <f>IF('Rec Ctr_Comm Dev page 20'!$C$60&gt;0,'Rec Ctr_Comm Dev page 20'!$C$60,"  ")</f>
        <v xml:space="preserve">  </v>
      </c>
      <c r="C43" s="65"/>
      <c r="D43" s="87" t="str">
        <f>IF('Rec Ctr_Comm Dev page 20'!$D$60&gt;0,'Rec Ctr_Comm Dev page 20'!$D$60,"  ")</f>
        <v xml:space="preserve">  </v>
      </c>
      <c r="E43" s="65"/>
      <c r="F43" s="87">
        <f>IF('Rec Ctr_Comm Dev page 20'!$E$60&gt;0,'Rec Ctr_Comm Dev page 20'!$E$60,"  ")</f>
        <v>25250</v>
      </c>
      <c r="G43" s="65"/>
      <c r="H43" s="65"/>
      <c r="J43" s="515" t="s">
        <v>763</v>
      </c>
      <c r="K43" s="516"/>
      <c r="L43" s="516"/>
      <c r="M43" s="517">
        <f>ROUND(F57/1000,0)</f>
        <v>17806</v>
      </c>
    </row>
    <row r="44" spans="1:13">
      <c r="A44" s="87" t="str">
        <f>IF(inputPrYr!$B51&gt;"  ",(inputPrYr!$B51),"  ")</f>
        <v xml:space="preserve">  </v>
      </c>
      <c r="B44" s="87" t="str">
        <f>IF(SinNoLevy22!$C$47&gt;0,SinNoLevy22!$C$47,"  ")</f>
        <v xml:space="preserve">  </v>
      </c>
      <c r="C44" s="65"/>
      <c r="D44" s="87" t="str">
        <f>IF(SinNoLevy22!$D$47&gt;0,SinNoLevy22!$D$47,"  ")</f>
        <v xml:space="preserve">  </v>
      </c>
      <c r="E44" s="65"/>
      <c r="F44" s="87" t="str">
        <f>IF(SinNoLevy22!$E$47&gt;0,SinNoLevy22!$E$47,"  ")</f>
        <v xml:space="preserve">  </v>
      </c>
      <c r="G44" s="65"/>
      <c r="H44" s="65"/>
    </row>
    <row r="45" spans="1:13">
      <c r="A45" s="87" t="str">
        <f>IF(inputPrYr!$B52&gt;"  ",(inputPrYr!$B52),"  ")</f>
        <v xml:space="preserve">  </v>
      </c>
      <c r="B45" s="87" t="str">
        <f>IF(SinNoLevy23!$C$47&gt;0,SinNoLevy23!$C$47,"  ")</f>
        <v xml:space="preserve">  </v>
      </c>
      <c r="C45" s="65"/>
      <c r="D45" s="87" t="str">
        <f>IF(SinNoLevy23!$D$47&gt;0,SinNoLevy23!$D$47,"  ")</f>
        <v xml:space="preserve">  </v>
      </c>
      <c r="E45" s="65"/>
      <c r="F45" s="87" t="str">
        <f>IF(SinNoLevy23!$E$47&gt;0,SinNoLevy23!$E$47,"  ")</f>
        <v xml:space="preserve">  </v>
      </c>
      <c r="G45" s="65"/>
      <c r="H45" s="65"/>
      <c r="J45" s="812" t="str">
        <f>CONCATENATE("Want The Mill Rate The Same As For ",H2-1,"?")</f>
        <v>Want The Mill Rate The Same As For 2013?</v>
      </c>
      <c r="K45" s="817"/>
      <c r="L45" s="817"/>
      <c r="M45" s="818"/>
    </row>
    <row r="46" spans="1:13">
      <c r="A46" s="87" t="str">
        <f>IF(inputPrYr!$B53&gt;"  ",(inputPrYr!$B53),"  ")</f>
        <v xml:space="preserve">  </v>
      </c>
      <c r="B46" s="87" t="str">
        <f>IF(SinNoLevy24!$C$47&gt;0,SinNoLevy24!$C$47,"  ")</f>
        <v xml:space="preserve">  </v>
      </c>
      <c r="C46" s="65"/>
      <c r="D46" s="87" t="str">
        <f>IF(SinNoLevy24!$D$47&gt;0,SinNoLevy24!$D$47,"  ")</f>
        <v xml:space="preserve">  </v>
      </c>
      <c r="E46" s="65"/>
      <c r="F46" s="87" t="str">
        <f>IF(SinNoLevy24!$E$47&gt;0,SinNoLevy24!$E$47,"  ")</f>
        <v xml:space="preserve">  </v>
      </c>
      <c r="G46" s="65"/>
      <c r="H46" s="65"/>
      <c r="J46" s="519"/>
      <c r="K46" s="513"/>
      <c r="L46" s="513"/>
      <c r="M46" s="520"/>
    </row>
    <row r="47" spans="1:13">
      <c r="A47" s="87" t="str">
        <f>IF(inputPrYr!$B54&gt;"  ",(inputPrYr!$B54),"  ")</f>
        <v xml:space="preserve">  </v>
      </c>
      <c r="B47" s="87" t="str">
        <f>IF(SinNoLevy25!$C$47&gt;0,SinNoLevy25!$C$47,"  ")</f>
        <v xml:space="preserve">  </v>
      </c>
      <c r="C47" s="65"/>
      <c r="D47" s="87" t="str">
        <f>IF(SinNoLevy25!$D$47&gt;0,SinNoLevy25!$D$47,"  ")</f>
        <v xml:space="preserve">  </v>
      </c>
      <c r="E47" s="65"/>
      <c r="F47" s="87" t="str">
        <f>IF(SinNoLevy25!$E$47&gt;0,SinNoLevy25!$E$47,"  ")</f>
        <v xml:space="preserve">  </v>
      </c>
      <c r="G47" s="65"/>
      <c r="H47" s="65"/>
      <c r="J47" s="519" t="str">
        <f>CONCATENATE("",H2-1," Mill Rate Was:")</f>
        <v>2013 Mill Rate Was:</v>
      </c>
      <c r="K47" s="513"/>
      <c r="L47" s="513"/>
      <c r="M47" s="521">
        <f>E52</f>
        <v>42.893999999999998</v>
      </c>
    </row>
    <row r="48" spans="1:13">
      <c r="A48" s="87" t="str">
        <f>IF(inputPrYr!$B57&gt;"  ",(NonBudA!$A3),"  ")</f>
        <v xml:space="preserve">  </v>
      </c>
      <c r="B48" s="87" t="str">
        <f>IF(NonBudA!$K$28&gt;0,NonBudA!$K$28,"  ")</f>
        <v xml:space="preserve">  </v>
      </c>
      <c r="C48" s="65"/>
      <c r="D48" s="87"/>
      <c r="E48" s="65"/>
      <c r="F48" s="87"/>
      <c r="G48" s="65"/>
      <c r="H48" s="65"/>
      <c r="J48" s="522" t="str">
        <f>CONCATENATE("",H2," Tax Levy Fund Expenditures Must Be")</f>
        <v>2014 Tax Levy Fund Expenditures Must Be</v>
      </c>
      <c r="K48" s="523"/>
      <c r="L48" s="523"/>
      <c r="M48" s="520"/>
    </row>
    <row r="49" spans="1:13">
      <c r="A49" s="87" t="str">
        <f>IF(inputPrYr!$B63&gt;"  ",(NonBudB!$A3),"  ")</f>
        <v xml:space="preserve">  </v>
      </c>
      <c r="B49" s="87" t="str">
        <f>IF(NonBudB!$K$28&gt;0,NonBudB!$K$28,"  ")</f>
        <v xml:space="preserve">  </v>
      </c>
      <c r="C49" s="65"/>
      <c r="D49" s="87"/>
      <c r="E49" s="65"/>
      <c r="F49" s="87"/>
      <c r="G49" s="65"/>
      <c r="H49" s="65"/>
      <c r="J49" s="522" t="str">
        <f>IF(M49&gt;0,"Increased By:","")</f>
        <v>Increased By:</v>
      </c>
      <c r="K49" s="523"/>
      <c r="L49" s="523"/>
      <c r="M49" s="594">
        <f>IF(M56&lt;0,M56*-1,0)</f>
        <v>2293</v>
      </c>
    </row>
    <row r="50" spans="1:13">
      <c r="A50" s="87" t="str">
        <f>IF(inputPrYr!$B69&gt;"  ",(NonBudC!$A3),"  ")</f>
        <v xml:space="preserve">  </v>
      </c>
      <c r="B50" s="87" t="str">
        <f>IF(NonBudC!$K$28&gt;0,NonBudC!$K$28,"  ")</f>
        <v xml:space="preserve">  </v>
      </c>
      <c r="C50" s="65"/>
      <c r="D50" s="87"/>
      <c r="E50" s="65"/>
      <c r="F50" s="87"/>
      <c r="G50" s="65"/>
      <c r="H50" s="65"/>
      <c r="J50" s="595" t="str">
        <f>IF(M50&lt;0,"Reduced By:","")</f>
        <v/>
      </c>
      <c r="K50" s="596"/>
      <c r="L50" s="596"/>
      <c r="M50" s="597">
        <f>IF(M56&gt;0,M56*-1,0)</f>
        <v>0</v>
      </c>
    </row>
    <row r="51" spans="1:13" ht="16.5" thickBot="1">
      <c r="A51" s="87" t="str">
        <f>IF(inputPrYr!$B75&gt;"  ",(NonBudD!$A3),"  ")</f>
        <v xml:space="preserve">  </v>
      </c>
      <c r="B51" s="532" t="str">
        <f>IF(NonBudD!$K$28&gt;0,NonBudD!$K$28,"  ")</f>
        <v xml:space="preserve">  </v>
      </c>
      <c r="C51" s="533"/>
      <c r="D51" s="532"/>
      <c r="E51" s="533"/>
      <c r="F51" s="532"/>
      <c r="G51" s="533"/>
      <c r="H51" s="533"/>
      <c r="J51" s="526"/>
      <c r="K51" s="526"/>
      <c r="L51" s="526"/>
      <c r="M51" s="526"/>
    </row>
    <row r="52" spans="1:13">
      <c r="A52" s="143" t="s">
        <v>774</v>
      </c>
      <c r="B52" s="562">
        <f>SUM(B15:B51)</f>
        <v>10697309</v>
      </c>
      <c r="C52" s="563">
        <f>SUM(C15:C27)</f>
        <v>43.073999999999998</v>
      </c>
      <c r="D52" s="562">
        <f>SUM(D15:D51)</f>
        <v>11230849</v>
      </c>
      <c r="E52" s="563">
        <f>SUM(E15:E27)</f>
        <v>42.893999999999998</v>
      </c>
      <c r="F52" s="562">
        <f>SUM(F15:F51)</f>
        <v>11468921</v>
      </c>
      <c r="G52" s="562">
        <f>SUM(G15:G51)</f>
        <v>761482</v>
      </c>
      <c r="H52" s="563">
        <f>SUM(H15:H27)</f>
        <v>42.765000000000001</v>
      </c>
      <c r="J52" s="812" t="str">
        <f>CONCATENATE("Impact On Keeping The Same Mill Rate As For ",H2-1,"")</f>
        <v>Impact On Keeping The Same Mill Rate As For 2013</v>
      </c>
      <c r="K52" s="815"/>
      <c r="L52" s="815"/>
      <c r="M52" s="816"/>
    </row>
    <row r="53" spans="1:13">
      <c r="A53" s="52" t="s">
        <v>132</v>
      </c>
      <c r="B53" s="492">
        <f>transfers!D30</f>
        <v>853102</v>
      </c>
      <c r="C53" s="561"/>
      <c r="D53" s="492">
        <f>transfers!E30</f>
        <v>851769</v>
      </c>
      <c r="E53" s="341"/>
      <c r="F53" s="492">
        <f>transfers!F30</f>
        <v>702136</v>
      </c>
      <c r="G53" s="559"/>
      <c r="H53" s="341"/>
      <c r="I53" s="529"/>
      <c r="J53" s="519"/>
      <c r="K53" s="513"/>
      <c r="L53" s="513"/>
      <c r="M53" s="520"/>
    </row>
    <row r="54" spans="1:13" ht="16.5" thickBot="1">
      <c r="A54" s="52" t="s">
        <v>133</v>
      </c>
      <c r="B54" s="338">
        <f>B52-B53</f>
        <v>9844207</v>
      </c>
      <c r="C54" s="47"/>
      <c r="D54" s="338">
        <f>D52-D53</f>
        <v>10379080</v>
      </c>
      <c r="E54" s="47"/>
      <c r="F54" s="338">
        <f>F52-F53</f>
        <v>10766785</v>
      </c>
      <c r="G54" s="47"/>
      <c r="H54" s="47"/>
      <c r="J54" s="519" t="str">
        <f>CONCATENATE("",H2," Ad Valorem Tax Revenue:")</f>
        <v>2014 Ad Valorem Tax Revenue:</v>
      </c>
      <c r="K54" s="513"/>
      <c r="L54" s="513"/>
      <c r="M54" s="514">
        <f>G52</f>
        <v>761482</v>
      </c>
    </row>
    <row r="55" spans="1:13" ht="16.5" thickTop="1">
      <c r="A55" s="52" t="s">
        <v>134</v>
      </c>
      <c r="B55" s="492">
        <f>inputPrYr!$E$99</f>
        <v>780194</v>
      </c>
      <c r="C55" s="197"/>
      <c r="D55" s="492">
        <f>inputPrYr!$E$31</f>
        <v>774336</v>
      </c>
      <c r="E55" s="197"/>
      <c r="F55" s="329" t="s">
        <v>95</v>
      </c>
      <c r="G55" s="47"/>
      <c r="H55" s="47"/>
      <c r="J55" s="519" t="str">
        <f>CONCATENATE("",H2-1," Ad Valorem Tax Revenue:")</f>
        <v>2013 Ad Valorem Tax Revenue:</v>
      </c>
      <c r="K55" s="513"/>
      <c r="L55" s="513"/>
      <c r="M55" s="527">
        <f>ROUND(F57*M47/1000,0)</f>
        <v>763775</v>
      </c>
    </row>
    <row r="56" spans="1:13">
      <c r="A56" s="52" t="s">
        <v>135</v>
      </c>
      <c r="B56" s="199"/>
      <c r="C56" s="47"/>
      <c r="D56" s="493"/>
      <c r="E56" s="201"/>
      <c r="F56" s="152"/>
      <c r="G56" s="47"/>
      <c r="H56" s="47"/>
      <c r="J56" s="524" t="s">
        <v>764</v>
      </c>
      <c r="K56" s="525"/>
      <c r="L56" s="525"/>
      <c r="M56" s="517">
        <f>SUM(M54-M55)</f>
        <v>-2293</v>
      </c>
    </row>
    <row r="57" spans="1:13">
      <c r="A57" s="52" t="s">
        <v>136</v>
      </c>
      <c r="B57" s="492">
        <f>inputPrYr!$E$100</f>
        <v>18180867</v>
      </c>
      <c r="C57" s="76"/>
      <c r="D57" s="492">
        <f>inputOth!$E$36</f>
        <v>18052730</v>
      </c>
      <c r="E57" s="76"/>
      <c r="F57" s="492">
        <f>inputOth!$E$7</f>
        <v>17806100</v>
      </c>
      <c r="G57" s="47"/>
      <c r="H57" s="47"/>
      <c r="J57" s="518"/>
      <c r="K57" s="518"/>
      <c r="L57" s="518"/>
      <c r="M57" s="526"/>
    </row>
    <row r="58" spans="1:13">
      <c r="A58" s="52" t="s">
        <v>137</v>
      </c>
      <c r="B58" s="47"/>
      <c r="C58" s="47"/>
      <c r="D58" s="47"/>
      <c r="E58" s="47"/>
      <c r="F58" s="47"/>
      <c r="G58" s="47"/>
      <c r="H58" s="47"/>
      <c r="J58" s="812" t="s">
        <v>765</v>
      </c>
      <c r="K58" s="813"/>
      <c r="L58" s="813"/>
      <c r="M58" s="814"/>
    </row>
    <row r="59" spans="1:13">
      <c r="A59" s="52" t="s">
        <v>138</v>
      </c>
      <c r="B59" s="330">
        <f>$H$2-3</f>
        <v>2011</v>
      </c>
      <c r="C59" s="47"/>
      <c r="D59" s="330">
        <f>$H$2-2</f>
        <v>2012</v>
      </c>
      <c r="E59" s="47"/>
      <c r="F59" s="330">
        <f>$H$2-1</f>
        <v>2013</v>
      </c>
      <c r="G59" s="47"/>
      <c r="H59" s="47"/>
      <c r="J59" s="519"/>
      <c r="K59" s="513"/>
      <c r="L59" s="513"/>
      <c r="M59" s="520"/>
    </row>
    <row r="60" spans="1:13" ht="13.5" customHeight="1">
      <c r="A60" s="52" t="s">
        <v>139</v>
      </c>
      <c r="B60" s="241">
        <f>inputPrYr!$D$104</f>
        <v>5005000</v>
      </c>
      <c r="C60" s="172"/>
      <c r="D60" s="241">
        <f>inputPrYr!$E$104</f>
        <v>4365000</v>
      </c>
      <c r="E60" s="172"/>
      <c r="F60" s="241">
        <f>debt!$G$20</f>
        <v>4365000</v>
      </c>
      <c r="G60" s="47"/>
      <c r="H60" s="47"/>
      <c r="J60" s="519" t="str">
        <f>CONCATENATE("Current ",H2," Estimated Mill Rate:")</f>
        <v>Current 2014 Estimated Mill Rate:</v>
      </c>
      <c r="K60" s="513"/>
      <c r="L60" s="513"/>
      <c r="M60" s="521">
        <f>H52</f>
        <v>42.765000000000001</v>
      </c>
    </row>
    <row r="61" spans="1:13">
      <c r="A61" s="52" t="s">
        <v>140</v>
      </c>
      <c r="B61" s="492">
        <f>inputPrYr!$D$105</f>
        <v>420000</v>
      </c>
      <c r="C61" s="172"/>
      <c r="D61" s="492">
        <f>inputPrYr!$E$105</f>
        <v>355000</v>
      </c>
      <c r="E61" s="172"/>
      <c r="F61" s="241">
        <f>debt!$G$32</f>
        <v>355000</v>
      </c>
      <c r="G61" s="47"/>
      <c r="H61" s="47"/>
      <c r="J61" s="519" t="str">
        <f>CONCATENATE("Desired ",H2," Mill Rate:")</f>
        <v>Desired 2014 Mill Rate:</v>
      </c>
      <c r="K61" s="513"/>
      <c r="L61" s="513"/>
      <c r="M61" s="511">
        <v>0</v>
      </c>
    </row>
    <row r="62" spans="1:13" ht="18.75" customHeight="1">
      <c r="A62" s="47" t="s">
        <v>158</v>
      </c>
      <c r="B62" s="492">
        <f>inputPrYr!$D$106</f>
        <v>5394125</v>
      </c>
      <c r="C62" s="172"/>
      <c r="D62" s="492">
        <f>inputPrYr!$E$106</f>
        <v>2455666</v>
      </c>
      <c r="E62" s="172"/>
      <c r="F62" s="241">
        <f>debt!$G$42</f>
        <v>2455666</v>
      </c>
      <c r="G62" s="47"/>
      <c r="H62" s="47"/>
      <c r="J62" s="519" t="str">
        <f>CONCATENATE("",H2," Ad Valorem Tax:")</f>
        <v>2014 Ad Valorem Tax:</v>
      </c>
      <c r="K62" s="513"/>
      <c r="L62" s="513"/>
      <c r="M62" s="527">
        <f>ROUND(F57*M61/1000,0)</f>
        <v>0</v>
      </c>
    </row>
    <row r="63" spans="1:13" ht="18.75" customHeight="1">
      <c r="A63" s="52" t="s">
        <v>236</v>
      </c>
      <c r="B63" s="492">
        <f>inputPrYr!$D$107</f>
        <v>67127</v>
      </c>
      <c r="C63" s="172"/>
      <c r="D63" s="492">
        <f>inputPrYr!$E$107</f>
        <v>82124</v>
      </c>
      <c r="E63" s="172"/>
      <c r="F63" s="241">
        <f>lpform!$G$28</f>
        <v>151856</v>
      </c>
      <c r="G63" s="47"/>
      <c r="H63" s="47"/>
      <c r="J63" s="524" t="str">
        <f>CONCATENATE("",H2," Tax Levy Fund Exp. Changed By:")</f>
        <v>2014 Tax Levy Fund Exp. Changed By:</v>
      </c>
      <c r="K63" s="525"/>
      <c r="L63" s="525"/>
      <c r="M63" s="517">
        <f>IF(M61=0,0,(M62-G52))</f>
        <v>0</v>
      </c>
    </row>
    <row r="64" spans="1:13" ht="18.75" customHeight="1" thickBot="1">
      <c r="A64" s="52" t="s">
        <v>141</v>
      </c>
      <c r="B64" s="568">
        <f>SUM(B60:B63)</f>
        <v>10886252</v>
      </c>
      <c r="C64" s="172"/>
      <c r="D64" s="568">
        <f>SUM(D60:D63)</f>
        <v>7257790</v>
      </c>
      <c r="E64" s="172"/>
      <c r="F64" s="568">
        <f>SUM(F60:F63)</f>
        <v>7327522</v>
      </c>
      <c r="G64" s="47"/>
      <c r="H64" s="47"/>
    </row>
    <row r="65" spans="1:8" ht="18.75" customHeight="1" thickTop="1">
      <c r="A65" s="52" t="s">
        <v>142</v>
      </c>
      <c r="B65" s="47"/>
      <c r="C65" s="47"/>
      <c r="D65" s="47"/>
      <c r="E65" s="47"/>
      <c r="F65" s="47"/>
      <c r="G65" s="47"/>
      <c r="H65" s="47"/>
    </row>
    <row r="66" spans="1:8">
      <c r="A66" s="47"/>
      <c r="B66" s="47"/>
      <c r="C66" s="47"/>
      <c r="D66" s="47"/>
      <c r="E66" s="47"/>
      <c r="F66" s="47"/>
      <c r="G66" s="47"/>
      <c r="H66" s="47"/>
    </row>
    <row r="67" spans="1:8">
      <c r="A67" s="811" t="str">
        <f>inputBudSum!B3</f>
        <v>Kristina L. Kinney</v>
      </c>
      <c r="B67" s="811"/>
      <c r="C67" s="76"/>
      <c r="D67" s="47"/>
      <c r="E67" s="47"/>
      <c r="F67" s="47"/>
      <c r="G67" s="47"/>
      <c r="H67" s="47"/>
    </row>
    <row r="68" spans="1:8">
      <c r="A68" s="169" t="s">
        <v>276</v>
      </c>
      <c r="B68" s="625" t="str">
        <f>inputBudSum!B5</f>
        <v>City Clerk</v>
      </c>
      <c r="C68" s="47"/>
      <c r="D68" s="47"/>
      <c r="E68" s="47"/>
      <c r="F68" s="47"/>
      <c r="G68" s="47"/>
      <c r="H68" s="47"/>
    </row>
    <row r="69" spans="1:8">
      <c r="A69" s="47"/>
      <c r="B69" s="47"/>
      <c r="C69" s="47"/>
      <c r="D69" s="47"/>
      <c r="E69" s="47"/>
      <c r="F69" s="47"/>
      <c r="G69" s="47"/>
      <c r="H69" s="47"/>
    </row>
    <row r="70" spans="1:8">
      <c r="A70" s="47"/>
      <c r="B70" s="47"/>
      <c r="C70" s="136" t="s">
        <v>117</v>
      </c>
      <c r="D70" s="282">
        <v>21</v>
      </c>
      <c r="E70" s="47"/>
      <c r="F70" s="47"/>
      <c r="G70" s="47"/>
      <c r="H70" s="47"/>
    </row>
  </sheetData>
  <sheetProtection sheet="1"/>
  <mergeCells count="11">
    <mergeCell ref="A67:B67"/>
    <mergeCell ref="J58:M58"/>
    <mergeCell ref="J52:M52"/>
    <mergeCell ref="J45:M45"/>
    <mergeCell ref="J41:M41"/>
    <mergeCell ref="A1:H1"/>
    <mergeCell ref="A4:H4"/>
    <mergeCell ref="A6:H6"/>
    <mergeCell ref="A7:H7"/>
    <mergeCell ref="A3:H3"/>
    <mergeCell ref="A5:H5"/>
  </mergeCells>
  <phoneticPr fontId="0" type="noConversion"/>
  <pageMargins left="1" right="0.5" top="1" bottom="0.5" header="0.5" footer="0.5"/>
  <pageSetup scale="61" orientation="portrait" blackAndWhite="1" horizontalDpi="120" verticalDpi="144"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A1:F40"/>
  <sheetViews>
    <sheetView workbookViewId="0">
      <selection activeCell="C14" sqref="C14"/>
    </sheetView>
  </sheetViews>
  <sheetFormatPr defaultRowHeight="15"/>
  <cols>
    <col min="1" max="1" width="10.109375" style="106" customWidth="1"/>
    <col min="2" max="2" width="16.33203125" style="106" customWidth="1"/>
    <col min="3" max="3" width="11.77734375" style="106" customWidth="1"/>
    <col min="4" max="4" width="12.77734375" style="106" customWidth="1"/>
    <col min="5" max="5" width="11.77734375" style="106" customWidth="1"/>
    <col min="6" max="16384" width="8.88671875" style="106"/>
  </cols>
  <sheetData>
    <row r="1" spans="1:6" ht="15.75">
      <c r="A1" s="197" t="str">
        <f>inputPrYr!D2</f>
        <v>City of Garnett</v>
      </c>
      <c r="B1" s="47"/>
      <c r="C1" s="47"/>
      <c r="D1" s="47"/>
      <c r="E1" s="47"/>
      <c r="F1" s="47">
        <f>inputPrYr!C5</f>
        <v>2014</v>
      </c>
    </row>
    <row r="2" spans="1:6" ht="15.75">
      <c r="A2" s="47"/>
      <c r="B2" s="47"/>
      <c r="C2" s="47"/>
      <c r="D2" s="47"/>
      <c r="E2" s="47"/>
      <c r="F2" s="47"/>
    </row>
    <row r="3" spans="1:6" ht="15.75">
      <c r="A3" s="47"/>
      <c r="B3" s="777" t="str">
        <f>CONCATENATE("",F1," Neighborhood Revitalization Rebate")</f>
        <v>2014 Neighborhood Revitalization Rebate</v>
      </c>
      <c r="C3" s="820"/>
      <c r="D3" s="820"/>
      <c r="E3" s="820"/>
      <c r="F3" s="47"/>
    </row>
    <row r="4" spans="1:6" ht="15.75">
      <c r="A4" s="47"/>
      <c r="B4" s="47"/>
      <c r="C4" s="47"/>
      <c r="D4" s="47"/>
      <c r="E4" s="47"/>
      <c r="F4" s="47"/>
    </row>
    <row r="5" spans="1:6" ht="51.75" customHeight="1">
      <c r="A5" s="47"/>
      <c r="B5" s="332" t="str">
        <f>CONCATENATE("Budgeted Funds         for ",F1,"")</f>
        <v>Budgeted Funds         for 2014</v>
      </c>
      <c r="C5" s="332" t="str">
        <f>CONCATENATE("",F1-1," Ad Valorem before Rebate**")</f>
        <v>2013 Ad Valorem before Rebate**</v>
      </c>
      <c r="D5" s="333" t="str">
        <f>CONCATENATE("",F1-1," Mil Rate before Rebate")</f>
        <v>2013 Mil Rate before Rebate</v>
      </c>
      <c r="E5" s="334" t="str">
        <f>CONCATENATE("Estimate ",F1," NR Rebate")</f>
        <v>Estimate 2014 NR Rebate</v>
      </c>
      <c r="F5" s="98"/>
    </row>
    <row r="6" spans="1:6" ht="15.75">
      <c r="A6" s="47"/>
      <c r="B6" s="64" t="str">
        <f>inputPrYr!B17</f>
        <v>General</v>
      </c>
      <c r="C6" s="335">
        <v>0</v>
      </c>
      <c r="D6" s="336" t="str">
        <f>IF(C6&gt;0,C6/$D$24,"")</f>
        <v/>
      </c>
      <c r="E6" s="241" t="str">
        <f t="shared" ref="E6:E17" si="0">IF(C6&gt;0,ROUND(D6*$D$28,0),"")</f>
        <v/>
      </c>
      <c r="F6" s="98"/>
    </row>
    <row r="7" spans="1:6" ht="15.75">
      <c r="A7" s="47"/>
      <c r="B7" s="64" t="str">
        <f>inputPrYr!B18</f>
        <v>Debt Service</v>
      </c>
      <c r="C7" s="335">
        <v>37151</v>
      </c>
      <c r="D7" s="336">
        <f t="shared" ref="D7:D17" si="1">IF(C7&gt;0,C7/$D$24,"")</f>
        <v>2.0864198224204062</v>
      </c>
      <c r="E7" s="241">
        <f t="shared" si="0"/>
        <v>585</v>
      </c>
      <c r="F7" s="98"/>
    </row>
    <row r="8" spans="1:6" ht="15.75">
      <c r="A8" s="47"/>
      <c r="B8" s="87" t="str">
        <f>inputPrYr!B19</f>
        <v>Library</v>
      </c>
      <c r="C8" s="335">
        <v>102263</v>
      </c>
      <c r="D8" s="336">
        <f t="shared" si="1"/>
        <v>5.7431442033909716</v>
      </c>
      <c r="E8" s="241">
        <f t="shared" si="0"/>
        <v>1609</v>
      </c>
      <c r="F8" s="98"/>
    </row>
    <row r="9" spans="1:6" ht="15.75">
      <c r="A9" s="47"/>
      <c r="B9" s="87" t="str">
        <f>inputPrYr!B21</f>
        <v>Airport</v>
      </c>
      <c r="C9" s="335">
        <v>36426</v>
      </c>
      <c r="D9" s="336">
        <f t="shared" si="1"/>
        <v>2.0457034387092063</v>
      </c>
      <c r="E9" s="241">
        <f t="shared" si="0"/>
        <v>573</v>
      </c>
      <c r="F9" s="98"/>
    </row>
    <row r="10" spans="1:6" ht="15.75">
      <c r="A10" s="47"/>
      <c r="B10" s="87" t="str">
        <f>inputPrYr!B22</f>
        <v>Park</v>
      </c>
      <c r="C10" s="335">
        <v>97556</v>
      </c>
      <c r="D10" s="336">
        <f t="shared" si="1"/>
        <v>5.4787965921790844</v>
      </c>
      <c r="E10" s="241">
        <f t="shared" si="0"/>
        <v>1535</v>
      </c>
      <c r="F10" s="98"/>
    </row>
    <row r="11" spans="1:6" ht="15.75">
      <c r="A11" s="47"/>
      <c r="B11" s="87" t="str">
        <f>inputPrYr!B23</f>
        <v xml:space="preserve">Recreation </v>
      </c>
      <c r="C11" s="335">
        <v>65288</v>
      </c>
      <c r="D11" s="336">
        <f t="shared" si="1"/>
        <v>3.6666086341197675</v>
      </c>
      <c r="E11" s="241">
        <f t="shared" si="0"/>
        <v>1027</v>
      </c>
      <c r="F11" s="98"/>
    </row>
    <row r="12" spans="1:6" ht="15.75">
      <c r="A12" s="47"/>
      <c r="B12" s="87" t="str">
        <f>inputPrYr!B24</f>
        <v>Law Enforcement</v>
      </c>
      <c r="C12" s="337">
        <v>257165</v>
      </c>
      <c r="D12" s="336">
        <f t="shared" si="1"/>
        <v>14.442522506332098</v>
      </c>
      <c r="E12" s="241">
        <f t="shared" si="0"/>
        <v>4047</v>
      </c>
      <c r="F12" s="98"/>
    </row>
    <row r="13" spans="1:6" ht="15.75">
      <c r="A13" s="47"/>
      <c r="B13" s="87" t="str">
        <f>inputPrYr!B25</f>
        <v>Employee Benefits</v>
      </c>
      <c r="C13" s="337">
        <v>159440</v>
      </c>
      <c r="D13" s="336">
        <f t="shared" si="1"/>
        <v>8.9542347847086106</v>
      </c>
      <c r="E13" s="241">
        <f t="shared" si="0"/>
        <v>2509</v>
      </c>
      <c r="F13" s="98"/>
    </row>
    <row r="14" spans="1:6" ht="15.75">
      <c r="A14" s="47"/>
      <c r="B14" s="87">
        <f>inputPrYr!B26</f>
        <v>0</v>
      </c>
      <c r="C14" s="337"/>
      <c r="D14" s="336" t="str">
        <f t="shared" si="1"/>
        <v/>
      </c>
      <c r="E14" s="241" t="str">
        <f t="shared" si="0"/>
        <v/>
      </c>
      <c r="F14" s="98"/>
    </row>
    <row r="15" spans="1:6" ht="15.75">
      <c r="A15" s="47"/>
      <c r="B15" s="87">
        <f>inputPrYr!B27</f>
        <v>0</v>
      </c>
      <c r="C15" s="337"/>
      <c r="D15" s="336" t="str">
        <f t="shared" si="1"/>
        <v/>
      </c>
      <c r="E15" s="241" t="str">
        <f t="shared" si="0"/>
        <v/>
      </c>
      <c r="F15" s="98"/>
    </row>
    <row r="16" spans="1:6" ht="15.75">
      <c r="A16" s="47"/>
      <c r="B16" s="87">
        <f>inputPrYr!B28</f>
        <v>0</v>
      </c>
      <c r="C16" s="337"/>
      <c r="D16" s="336" t="str">
        <f t="shared" si="1"/>
        <v/>
      </c>
      <c r="E16" s="241" t="str">
        <f t="shared" si="0"/>
        <v/>
      </c>
      <c r="F16" s="98"/>
    </row>
    <row r="17" spans="1:6" ht="15.75">
      <c r="A17" s="47"/>
      <c r="B17" s="87">
        <f>inputPrYr!B29</f>
        <v>0</v>
      </c>
      <c r="C17" s="337"/>
      <c r="D17" s="336" t="str">
        <f t="shared" si="1"/>
        <v/>
      </c>
      <c r="E17" s="241" t="str">
        <f t="shared" si="0"/>
        <v/>
      </c>
      <c r="F17" s="98"/>
    </row>
    <row r="18" spans="1:6" ht="15.75">
      <c r="A18" s="47"/>
      <c r="B18" s="87">
        <f>inputPrYr!B30</f>
        <v>0</v>
      </c>
      <c r="C18" s="337"/>
      <c r="D18" s="336" t="str">
        <f>IF(C18&gt;0,C18/$D$24,"")</f>
        <v/>
      </c>
      <c r="E18" s="241" t="str">
        <f>IF(C18&gt;0,ROUND(D18*$D$28,0),"")</f>
        <v/>
      </c>
      <c r="F18" s="98"/>
    </row>
    <row r="19" spans="1:6" ht="16.5" thickBot="1">
      <c r="A19" s="47"/>
      <c r="B19" s="65" t="s">
        <v>101</v>
      </c>
      <c r="C19" s="338">
        <f>SUM(C6:C18)</f>
        <v>755289</v>
      </c>
      <c r="D19" s="339">
        <f>SUM(D6:D17)</f>
        <v>42.417429981860145</v>
      </c>
      <c r="E19" s="338">
        <f>SUM(E6:E17)</f>
        <v>11885</v>
      </c>
      <c r="F19" s="98"/>
    </row>
    <row r="20" spans="1:6" ht="16.5" thickTop="1">
      <c r="A20" s="47"/>
      <c r="B20" s="47"/>
      <c r="C20" s="47"/>
      <c r="D20" s="47"/>
      <c r="E20" s="47"/>
      <c r="F20" s="98"/>
    </row>
    <row r="21" spans="1:6" ht="15.75">
      <c r="A21" s="47"/>
      <c r="B21" s="47"/>
      <c r="C21" s="47"/>
      <c r="D21" s="47"/>
      <c r="E21" s="47"/>
      <c r="F21" s="98"/>
    </row>
    <row r="22" spans="1:6" ht="15.75">
      <c r="A22" s="821" t="str">
        <f>CONCATENATE("",F1-1," July 1 Valuation:")</f>
        <v>2013 July 1 Valuation:</v>
      </c>
      <c r="B22" s="798"/>
      <c r="C22" s="821"/>
      <c r="D22" s="331">
        <f>inputOth!E7</f>
        <v>17806100</v>
      </c>
      <c r="E22" s="47"/>
      <c r="F22" s="98"/>
    </row>
    <row r="23" spans="1:6" ht="15.75">
      <c r="A23" s="47"/>
      <c r="B23" s="47"/>
      <c r="C23" s="47"/>
      <c r="D23" s="47"/>
      <c r="E23" s="47"/>
      <c r="F23" s="98"/>
    </row>
    <row r="24" spans="1:6" ht="15.75">
      <c r="A24" s="47"/>
      <c r="B24" s="821" t="s">
        <v>357</v>
      </c>
      <c r="C24" s="821"/>
      <c r="D24" s="340">
        <f>IF(D22&gt;0,(D22*0.001),"")</f>
        <v>17806.100000000002</v>
      </c>
      <c r="E24" s="47"/>
      <c r="F24" s="98"/>
    </row>
    <row r="25" spans="1:6" ht="15.75">
      <c r="A25" s="47"/>
      <c r="B25" s="136"/>
      <c r="C25" s="136"/>
      <c r="D25" s="341"/>
      <c r="E25" s="47"/>
      <c r="F25" s="98"/>
    </row>
    <row r="26" spans="1:6" ht="15.75">
      <c r="A26" s="819" t="s">
        <v>358</v>
      </c>
      <c r="B26" s="767"/>
      <c r="C26" s="767"/>
      <c r="D26" s="342">
        <f>inputOth!E17</f>
        <v>280231</v>
      </c>
      <c r="E26" s="68"/>
      <c r="F26" s="68"/>
    </row>
    <row r="27" spans="1:6">
      <c r="A27" s="68"/>
      <c r="B27" s="68"/>
      <c r="C27" s="68"/>
      <c r="D27" s="343"/>
      <c r="E27" s="68"/>
      <c r="F27" s="68"/>
    </row>
    <row r="28" spans="1:6" ht="15.75">
      <c r="A28" s="68"/>
      <c r="B28" s="819" t="s">
        <v>359</v>
      </c>
      <c r="C28" s="798"/>
      <c r="D28" s="344">
        <f>IF(D26&gt;0,(D26*0.001),"")</f>
        <v>280.23099999999999</v>
      </c>
      <c r="E28" s="68"/>
      <c r="F28" s="68"/>
    </row>
    <row r="29" spans="1:6">
      <c r="A29" s="68"/>
      <c r="B29" s="68"/>
      <c r="C29" s="68"/>
      <c r="D29" s="68"/>
      <c r="E29" s="68"/>
      <c r="F29" s="68"/>
    </row>
    <row r="30" spans="1:6">
      <c r="A30" s="68"/>
      <c r="B30" s="68"/>
      <c r="C30" s="68"/>
      <c r="D30" s="68"/>
      <c r="E30" s="68"/>
      <c r="F30" s="68"/>
    </row>
    <row r="31" spans="1:6">
      <c r="A31" s="68"/>
      <c r="B31" s="68"/>
      <c r="C31" s="68"/>
      <c r="D31" s="68"/>
      <c r="E31" s="68"/>
      <c r="F31" s="68"/>
    </row>
    <row r="32" spans="1:6" ht="15.75">
      <c r="A32" s="375" t="str">
        <f>CONCATENATE("**This information comes from the ",F1," Budget Summary page.  See instructions tab #13 for completing")</f>
        <v>**This information comes from the 2014 Budget Summary page.  See instructions tab #13 for completing</v>
      </c>
      <c r="B32" s="68"/>
      <c r="C32" s="68"/>
      <c r="D32" s="68"/>
      <c r="E32" s="68"/>
      <c r="F32" s="68"/>
    </row>
    <row r="33" spans="1:6" ht="15.75">
      <c r="A33" s="375" t="s">
        <v>654</v>
      </c>
      <c r="B33" s="68"/>
      <c r="C33" s="68"/>
      <c r="D33" s="68"/>
      <c r="E33" s="68"/>
      <c r="F33" s="68"/>
    </row>
    <row r="34" spans="1:6" ht="15.75">
      <c r="A34" s="375"/>
      <c r="B34" s="68"/>
      <c r="C34" s="68"/>
      <c r="D34" s="68"/>
      <c r="E34" s="68"/>
      <c r="F34" s="68"/>
    </row>
    <row r="35" spans="1:6" ht="15.75">
      <c r="A35" s="375"/>
      <c r="B35" s="68"/>
      <c r="C35" s="68"/>
      <c r="D35" s="68"/>
      <c r="E35" s="68"/>
      <c r="F35" s="68"/>
    </row>
    <row r="36" spans="1:6" ht="15.75">
      <c r="A36" s="375"/>
      <c r="B36" s="68"/>
      <c r="C36" s="68"/>
      <c r="D36" s="68"/>
      <c r="E36" s="68"/>
      <c r="F36" s="68"/>
    </row>
    <row r="37" spans="1:6" ht="15.75">
      <c r="A37" s="375"/>
      <c r="B37" s="68"/>
      <c r="C37" s="68"/>
      <c r="D37" s="68"/>
      <c r="E37" s="68"/>
      <c r="F37" s="68"/>
    </row>
    <row r="38" spans="1:6">
      <c r="A38" s="68"/>
      <c r="B38" s="68"/>
      <c r="C38" s="68"/>
      <c r="D38" s="68"/>
      <c r="E38" s="68"/>
      <c r="F38" s="68"/>
    </row>
    <row r="39" spans="1:6" ht="15.75">
      <c r="A39" s="68"/>
      <c r="B39" s="187" t="s">
        <v>125</v>
      </c>
      <c r="C39" s="282">
        <v>22</v>
      </c>
      <c r="D39" s="68"/>
      <c r="E39" s="68"/>
      <c r="F39" s="68"/>
    </row>
    <row r="40" spans="1:6" ht="15.75">
      <c r="A40" s="98"/>
      <c r="B40" s="47"/>
      <c r="C40" s="47"/>
      <c r="D40" s="345"/>
      <c r="E40" s="98"/>
      <c r="F40" s="98"/>
    </row>
  </sheetData>
  <sheetProtection sheet="1"/>
  <mergeCells count="5">
    <mergeCell ref="B28:C28"/>
    <mergeCell ref="B3:E3"/>
    <mergeCell ref="A22:C22"/>
    <mergeCell ref="B24:C24"/>
    <mergeCell ref="A26:C26"/>
  </mergeCells>
  <phoneticPr fontId="9" type="noConversion"/>
  <pageMargins left="0.75" right="0.75" top="1" bottom="1" header="0.5" footer="0.5"/>
  <pageSetup scale="92"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E53"/>
  <sheetViews>
    <sheetView workbookViewId="0">
      <selection activeCell="F27" sqref="F27"/>
    </sheetView>
  </sheetViews>
  <sheetFormatPr defaultRowHeight="15"/>
  <cols>
    <col min="1" max="1" width="2.44140625" style="106" customWidth="1"/>
    <col min="2" max="2" width="31.109375" style="106" customWidth="1"/>
    <col min="3" max="4" width="15.77734375" style="106" customWidth="1"/>
    <col min="5" max="5" width="16.33203125" style="106" customWidth="1"/>
    <col min="6" max="16384" width="8.88671875" style="106"/>
  </cols>
  <sheetData>
    <row r="1" spans="2:5" ht="15.75">
      <c r="B1" s="197" t="str">
        <f>(inputPrYr!D2)</f>
        <v>City of Garnett</v>
      </c>
      <c r="C1" s="47"/>
      <c r="D1" s="47"/>
      <c r="E1" s="219">
        <f>inputPrYr!$C$5</f>
        <v>2014</v>
      </c>
    </row>
    <row r="2" spans="2:5" ht="15.75">
      <c r="B2" s="47"/>
      <c r="C2" s="47"/>
      <c r="D2" s="47"/>
      <c r="E2" s="169"/>
    </row>
    <row r="3" spans="2:5" ht="15.75">
      <c r="B3" s="249" t="s">
        <v>174</v>
      </c>
      <c r="C3" s="296"/>
      <c r="D3" s="296"/>
      <c r="E3" s="297"/>
    </row>
    <row r="4" spans="2:5" ht="15.75">
      <c r="B4" s="52" t="s">
        <v>106</v>
      </c>
      <c r="C4" s="715" t="s">
        <v>950</v>
      </c>
      <c r="D4" s="716" t="s">
        <v>951</v>
      </c>
      <c r="E4" s="144" t="s">
        <v>952</v>
      </c>
    </row>
    <row r="5" spans="2:5" ht="15.75">
      <c r="B5" s="535">
        <f>(inputPrYr!B51)</f>
        <v>0</v>
      </c>
      <c r="C5" s="225" t="str">
        <f>CONCATENATE("Actual for ",E1-2,"")</f>
        <v>Actual for 2012</v>
      </c>
      <c r="D5" s="225" t="str">
        <f>CONCATENATE("Estimate for ",E1-1,"")</f>
        <v>Estimate for 2013</v>
      </c>
      <c r="E5" s="208" t="str">
        <f>CONCATENATE("Year for ",E1,"")</f>
        <v>Year for 2014</v>
      </c>
    </row>
    <row r="6" spans="2:5" ht="15.75">
      <c r="B6" s="150" t="s">
        <v>228</v>
      </c>
      <c r="C6" s="257"/>
      <c r="D6" s="255">
        <f>C48</f>
        <v>0</v>
      </c>
      <c r="E6" s="228">
        <f>D48</f>
        <v>0</v>
      </c>
    </row>
    <row r="7" spans="2:5" ht="15.75">
      <c r="B7" s="285" t="s">
        <v>230</v>
      </c>
      <c r="C7" s="159"/>
      <c r="D7" s="159"/>
      <c r="E7" s="87"/>
    </row>
    <row r="8" spans="2:5" ht="15.75">
      <c r="B8" s="273"/>
      <c r="C8" s="257"/>
      <c r="D8" s="257"/>
      <c r="E8" s="260"/>
    </row>
    <row r="9" spans="2:5" ht="15.75">
      <c r="B9" s="273"/>
      <c r="C9" s="257"/>
      <c r="D9" s="257"/>
      <c r="E9" s="260"/>
    </row>
    <row r="10" spans="2:5" ht="15.75">
      <c r="B10" s="273"/>
      <c r="C10" s="257"/>
      <c r="D10" s="257"/>
      <c r="E10" s="260"/>
    </row>
    <row r="11" spans="2:5" ht="15.75">
      <c r="B11" s="273"/>
      <c r="C11" s="257"/>
      <c r="D11" s="257"/>
      <c r="E11" s="260"/>
    </row>
    <row r="12" spans="2:5" ht="15.75">
      <c r="B12" s="273"/>
      <c r="C12" s="257"/>
      <c r="D12" s="257"/>
      <c r="E12" s="260"/>
    </row>
    <row r="13" spans="2:5" ht="15.75">
      <c r="B13" s="273"/>
      <c r="C13" s="257"/>
      <c r="D13" s="257"/>
      <c r="E13" s="260"/>
    </row>
    <row r="14" spans="2:5" ht="15.75">
      <c r="B14" s="291"/>
      <c r="C14" s="257"/>
      <c r="D14" s="257"/>
      <c r="E14" s="108"/>
    </row>
    <row r="15" spans="2:5" ht="15.75">
      <c r="B15" s="273"/>
      <c r="C15" s="257"/>
      <c r="D15" s="257"/>
      <c r="E15" s="260"/>
    </row>
    <row r="16" spans="2:5" ht="15.75">
      <c r="B16" s="298" t="s">
        <v>114</v>
      </c>
      <c r="C16" s="257"/>
      <c r="D16" s="257"/>
      <c r="E16" s="260"/>
    </row>
    <row r="17" spans="2:5" ht="15.75">
      <c r="B17" s="159" t="s">
        <v>14</v>
      </c>
      <c r="C17" s="257"/>
      <c r="D17" s="257"/>
      <c r="E17" s="260"/>
    </row>
    <row r="18" spans="2:5" ht="15.75">
      <c r="B18" s="252" t="s">
        <v>784</v>
      </c>
      <c r="C18" s="262" t="str">
        <f>IF(C19*0.1&lt;C17,"Exceed 10% Rule","")</f>
        <v/>
      </c>
      <c r="D18" s="262" t="str">
        <f>IF(D19*0.1&lt;D17,"Exceed 10% Rule","")</f>
        <v/>
      </c>
      <c r="E18" s="299" t="str">
        <f>IF(E19*0.1&lt;E17,"Exceed 10% Rule","")</f>
        <v/>
      </c>
    </row>
    <row r="19" spans="2:5" ht="15.75">
      <c r="B19" s="264" t="s">
        <v>115</v>
      </c>
      <c r="C19" s="266">
        <f>SUM(C8:C17)</f>
        <v>0</v>
      </c>
      <c r="D19" s="266">
        <f>SUM(D8:D17)</f>
        <v>0</v>
      </c>
      <c r="E19" s="267">
        <f>SUM(E8:E17)</f>
        <v>0</v>
      </c>
    </row>
    <row r="20" spans="2:5" ht="15.75">
      <c r="B20" s="264" t="s">
        <v>116</v>
      </c>
      <c r="C20" s="266">
        <f>C6+C19</f>
        <v>0</v>
      </c>
      <c r="D20" s="266">
        <f>D6+D19</f>
        <v>0</v>
      </c>
      <c r="E20" s="267">
        <f>E6+E19</f>
        <v>0</v>
      </c>
    </row>
    <row r="21" spans="2:5" ht="15.75">
      <c r="B21" s="150" t="s">
        <v>118</v>
      </c>
      <c r="C21" s="159"/>
      <c r="D21" s="159"/>
      <c r="E21" s="87"/>
    </row>
    <row r="22" spans="2:5" ht="15.75">
      <c r="B22" s="273" t="s">
        <v>277</v>
      </c>
      <c r="C22" s="257"/>
      <c r="D22" s="257"/>
      <c r="E22" s="260"/>
    </row>
    <row r="23" spans="2:5" ht="15.75">
      <c r="B23" s="273" t="s">
        <v>23</v>
      </c>
      <c r="C23" s="257"/>
      <c r="D23" s="257"/>
      <c r="E23" s="260"/>
    </row>
    <row r="24" spans="2:5" ht="15.75">
      <c r="B24" s="273"/>
      <c r="C24" s="257"/>
      <c r="D24" s="257"/>
      <c r="E24" s="108"/>
    </row>
    <row r="25" spans="2:5" ht="15.75">
      <c r="B25" s="273"/>
      <c r="C25" s="257"/>
      <c r="D25" s="257"/>
      <c r="E25" s="108"/>
    </row>
    <row r="26" spans="2:5" ht="15.75">
      <c r="B26" s="273"/>
      <c r="C26" s="257"/>
      <c r="D26" s="257"/>
      <c r="E26" s="108"/>
    </row>
    <row r="27" spans="2:5" ht="15.75">
      <c r="B27" s="273"/>
      <c r="C27" s="257"/>
      <c r="D27" s="257"/>
      <c r="E27" s="108"/>
    </row>
    <row r="28" spans="2:5" ht="15.75">
      <c r="B28" s="273"/>
      <c r="C28" s="257"/>
      <c r="D28" s="257"/>
      <c r="E28" s="108"/>
    </row>
    <row r="29" spans="2:5" ht="15.75">
      <c r="B29" s="273"/>
      <c r="C29" s="257"/>
      <c r="D29" s="257"/>
      <c r="E29" s="108"/>
    </row>
    <row r="30" spans="2:5" ht="15.75">
      <c r="B30" s="273"/>
      <c r="C30" s="257"/>
      <c r="D30" s="257"/>
      <c r="E30" s="108"/>
    </row>
    <row r="31" spans="2:5" ht="15.75">
      <c r="B31" s="273"/>
      <c r="C31" s="257"/>
      <c r="D31" s="257"/>
      <c r="E31" s="108"/>
    </row>
    <row r="32" spans="2:5" ht="15.75">
      <c r="B32" s="273"/>
      <c r="C32" s="257"/>
      <c r="D32" s="257"/>
      <c r="E32" s="108"/>
    </row>
    <row r="33" spans="2:5" ht="15.75">
      <c r="B33" s="273"/>
      <c r="C33" s="257"/>
      <c r="D33" s="257"/>
      <c r="E33" s="108"/>
    </row>
    <row r="34" spans="2:5" ht="15.75">
      <c r="B34" s="273"/>
      <c r="C34" s="257"/>
      <c r="D34" s="257"/>
      <c r="E34" s="108"/>
    </row>
    <row r="35" spans="2:5" ht="15.75">
      <c r="B35" s="273"/>
      <c r="C35" s="257"/>
      <c r="D35" s="257"/>
      <c r="E35" s="260"/>
    </row>
    <row r="36" spans="2:5" ht="15.75">
      <c r="B36" s="273"/>
      <c r="C36" s="257"/>
      <c r="D36" s="257"/>
      <c r="E36" s="260"/>
    </row>
    <row r="37" spans="2:5" ht="15.75">
      <c r="B37" s="273"/>
      <c r="C37" s="257"/>
      <c r="D37" s="257"/>
      <c r="E37" s="260"/>
    </row>
    <row r="38" spans="2:5" ht="15.75">
      <c r="B38" s="273"/>
      <c r="C38" s="257"/>
      <c r="D38" s="257"/>
      <c r="E38" s="260"/>
    </row>
    <row r="39" spans="2:5" ht="15.75">
      <c r="B39" s="273"/>
      <c r="C39" s="257"/>
      <c r="D39" s="257"/>
      <c r="E39" s="260"/>
    </row>
    <row r="40" spans="2:5" ht="15.75">
      <c r="B40" s="273"/>
      <c r="C40" s="257"/>
      <c r="D40" s="257"/>
      <c r="E40" s="260"/>
    </row>
    <row r="41" spans="2:5" ht="15.75">
      <c r="B41" s="273"/>
      <c r="C41" s="257"/>
      <c r="D41" s="257"/>
      <c r="E41" s="260"/>
    </row>
    <row r="42" spans="2:5" ht="15.75">
      <c r="B42" s="273"/>
      <c r="C42" s="257"/>
      <c r="D42" s="257"/>
      <c r="E42" s="260"/>
    </row>
    <row r="43" spans="2:5" ht="15.75">
      <c r="B43" s="273"/>
      <c r="C43" s="257"/>
      <c r="D43" s="257"/>
      <c r="E43" s="260"/>
    </row>
    <row r="44" spans="2:5" ht="15.75">
      <c r="B44" s="273"/>
      <c r="C44" s="257"/>
      <c r="D44" s="257"/>
      <c r="E44" s="260"/>
    </row>
    <row r="45" spans="2:5" ht="15.75">
      <c r="B45" s="274" t="s">
        <v>14</v>
      </c>
      <c r="C45" s="257"/>
      <c r="D45" s="257"/>
      <c r="E45" s="260"/>
    </row>
    <row r="46" spans="2:5" ht="15.75">
      <c r="B46" s="274" t="s">
        <v>785</v>
      </c>
      <c r="C46" s="262" t="str">
        <f>IF(C47*0.1&lt;C45,"Exceed 10% Rule","")</f>
        <v/>
      </c>
      <c r="D46" s="262" t="str">
        <f>IF(D47*0.1&lt;D45,"Exceed 10% Rule","")</f>
        <v/>
      </c>
      <c r="E46" s="299" t="str">
        <f>IF(E47*0.1&lt;E45,"Exceed 10% Rule","")</f>
        <v/>
      </c>
    </row>
    <row r="47" spans="2:5" ht="15.75">
      <c r="B47" s="264" t="s">
        <v>122</v>
      </c>
      <c r="C47" s="266">
        <f>SUM(C22:C45)</f>
        <v>0</v>
      </c>
      <c r="D47" s="266">
        <f>SUM(D22:D45)</f>
        <v>0</v>
      </c>
      <c r="E47" s="267">
        <f>SUM(E22:E45)</f>
        <v>0</v>
      </c>
    </row>
    <row r="48" spans="2:5" ht="15.75">
      <c r="B48" s="150" t="s">
        <v>229</v>
      </c>
      <c r="C48" s="270">
        <f>C20-C47</f>
        <v>0</v>
      </c>
      <c r="D48" s="270">
        <f>D20-D47</f>
        <v>0</v>
      </c>
      <c r="E48" s="82">
        <f>E20-E47</f>
        <v>0</v>
      </c>
    </row>
    <row r="49" spans="2:5" ht="15.75">
      <c r="B49" s="136" t="str">
        <f>CONCATENATE("",E1-2," Budget Authority Limited Amount:")</f>
        <v>2012 Budget Authority Limited Amount:</v>
      </c>
      <c r="C49" s="241">
        <f>inputOth!B89</f>
        <v>0</v>
      </c>
      <c r="D49" s="241">
        <f>inputPrYr!D51</f>
        <v>0</v>
      </c>
      <c r="E49" s="381" t="str">
        <f>IF(E48&lt;0,"See Tab E","")</f>
        <v/>
      </c>
    </row>
    <row r="50" spans="2:5" ht="15.75">
      <c r="B50" s="136"/>
      <c r="C50" s="277" t="str">
        <f>IF(C47&gt;C49,"See Tab A","")</f>
        <v/>
      </c>
      <c r="D50" s="277" t="str">
        <f>IF(D47&gt;D49,"See Tab C","")</f>
        <v/>
      </c>
      <c r="E50" s="68"/>
    </row>
    <row r="51" spans="2:5" ht="15.75">
      <c r="B51" s="136"/>
      <c r="C51" s="277" t="str">
        <f>IF(C48&lt;0,"See Tab B","")</f>
        <v/>
      </c>
      <c r="D51" s="277" t="str">
        <f>IF(D48&lt;0,"See Tab D","")</f>
        <v/>
      </c>
      <c r="E51" s="68"/>
    </row>
    <row r="52" spans="2:5">
      <c r="B52" s="68"/>
      <c r="C52" s="68"/>
      <c r="D52" s="68"/>
      <c r="E52" s="68"/>
    </row>
    <row r="53" spans="2:5" ht="15.75">
      <c r="B53" s="405" t="s">
        <v>125</v>
      </c>
      <c r="C53" s="282"/>
      <c r="D53" s="68"/>
      <c r="E53" s="68"/>
    </row>
  </sheetData>
  <sheetProtection sheet="1"/>
  <phoneticPr fontId="9" type="noConversion"/>
  <conditionalFormatting sqref="E17">
    <cfRule type="cellIs" dxfId="79" priority="4" stopIfTrue="1" operator="greaterThan">
      <formula>$E$19*0.1</formula>
    </cfRule>
  </conditionalFormatting>
  <conditionalFormatting sqref="E45">
    <cfRule type="cellIs" dxfId="78" priority="5" stopIfTrue="1" operator="greaterThan">
      <formula>$E$47*0.1</formula>
    </cfRule>
  </conditionalFormatting>
  <conditionalFormatting sqref="C45">
    <cfRule type="cellIs" dxfId="77" priority="6" stopIfTrue="1" operator="greaterThan">
      <formula>$C$47*0.1</formula>
    </cfRule>
  </conditionalFormatting>
  <conditionalFormatting sqref="D45">
    <cfRule type="cellIs" dxfId="76" priority="7" stopIfTrue="1" operator="greaterThan">
      <formula>$D$47*0.1</formula>
    </cfRule>
  </conditionalFormatting>
  <conditionalFormatting sqref="D47">
    <cfRule type="cellIs" dxfId="75" priority="8" stopIfTrue="1" operator="greaterThan">
      <formula>$D$49</formula>
    </cfRule>
  </conditionalFormatting>
  <conditionalFormatting sqref="C47">
    <cfRule type="cellIs" dxfId="74" priority="9" stopIfTrue="1" operator="greaterThan">
      <formula>$C$49</formula>
    </cfRule>
  </conditionalFormatting>
  <conditionalFormatting sqref="C48 E48">
    <cfRule type="cellIs" dxfId="73" priority="10" stopIfTrue="1" operator="lessThan">
      <formula>0</formula>
    </cfRule>
  </conditionalFormatting>
  <conditionalFormatting sqref="D48">
    <cfRule type="cellIs" dxfId="72" priority="3" stopIfTrue="1" operator="lessThan">
      <formula>0</formula>
    </cfRule>
  </conditionalFormatting>
  <conditionalFormatting sqref="D17">
    <cfRule type="cellIs" dxfId="71" priority="2" stopIfTrue="1" operator="greaterThan">
      <formula>$D$19*0.1</formula>
    </cfRule>
  </conditionalFormatting>
  <conditionalFormatting sqref="C17">
    <cfRule type="cellIs" dxfId="70" priority="1" stopIfTrue="1" operator="greaterThan">
      <formula>$C$19*0.1</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92"/>
  <sheetViews>
    <sheetView workbookViewId="0">
      <selection activeCell="B87" sqref="B87"/>
    </sheetView>
  </sheetViews>
  <sheetFormatPr defaultRowHeight="15"/>
  <cols>
    <col min="1" max="1" width="17.6640625" style="106" customWidth="1"/>
    <col min="2" max="2" width="20.77734375" style="106" customWidth="1"/>
    <col min="3" max="3" width="9.77734375" style="106" customWidth="1"/>
    <col min="4" max="4" width="15.109375" style="106" customWidth="1"/>
    <col min="5" max="5" width="15.77734375" style="106" customWidth="1"/>
    <col min="6" max="16384" width="8.88671875" style="106"/>
  </cols>
  <sheetData>
    <row r="1" spans="1:5" ht="15.75">
      <c r="A1" s="174" t="str">
        <f>inputPrYr!$D$2</f>
        <v>City of Garnett</v>
      </c>
      <c r="B1" s="68"/>
      <c r="C1" s="68"/>
      <c r="D1" s="68"/>
      <c r="E1" s="173">
        <f>inputPrYr!C5</f>
        <v>2014</v>
      </c>
    </row>
    <row r="2" spans="1:5">
      <c r="A2" s="68"/>
      <c r="B2" s="68"/>
      <c r="C2" s="68"/>
      <c r="D2" s="68"/>
      <c r="E2" s="68"/>
    </row>
    <row r="3" spans="1:5" ht="15.75">
      <c r="A3" s="745" t="s">
        <v>333</v>
      </c>
      <c r="B3" s="746"/>
      <c r="C3" s="746"/>
      <c r="D3" s="746"/>
      <c r="E3" s="746"/>
    </row>
    <row r="4" spans="1:5">
      <c r="A4" s="68"/>
      <c r="B4" s="68"/>
      <c r="C4" s="68"/>
      <c r="D4" s="68"/>
      <c r="E4" s="68"/>
    </row>
    <row r="5" spans="1:5">
      <c r="A5" s="68"/>
      <c r="B5" s="68"/>
      <c r="C5" s="68"/>
      <c r="D5" s="68"/>
      <c r="E5" s="68"/>
    </row>
    <row r="6" spans="1:5" ht="15.75">
      <c r="A6" s="59" t="str">
        <f>CONCATENATE("From the County Clerks ",E1," Budget Information:")</f>
        <v>From the County Clerks 2014 Budget Information:</v>
      </c>
      <c r="B6" s="60"/>
      <c r="C6" s="47"/>
      <c r="D6" s="47"/>
      <c r="E6" s="97"/>
    </row>
    <row r="7" spans="1:5" ht="15.75">
      <c r="A7" s="107" t="str">
        <f>CONCATENATE("Total Assessed Valuation for ",E1-1,"")</f>
        <v>Total Assessed Valuation for 2013</v>
      </c>
      <c r="B7" s="72"/>
      <c r="C7" s="72"/>
      <c r="D7" s="72"/>
      <c r="E7" s="67">
        <v>17806100</v>
      </c>
    </row>
    <row r="8" spans="1:5" ht="15.75">
      <c r="A8" s="107" t="str">
        <f>CONCATENATE("New Improvements for ",E1-1,"")</f>
        <v>New Improvements for 2013</v>
      </c>
      <c r="B8" s="72"/>
      <c r="C8" s="72"/>
      <c r="D8" s="72"/>
      <c r="E8" s="108">
        <v>38369</v>
      </c>
    </row>
    <row r="9" spans="1:5" ht="15.75">
      <c r="A9" s="107" t="str">
        <f>CONCATENATE("Personal Property excluding oil, gas, mobile homes - ",E1-1,"")</f>
        <v>Personal Property excluding oil, gas, mobile homes - 2013</v>
      </c>
      <c r="B9" s="72"/>
      <c r="C9" s="72"/>
      <c r="D9" s="72"/>
      <c r="E9" s="108">
        <v>638039</v>
      </c>
    </row>
    <row r="10" spans="1:5" ht="15.75">
      <c r="A10" s="109" t="s">
        <v>263</v>
      </c>
      <c r="B10" s="72"/>
      <c r="C10" s="72"/>
      <c r="D10" s="72"/>
      <c r="E10" s="87"/>
    </row>
    <row r="11" spans="1:5" ht="15.75">
      <c r="A11" s="107" t="s">
        <v>221</v>
      </c>
      <c r="B11" s="72"/>
      <c r="C11" s="72"/>
      <c r="D11" s="72"/>
      <c r="E11" s="108">
        <v>16725453</v>
      </c>
    </row>
    <row r="12" spans="1:5" ht="15.75">
      <c r="A12" s="107" t="s">
        <v>222</v>
      </c>
      <c r="B12" s="72"/>
      <c r="C12" s="72"/>
      <c r="D12" s="72"/>
      <c r="E12" s="108">
        <v>442608</v>
      </c>
    </row>
    <row r="13" spans="1:5" ht="15.75">
      <c r="A13" s="107" t="s">
        <v>223</v>
      </c>
      <c r="B13" s="72"/>
      <c r="C13" s="72"/>
      <c r="D13" s="72"/>
      <c r="E13" s="108">
        <v>38369</v>
      </c>
    </row>
    <row r="14" spans="1:5" ht="15.75">
      <c r="A14" s="107" t="str">
        <f>CONCATENATE("Property that has changed in use for ",E1-1,"")</f>
        <v>Property that has changed in use for 2013</v>
      </c>
      <c r="B14" s="72"/>
      <c r="C14" s="72"/>
      <c r="D14" s="72"/>
      <c r="E14" s="108">
        <v>530574</v>
      </c>
    </row>
    <row r="15" spans="1:5" ht="15.75">
      <c r="A15" s="107" t="str">
        <f>CONCATENATE("Personal Property  excluding oil, gas, mobile homes- ",E1-2,"")</f>
        <v>Personal Property  excluding oil, gas, mobile homes- 2012</v>
      </c>
      <c r="B15" s="72"/>
      <c r="C15" s="72"/>
      <c r="D15" s="72"/>
      <c r="E15" s="108"/>
    </row>
    <row r="16" spans="1:5" ht="15.75">
      <c r="A16" s="107" t="str">
        <f>CONCATENATE("Gross earnings (intangible) tax estimate for ",E1,"")</f>
        <v>Gross earnings (intangible) tax estimate for 2014</v>
      </c>
      <c r="B16" s="72"/>
      <c r="C16" s="72"/>
      <c r="D16" s="93"/>
      <c r="E16" s="67"/>
    </row>
    <row r="17" spans="1:5" ht="15.75">
      <c r="A17" s="107" t="s">
        <v>264</v>
      </c>
      <c r="B17" s="72"/>
      <c r="C17" s="72"/>
      <c r="D17" s="72"/>
      <c r="E17" s="103">
        <v>280231</v>
      </c>
    </row>
    <row r="18" spans="1:5" ht="15.75">
      <c r="A18" s="75"/>
      <c r="B18" s="76"/>
      <c r="C18" s="76"/>
      <c r="D18" s="76"/>
      <c r="E18" s="84"/>
    </row>
    <row r="19" spans="1:5" ht="15.75">
      <c r="A19" s="75" t="str">
        <f>CONCATENATE("Actual Tax Rates for the ",E1-1," Budget:")</f>
        <v>Actual Tax Rates for the 2013 Budget:</v>
      </c>
      <c r="B19" s="76"/>
      <c r="C19" s="76"/>
      <c r="D19" s="76"/>
      <c r="E19" s="84"/>
    </row>
    <row r="20" spans="1:5" ht="15.75">
      <c r="A20" s="754" t="s">
        <v>92</v>
      </c>
      <c r="B20" s="755"/>
      <c r="C20" s="68"/>
      <c r="D20" s="110" t="s">
        <v>146</v>
      </c>
      <c r="E20" s="84"/>
    </row>
    <row r="21" spans="1:5" ht="15.75">
      <c r="A21" s="70" t="s">
        <v>76</v>
      </c>
      <c r="B21" s="71"/>
      <c r="C21" s="76"/>
      <c r="D21" s="111">
        <v>0</v>
      </c>
      <c r="E21" s="84"/>
    </row>
    <row r="22" spans="1:5" ht="15.75">
      <c r="A22" s="107" t="s">
        <v>47</v>
      </c>
      <c r="B22" s="72"/>
      <c r="C22" s="76"/>
      <c r="D22" s="112">
        <v>2.0579999999999998</v>
      </c>
      <c r="E22" s="84"/>
    </row>
    <row r="23" spans="1:5" ht="15.75">
      <c r="A23" s="107" t="str">
        <f>IF(inputPrYr!B19&gt;" ",(inputPrYr!B19)," ")</f>
        <v>Library</v>
      </c>
      <c r="B23" s="72"/>
      <c r="C23" s="76"/>
      <c r="D23" s="112">
        <v>5.665</v>
      </c>
      <c r="E23" s="84"/>
    </row>
    <row r="24" spans="1:5" ht="15.75">
      <c r="A24" s="107" t="str">
        <f>IF(inputPrYr!B21&gt;" ",(inputPrYr!B21)," ")</f>
        <v>Airport</v>
      </c>
      <c r="B24" s="72"/>
      <c r="C24" s="76"/>
      <c r="D24" s="112">
        <v>2.08</v>
      </c>
      <c r="E24" s="84"/>
    </row>
    <row r="25" spans="1:5" ht="15.75">
      <c r="A25" s="107" t="str">
        <f>IF(inputPrYr!B22&gt;" ",(inputPrYr!B22)," ")</f>
        <v>Park</v>
      </c>
      <c r="B25" s="72"/>
      <c r="C25" s="76"/>
      <c r="D25" s="112">
        <v>9.1050000000000004</v>
      </c>
      <c r="E25" s="84"/>
    </row>
    <row r="26" spans="1:5" ht="15.75">
      <c r="A26" s="107" t="str">
        <f>IF(inputPrYr!B23&gt;" ",(inputPrYr!B23)," ")</f>
        <v xml:space="preserve">Recreation </v>
      </c>
      <c r="B26" s="113"/>
      <c r="C26" s="76"/>
      <c r="D26" s="114">
        <v>14.686</v>
      </c>
      <c r="E26" s="84"/>
    </row>
    <row r="27" spans="1:5" ht="15.75">
      <c r="A27" s="107" t="str">
        <f>IF(inputPrYr!B24&gt;" ",(inputPrYr!B24)," ")</f>
        <v>Law Enforcement</v>
      </c>
      <c r="B27" s="113"/>
      <c r="C27" s="76"/>
      <c r="D27" s="114">
        <v>5.5709999999999997</v>
      </c>
      <c r="E27" s="84"/>
    </row>
    <row r="28" spans="1:5" ht="15.75">
      <c r="A28" s="107" t="str">
        <f>IF(inputPrYr!B25&gt;" ",(inputPrYr!B25)," ")</f>
        <v>Employee Benefits</v>
      </c>
      <c r="B28" s="113"/>
      <c r="C28" s="76"/>
      <c r="D28" s="114">
        <v>3.7290000000000001</v>
      </c>
      <c r="E28" s="84"/>
    </row>
    <row r="29" spans="1:5" ht="15.75">
      <c r="A29" s="107" t="str">
        <f>IF(inputPrYr!B26&gt;" ",(inputPrYr!B26)," ")</f>
        <v xml:space="preserve"> </v>
      </c>
      <c r="B29" s="113"/>
      <c r="C29" s="76"/>
      <c r="D29" s="114"/>
      <c r="E29" s="84"/>
    </row>
    <row r="30" spans="1:5" ht="15.75">
      <c r="A30" s="107" t="str">
        <f>IF(inputPrYr!B27&gt;" ",(inputPrYr!B27)," ")</f>
        <v xml:space="preserve"> </v>
      </c>
      <c r="B30" s="113"/>
      <c r="C30" s="76"/>
      <c r="D30" s="114"/>
      <c r="E30" s="84"/>
    </row>
    <row r="31" spans="1:5" ht="15.75">
      <c r="A31" s="107" t="str">
        <f>IF(inputPrYr!B28&gt;" ",(inputPrYr!B28)," ")</f>
        <v xml:space="preserve"> </v>
      </c>
      <c r="B31" s="113"/>
      <c r="C31" s="76"/>
      <c r="D31" s="114"/>
      <c r="E31" s="84"/>
    </row>
    <row r="32" spans="1:5" ht="15.75">
      <c r="A32" s="107" t="str">
        <f>IF(inputPrYr!B29&gt;" ",(inputPrYr!B29)," ")</f>
        <v xml:space="preserve"> </v>
      </c>
      <c r="B32" s="113"/>
      <c r="C32" s="76"/>
      <c r="D32" s="114"/>
      <c r="E32" s="84"/>
    </row>
    <row r="33" spans="1:5" ht="15.75">
      <c r="A33" s="107" t="str">
        <f>IF(inputPrYr!B30&gt;" ",(inputPrYr!B30)," ")</f>
        <v xml:space="preserve"> </v>
      </c>
      <c r="B33" s="72"/>
      <c r="C33" s="76"/>
      <c r="D33" s="114"/>
      <c r="E33" s="84"/>
    </row>
    <row r="34" spans="1:5" ht="15.75">
      <c r="A34" s="115"/>
      <c r="B34" s="76"/>
      <c r="C34" s="274" t="s">
        <v>78</v>
      </c>
      <c r="D34" s="614">
        <f>SUM(D21:D33)</f>
        <v>42.893999999999998</v>
      </c>
      <c r="E34" s="115"/>
    </row>
    <row r="35" spans="1:5">
      <c r="A35" s="115"/>
      <c r="B35" s="115"/>
      <c r="C35" s="115"/>
      <c r="D35" s="115"/>
      <c r="E35" s="115"/>
    </row>
    <row r="36" spans="1:5" ht="15.75">
      <c r="A36" s="71" t="str">
        <f>CONCATENATE("Final Assessed Valuation from the November 1, ",E1-2," Abstract")</f>
        <v>Final Assessed Valuation from the November 1, 2012 Abstract</v>
      </c>
      <c r="B36" s="116"/>
      <c r="C36" s="116"/>
      <c r="D36" s="116"/>
      <c r="E36" s="103">
        <v>18052730</v>
      </c>
    </row>
    <row r="37" spans="1:5">
      <c r="A37" s="115"/>
      <c r="B37" s="115"/>
      <c r="C37" s="115"/>
      <c r="D37" s="115"/>
      <c r="E37" s="115"/>
    </row>
    <row r="38" spans="1:5" ht="15.75">
      <c r="A38" s="117" t="str">
        <f>CONCATENATE("From the County Treasurer's Budget Information - ",E1," Budget Year Estimates:")</f>
        <v>From the County Treasurer's Budget Information - 2014 Budget Year Estimates:</v>
      </c>
      <c r="B38" s="58"/>
      <c r="C38" s="58"/>
      <c r="D38" s="118"/>
      <c r="E38" s="97"/>
    </row>
    <row r="39" spans="1:5" ht="15.75">
      <c r="A39" s="70" t="s">
        <v>79</v>
      </c>
      <c r="B39" s="71"/>
      <c r="C39" s="71"/>
      <c r="D39" s="119"/>
      <c r="E39" s="67">
        <v>107807</v>
      </c>
    </row>
    <row r="40" spans="1:5" ht="15.75">
      <c r="A40" s="107" t="s">
        <v>80</v>
      </c>
      <c r="B40" s="72"/>
      <c r="C40" s="72"/>
      <c r="D40" s="120"/>
      <c r="E40" s="67">
        <v>1639</v>
      </c>
    </row>
    <row r="41" spans="1:5" ht="15.75">
      <c r="A41" s="107" t="s">
        <v>265</v>
      </c>
      <c r="B41" s="72"/>
      <c r="C41" s="72"/>
      <c r="D41" s="120"/>
      <c r="E41" s="67">
        <v>1764</v>
      </c>
    </row>
    <row r="42" spans="1:5" ht="15.75">
      <c r="A42" s="107" t="s">
        <v>266</v>
      </c>
      <c r="B42" s="72"/>
      <c r="C42" s="72"/>
      <c r="D42" s="120"/>
      <c r="E42" s="67"/>
    </row>
    <row r="43" spans="1:5" ht="15.75">
      <c r="A43" s="107" t="s">
        <v>267</v>
      </c>
      <c r="B43" s="72"/>
      <c r="C43" s="72"/>
      <c r="D43" s="120"/>
      <c r="E43" s="67"/>
    </row>
    <row r="44" spans="1:5" ht="15.75">
      <c r="A44" s="47" t="s">
        <v>268</v>
      </c>
      <c r="B44" s="47"/>
      <c r="C44" s="47"/>
      <c r="D44" s="47"/>
      <c r="E44" s="47"/>
    </row>
    <row r="45" spans="1:5" ht="15.75">
      <c r="A45" s="46" t="s">
        <v>100</v>
      </c>
      <c r="B45" s="56"/>
      <c r="C45" s="56"/>
      <c r="D45" s="47"/>
      <c r="E45" s="47"/>
    </row>
    <row r="46" spans="1:5" ht="15.75">
      <c r="A46" s="70" t="str">
        <f>CONCATENATE("Actual Delinquency for ",E1-3," Tax - (rate .01213 = 1.213%, key in 1.2)")</f>
        <v>Actual Delinquency for 2011 Tax - (rate .01213 = 1.213%, key in 1.2)</v>
      </c>
      <c r="B46" s="71"/>
      <c r="C46" s="71"/>
      <c r="D46" s="81"/>
      <c r="E46" s="613">
        <v>0</v>
      </c>
    </row>
    <row r="47" spans="1:5" ht="15.75">
      <c r="A47" s="107" t="s">
        <v>875</v>
      </c>
      <c r="B47" s="107"/>
      <c r="C47" s="72"/>
      <c r="D47" s="72"/>
      <c r="E47" s="613"/>
    </row>
    <row r="48" spans="1:5" ht="15.75">
      <c r="A48" s="47"/>
      <c r="B48" s="47"/>
      <c r="C48" s="47"/>
      <c r="D48" s="47"/>
      <c r="E48" s="47"/>
    </row>
    <row r="49" spans="1:5" ht="15.75">
      <c r="A49" s="121" t="s">
        <v>4</v>
      </c>
      <c r="B49" s="122"/>
      <c r="C49" s="123"/>
      <c r="D49" s="123"/>
      <c r="E49" s="123"/>
    </row>
    <row r="50" spans="1:5" ht="15.75">
      <c r="A50" s="124" t="str">
        <f>CONCATENATE("",E1," State Distribution for Kansas Gas Tax")</f>
        <v>2014 State Distribution for Kansas Gas Tax</v>
      </c>
      <c r="B50" s="125"/>
      <c r="C50" s="125"/>
      <c r="D50" s="126"/>
      <c r="E50" s="103">
        <v>88550</v>
      </c>
    </row>
    <row r="51" spans="1:5" ht="15.75">
      <c r="A51" s="127" t="str">
        <f>CONCATENATE("",E1," County Transfers for Gas**")</f>
        <v>2014 County Transfers for Gas**</v>
      </c>
      <c r="B51" s="128"/>
      <c r="C51" s="128"/>
      <c r="D51" s="129"/>
      <c r="E51" s="103">
        <v>0</v>
      </c>
    </row>
    <row r="52" spans="1:5" ht="15.75">
      <c r="A52" s="127" t="str">
        <f>CONCATENATE("Adjusted ",E1-1," State Distribution for Kansas Gas Tax")</f>
        <v>Adjusted 2013 State Distribution for Kansas Gas Tax</v>
      </c>
      <c r="B52" s="128"/>
      <c r="C52" s="128"/>
      <c r="D52" s="129"/>
      <c r="E52" s="103">
        <v>88800</v>
      </c>
    </row>
    <row r="53" spans="1:5" ht="15.75">
      <c r="A53" s="127" t="str">
        <f>CONCATENATE("Adjusted ",E1-1," County Transfers for Gas**")</f>
        <v>Adjusted 2013 County Transfers for Gas**</v>
      </c>
      <c r="B53" s="128"/>
      <c r="C53" s="128"/>
      <c r="D53" s="129"/>
      <c r="E53" s="103">
        <v>0</v>
      </c>
    </row>
    <row r="54" spans="1:5">
      <c r="A54" s="756" t="s">
        <v>328</v>
      </c>
      <c r="B54" s="757"/>
      <c r="C54" s="757"/>
      <c r="D54" s="757"/>
      <c r="E54" s="757"/>
    </row>
    <row r="55" spans="1:5">
      <c r="A55" s="130" t="s">
        <v>329</v>
      </c>
      <c r="B55" s="130"/>
      <c r="C55" s="130"/>
      <c r="D55" s="130"/>
      <c r="E55" s="130"/>
    </row>
    <row r="56" spans="1:5">
      <c r="A56" s="68"/>
      <c r="B56" s="68"/>
      <c r="C56" s="68"/>
      <c r="D56" s="68"/>
      <c r="E56" s="68"/>
    </row>
    <row r="57" spans="1:5" ht="15.75">
      <c r="A57" s="758" t="str">
        <f>CONCATENATE("From the ",E1-2," Budget Certificate Page")</f>
        <v>From the 2012 Budget Certificate Page</v>
      </c>
      <c r="B57" s="759"/>
      <c r="C57" s="68"/>
      <c r="D57" s="68"/>
      <c r="E57" s="68"/>
    </row>
    <row r="58" spans="1:5" ht="15.75">
      <c r="A58" s="131"/>
      <c r="B58" s="131" t="str">
        <f>CONCATENATE("",E1-2," Expenditure Amounts")</f>
        <v>2012 Expenditure Amounts</v>
      </c>
      <c r="C58" s="752" t="str">
        <f>CONCATENATE("Note: If the ",E1-2," budget was amended, then the")</f>
        <v>Note: If the 2012 budget was amended, then the</v>
      </c>
      <c r="D58" s="753"/>
      <c r="E58" s="753"/>
    </row>
    <row r="59" spans="1:5" ht="15.75">
      <c r="A59" s="132" t="s">
        <v>9</v>
      </c>
      <c r="B59" s="132" t="s">
        <v>10</v>
      </c>
      <c r="C59" s="133" t="s">
        <v>11</v>
      </c>
      <c r="D59" s="134"/>
      <c r="E59" s="134"/>
    </row>
    <row r="60" spans="1:5" ht="15.75">
      <c r="A60" s="135" t="str">
        <f>inputPrYr!B17</f>
        <v>General</v>
      </c>
      <c r="B60" s="103">
        <v>625218</v>
      </c>
      <c r="C60" s="133" t="s">
        <v>12</v>
      </c>
      <c r="D60" s="134"/>
      <c r="E60" s="134"/>
    </row>
    <row r="61" spans="1:5" ht="15.75">
      <c r="A61" s="135" t="str">
        <f>inputPrYr!B18</f>
        <v>Debt Service</v>
      </c>
      <c r="B61" s="103">
        <v>149016</v>
      </c>
      <c r="C61" s="133"/>
      <c r="D61" s="134"/>
      <c r="E61" s="134"/>
    </row>
    <row r="62" spans="1:5" ht="15.75">
      <c r="A62" s="135" t="str">
        <f>inputPrYr!B19</f>
        <v>Library</v>
      </c>
      <c r="B62" s="103">
        <v>137976</v>
      </c>
      <c r="C62" s="68"/>
      <c r="D62" s="68"/>
      <c r="E62" s="68"/>
    </row>
    <row r="63" spans="1:5" ht="15.75">
      <c r="A63" s="135" t="str">
        <f>inputPrYr!B21</f>
        <v>Airport</v>
      </c>
      <c r="B63" s="103">
        <v>64533</v>
      </c>
      <c r="C63" s="68"/>
      <c r="D63" s="68"/>
      <c r="E63" s="68"/>
    </row>
    <row r="64" spans="1:5" ht="15.75">
      <c r="A64" s="135" t="str">
        <f>inputPrYr!B22</f>
        <v>Park</v>
      </c>
      <c r="B64" s="103">
        <v>182251</v>
      </c>
      <c r="C64" s="68"/>
      <c r="D64" s="68"/>
      <c r="E64" s="68"/>
    </row>
    <row r="65" spans="1:5" ht="15.75">
      <c r="A65" s="135" t="str">
        <f>inputPrYr!B23</f>
        <v xml:space="preserve">Recreation </v>
      </c>
      <c r="B65" s="103">
        <v>174347</v>
      </c>
      <c r="C65" s="68"/>
      <c r="D65" s="68"/>
      <c r="E65" s="68"/>
    </row>
    <row r="66" spans="1:5" ht="15.75">
      <c r="A66" s="135" t="str">
        <f>inputPrYr!B24</f>
        <v>Law Enforcement</v>
      </c>
      <c r="B66" s="103">
        <v>430506</v>
      </c>
      <c r="C66" s="68"/>
      <c r="D66" s="68"/>
      <c r="E66" s="68"/>
    </row>
    <row r="67" spans="1:5" ht="15.75">
      <c r="A67" s="135" t="str">
        <f>inputPrYr!B25</f>
        <v>Employee Benefits</v>
      </c>
      <c r="B67" s="103">
        <v>1001854</v>
      </c>
      <c r="C67" s="68"/>
      <c r="D67" s="68"/>
      <c r="E67" s="68"/>
    </row>
    <row r="68" spans="1:5" ht="15.75">
      <c r="A68" s="135">
        <f>inputPrYr!B26</f>
        <v>0</v>
      </c>
      <c r="B68" s="103"/>
      <c r="C68" s="68"/>
      <c r="D68" s="68"/>
      <c r="E68" s="68"/>
    </row>
    <row r="69" spans="1:5" ht="15.75">
      <c r="A69" s="135">
        <f>inputPrYr!B27</f>
        <v>0</v>
      </c>
      <c r="B69" s="103"/>
      <c r="C69" s="68"/>
      <c r="D69" s="68"/>
      <c r="E69" s="68"/>
    </row>
    <row r="70" spans="1:5" ht="15.75">
      <c r="A70" s="135">
        <f>inputPrYr!B28</f>
        <v>0</v>
      </c>
      <c r="B70" s="103"/>
      <c r="C70" s="68"/>
      <c r="D70" s="68"/>
      <c r="E70" s="68"/>
    </row>
    <row r="71" spans="1:5" ht="15.75">
      <c r="A71" s="135">
        <f>inputPrYr!B29</f>
        <v>0</v>
      </c>
      <c r="B71" s="103"/>
      <c r="C71" s="68"/>
      <c r="D71" s="68"/>
      <c r="E71" s="68"/>
    </row>
    <row r="72" spans="1:5" ht="15.75">
      <c r="A72" s="135">
        <f>inputPrYr!B30</f>
        <v>0</v>
      </c>
      <c r="B72" s="103"/>
      <c r="C72" s="68"/>
      <c r="D72" s="68"/>
      <c r="E72" s="68"/>
    </row>
    <row r="73" spans="1:5" ht="15.75">
      <c r="A73" s="135" t="str">
        <f>inputPrYr!B34</f>
        <v>Special Highway</v>
      </c>
      <c r="B73" s="103">
        <v>86292</v>
      </c>
      <c r="C73" s="68"/>
      <c r="D73" s="68"/>
      <c r="E73" s="68"/>
    </row>
    <row r="74" spans="1:5" ht="15.75">
      <c r="A74" s="135" t="str">
        <f>inputPrYr!B35</f>
        <v>State Aid</v>
      </c>
      <c r="B74" s="103">
        <v>1380</v>
      </c>
      <c r="C74" s="68"/>
      <c r="D74" s="68"/>
      <c r="E74" s="68"/>
    </row>
    <row r="75" spans="1:5" ht="15.75">
      <c r="A75" s="135" t="str">
        <f>inputPrYr!B36</f>
        <v>SEK</v>
      </c>
      <c r="B75" s="103">
        <v>12389</v>
      </c>
      <c r="C75" s="68"/>
      <c r="D75" s="68"/>
      <c r="E75" s="68"/>
    </row>
    <row r="76" spans="1:5" ht="15.75">
      <c r="A76" s="135" t="str">
        <f>inputPrYr!B37</f>
        <v>Special Parks &amp; Rec</v>
      </c>
      <c r="B76" s="103">
        <v>8000</v>
      </c>
      <c r="C76" s="68"/>
      <c r="D76" s="68"/>
      <c r="E76" s="68"/>
    </row>
    <row r="77" spans="1:5" ht="15.75">
      <c r="A77" s="135" t="str">
        <f>inputPrYr!B38</f>
        <v>Electric</v>
      </c>
      <c r="B77" s="103">
        <v>3318002</v>
      </c>
      <c r="C77" s="68"/>
      <c r="D77" s="68"/>
      <c r="E77" s="68"/>
    </row>
    <row r="78" spans="1:5" ht="15.75">
      <c r="A78" s="135" t="str">
        <f>inputPrYr!B39</f>
        <v>Water</v>
      </c>
      <c r="B78" s="103">
        <v>1815101</v>
      </c>
      <c r="C78" s="68"/>
      <c r="D78" s="68"/>
      <c r="E78" s="68"/>
    </row>
    <row r="79" spans="1:5" ht="15.75">
      <c r="A79" s="135" t="str">
        <f>inputPrYr!B40</f>
        <v>Gas</v>
      </c>
      <c r="B79" s="103">
        <v>1524598</v>
      </c>
      <c r="C79" s="68"/>
      <c r="D79" s="68"/>
      <c r="E79" s="68"/>
    </row>
    <row r="80" spans="1:5" ht="15.75">
      <c r="A80" s="135" t="str">
        <f>inputPrYr!B41</f>
        <v>Refuse</v>
      </c>
      <c r="B80" s="103">
        <v>328807</v>
      </c>
      <c r="C80" s="68"/>
      <c r="D80" s="68"/>
      <c r="E80" s="68"/>
    </row>
    <row r="81" spans="1:5" ht="15.75">
      <c r="A81" s="135" t="str">
        <f>inputPrYr!B42</f>
        <v>Capital Outlay</v>
      </c>
      <c r="B81" s="103">
        <v>346478</v>
      </c>
      <c r="C81" s="68"/>
      <c r="D81" s="68"/>
      <c r="E81" s="68"/>
    </row>
    <row r="82" spans="1:5" ht="15.75">
      <c r="A82" s="135" t="str">
        <f>inputPrYr!B43</f>
        <v>Combined Utility</v>
      </c>
      <c r="B82" s="103">
        <v>553913</v>
      </c>
      <c r="C82" s="68"/>
      <c r="D82" s="68"/>
      <c r="E82" s="68"/>
    </row>
    <row r="83" spans="1:5" ht="15.75">
      <c r="A83" s="135" t="str">
        <f>inputPrYr!B44</f>
        <v>Economic Development</v>
      </c>
      <c r="B83" s="103">
        <v>60884</v>
      </c>
      <c r="C83" s="68"/>
      <c r="D83" s="68"/>
      <c r="E83" s="68"/>
    </row>
    <row r="84" spans="1:5" ht="15.75">
      <c r="A84" s="135" t="str">
        <f>inputPrYr!B45</f>
        <v>Parkside # 1</v>
      </c>
      <c r="B84" s="103">
        <v>147584</v>
      </c>
      <c r="C84" s="68"/>
      <c r="D84" s="68"/>
      <c r="E84" s="68"/>
    </row>
    <row r="85" spans="1:5" ht="15.75">
      <c r="A85" s="135" t="str">
        <f>inputPrYr!B46</f>
        <v>Parkside # 2</v>
      </c>
      <c r="B85" s="103">
        <v>178907</v>
      </c>
      <c r="C85" s="68"/>
      <c r="D85" s="68"/>
      <c r="E85" s="68"/>
    </row>
    <row r="86" spans="1:5" ht="15.75">
      <c r="A86" s="135" t="str">
        <f>inputPrYr!B47</f>
        <v>Park Plaza North</v>
      </c>
      <c r="B86" s="103">
        <v>360504</v>
      </c>
      <c r="C86" s="68"/>
      <c r="D86" s="68"/>
      <c r="E86" s="68"/>
    </row>
    <row r="87" spans="1:5" ht="15.75">
      <c r="A87" s="135" t="str">
        <f>inputPrYr!B48</f>
        <v>Recreation Center</v>
      </c>
      <c r="B87" s="103">
        <v>0</v>
      </c>
      <c r="C87" s="68"/>
      <c r="D87" s="68"/>
      <c r="E87" s="68"/>
    </row>
    <row r="88" spans="1:5" ht="15.75">
      <c r="A88" s="135" t="str">
        <f>inputPrYr!B49</f>
        <v>Community Development</v>
      </c>
      <c r="B88" s="103">
        <v>0</v>
      </c>
      <c r="C88" s="68"/>
      <c r="D88" s="68"/>
      <c r="E88" s="68"/>
    </row>
    <row r="89" spans="1:5" ht="15.75">
      <c r="A89" s="135">
        <f>inputPrYr!B51</f>
        <v>0</v>
      </c>
      <c r="B89" s="103"/>
      <c r="C89" s="68"/>
      <c r="D89" s="68"/>
      <c r="E89" s="68"/>
    </row>
    <row r="90" spans="1:5" ht="15.75">
      <c r="A90" s="135">
        <f>inputPrYr!B52</f>
        <v>0</v>
      </c>
      <c r="B90" s="103"/>
      <c r="C90" s="68"/>
      <c r="D90" s="68"/>
      <c r="E90" s="68"/>
    </row>
    <row r="91" spans="1:5" ht="15.75">
      <c r="A91" s="135">
        <f>inputPrYr!B53</f>
        <v>0</v>
      </c>
      <c r="B91" s="103"/>
      <c r="C91" s="68"/>
      <c r="D91" s="68"/>
      <c r="E91" s="68"/>
    </row>
    <row r="92" spans="1:5" ht="15.75">
      <c r="A92" s="135">
        <f>inputPrYr!B54</f>
        <v>0</v>
      </c>
      <c r="B92" s="103"/>
      <c r="C92" s="68"/>
      <c r="D92" s="68"/>
      <c r="E92" s="68"/>
    </row>
  </sheetData>
  <sheetProtection sheet="1" objects="1" scenarios="1"/>
  <mergeCells count="5">
    <mergeCell ref="C58:E58"/>
    <mergeCell ref="A20:B20"/>
    <mergeCell ref="A54:E54"/>
    <mergeCell ref="A3:E3"/>
    <mergeCell ref="A57:B57"/>
  </mergeCells>
  <phoneticPr fontId="9" type="noConversion"/>
  <pageMargins left="0.75" right="0.75" top="1" bottom="1" header="0.5" footer="0.5"/>
  <pageSetup scale="45"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B1:E53"/>
  <sheetViews>
    <sheetView workbookViewId="0">
      <selection activeCell="C53" sqref="C53"/>
    </sheetView>
  </sheetViews>
  <sheetFormatPr defaultRowHeight="15"/>
  <cols>
    <col min="1" max="1" width="2.44140625" style="106" customWidth="1"/>
    <col min="2" max="2" width="31.109375" style="106" customWidth="1"/>
    <col min="3" max="4" width="15.77734375" style="106" customWidth="1"/>
    <col min="5" max="5" width="16.21875" style="106" customWidth="1"/>
    <col min="6" max="16384" width="8.88671875" style="106"/>
  </cols>
  <sheetData>
    <row r="1" spans="2:5" ht="15.75">
      <c r="B1" s="197" t="str">
        <f>(inputPrYr!D2)</f>
        <v>City of Garnett</v>
      </c>
      <c r="C1" s="47"/>
      <c r="D1" s="47"/>
      <c r="E1" s="219">
        <f>inputPrYr!$C$5</f>
        <v>2014</v>
      </c>
    </row>
    <row r="2" spans="2:5" ht="15.75">
      <c r="B2" s="47"/>
      <c r="C2" s="47"/>
      <c r="D2" s="47"/>
      <c r="E2" s="169"/>
    </row>
    <row r="3" spans="2:5" ht="15.75">
      <c r="B3" s="249" t="s">
        <v>174</v>
      </c>
      <c r="C3" s="296"/>
      <c r="D3" s="296"/>
      <c r="E3" s="297"/>
    </row>
    <row r="4" spans="2:5" ht="15.75">
      <c r="B4" s="52" t="s">
        <v>106</v>
      </c>
      <c r="C4" s="715" t="s">
        <v>950</v>
      </c>
      <c r="D4" s="716" t="s">
        <v>951</v>
      </c>
      <c r="E4" s="144" t="s">
        <v>952</v>
      </c>
    </row>
    <row r="5" spans="2:5" ht="15.75">
      <c r="B5" s="535">
        <f>(inputPrYr!B52)</f>
        <v>0</v>
      </c>
      <c r="C5" s="225" t="str">
        <f>CONCATENATE("Actual for ",E1-2,"")</f>
        <v>Actual for 2012</v>
      </c>
      <c r="D5" s="225" t="str">
        <f>CONCATENATE("Estimate for ",E1-1,"")</f>
        <v>Estimate for 2013</v>
      </c>
      <c r="E5" s="208" t="str">
        <f>CONCATENATE("Year for ",E1,"")</f>
        <v>Year for 2014</v>
      </c>
    </row>
    <row r="6" spans="2:5" ht="15.75">
      <c r="B6" s="150" t="s">
        <v>228</v>
      </c>
      <c r="C6" s="67"/>
      <c r="D6" s="228">
        <f>C48</f>
        <v>0</v>
      </c>
      <c r="E6" s="228">
        <f>D48</f>
        <v>0</v>
      </c>
    </row>
    <row r="7" spans="2:5" ht="15.75">
      <c r="B7" s="285" t="s">
        <v>230</v>
      </c>
      <c r="C7" s="87"/>
      <c r="D7" s="87"/>
      <c r="E7" s="87"/>
    </row>
    <row r="8" spans="2:5" ht="15.75">
      <c r="B8" s="273"/>
      <c r="C8" s="260"/>
      <c r="D8" s="260"/>
      <c r="E8" s="260"/>
    </row>
    <row r="9" spans="2:5" ht="15.75">
      <c r="B9" s="273"/>
      <c r="C9" s="260"/>
      <c r="D9" s="260"/>
      <c r="E9" s="260"/>
    </row>
    <row r="10" spans="2:5" ht="15.75">
      <c r="B10" s="273"/>
      <c r="C10" s="260"/>
      <c r="D10" s="260"/>
      <c r="E10" s="260"/>
    </row>
    <row r="11" spans="2:5" ht="15.75">
      <c r="B11" s="273"/>
      <c r="C11" s="260"/>
      <c r="D11" s="260"/>
      <c r="E11" s="260"/>
    </row>
    <row r="12" spans="2:5" ht="15.75">
      <c r="B12" s="273"/>
      <c r="C12" s="260"/>
      <c r="D12" s="260"/>
      <c r="E12" s="260"/>
    </row>
    <row r="13" spans="2:5" ht="15.75">
      <c r="B13" s="273"/>
      <c r="C13" s="260"/>
      <c r="D13" s="260"/>
      <c r="E13" s="260"/>
    </row>
    <row r="14" spans="2:5" ht="15.75">
      <c r="B14" s="291"/>
      <c r="C14" s="108"/>
      <c r="D14" s="108"/>
      <c r="E14" s="108"/>
    </row>
    <row r="15" spans="2:5" ht="15.75">
      <c r="B15" s="273"/>
      <c r="C15" s="260"/>
      <c r="D15" s="260"/>
      <c r="E15" s="260"/>
    </row>
    <row r="16" spans="2:5" ht="15.75">
      <c r="B16" s="298" t="s">
        <v>114</v>
      </c>
      <c r="C16" s="260"/>
      <c r="D16" s="260"/>
      <c r="E16" s="260"/>
    </row>
    <row r="17" spans="2:5" ht="15.75">
      <c r="B17" s="159" t="s">
        <v>14</v>
      </c>
      <c r="C17" s="260"/>
      <c r="D17" s="254"/>
      <c r="E17" s="254"/>
    </row>
    <row r="18" spans="2:5" ht="15.75">
      <c r="B18" s="252" t="s">
        <v>784</v>
      </c>
      <c r="C18" s="299" t="str">
        <f>IF(C19*0.1&lt;C17,"Exceed 10% Rule","")</f>
        <v/>
      </c>
      <c r="D18" s="263" t="str">
        <f>IF(D19*0.1&lt;D17,"Exceed 10% Rule","")</f>
        <v/>
      </c>
      <c r="E18" s="263" t="str">
        <f>IF(E19*0.1&lt;E17,"Exceed 10% Rule","")</f>
        <v/>
      </c>
    </row>
    <row r="19" spans="2:5" ht="15.75">
      <c r="B19" s="264" t="s">
        <v>115</v>
      </c>
      <c r="C19" s="267">
        <f>SUM(C8:C17)</f>
        <v>0</v>
      </c>
      <c r="D19" s="267">
        <f>SUM(D8:D17)</f>
        <v>0</v>
      </c>
      <c r="E19" s="267">
        <f>SUM(E8:E17)</f>
        <v>0</v>
      </c>
    </row>
    <row r="20" spans="2:5" ht="15.75">
      <c r="B20" s="264" t="s">
        <v>116</v>
      </c>
      <c r="C20" s="267">
        <f>C6+C19</f>
        <v>0</v>
      </c>
      <c r="D20" s="267">
        <f>D6+D19</f>
        <v>0</v>
      </c>
      <c r="E20" s="267">
        <f>E6+E19</f>
        <v>0</v>
      </c>
    </row>
    <row r="21" spans="2:5" ht="15.75">
      <c r="B21" s="150" t="s">
        <v>118</v>
      </c>
      <c r="C21" s="87"/>
      <c r="D21" s="87"/>
      <c r="E21" s="87"/>
    </row>
    <row r="22" spans="2:5" ht="15.75">
      <c r="B22" s="273" t="s">
        <v>277</v>
      </c>
      <c r="C22" s="260"/>
      <c r="D22" s="260"/>
      <c r="E22" s="260"/>
    </row>
    <row r="23" spans="2:5" ht="15.75">
      <c r="B23" s="273" t="s">
        <v>24</v>
      </c>
      <c r="C23" s="260"/>
      <c r="D23" s="260"/>
      <c r="E23" s="260"/>
    </row>
    <row r="24" spans="2:5" ht="15.75">
      <c r="B24" s="273"/>
      <c r="C24" s="108"/>
      <c r="D24" s="108"/>
      <c r="E24" s="108"/>
    </row>
    <row r="25" spans="2:5" ht="15.75">
      <c r="B25" s="273"/>
      <c r="C25" s="108"/>
      <c r="D25" s="108"/>
      <c r="E25" s="108"/>
    </row>
    <row r="26" spans="2:5" ht="15.75">
      <c r="B26" s="273"/>
      <c r="C26" s="108"/>
      <c r="D26" s="108"/>
      <c r="E26" s="108"/>
    </row>
    <row r="27" spans="2:5" ht="15.75">
      <c r="B27" s="273"/>
      <c r="C27" s="108"/>
      <c r="D27" s="108"/>
      <c r="E27" s="108"/>
    </row>
    <row r="28" spans="2:5" ht="15.75">
      <c r="B28" s="273"/>
      <c r="C28" s="108"/>
      <c r="D28" s="108"/>
      <c r="E28" s="108"/>
    </row>
    <row r="29" spans="2:5" ht="15.75">
      <c r="B29" s="273"/>
      <c r="C29" s="108"/>
      <c r="D29" s="108"/>
      <c r="E29" s="108"/>
    </row>
    <row r="30" spans="2:5" ht="15.75">
      <c r="B30" s="273"/>
      <c r="C30" s="108"/>
      <c r="D30" s="108"/>
      <c r="E30" s="108"/>
    </row>
    <row r="31" spans="2:5" ht="15.75">
      <c r="B31" s="273"/>
      <c r="C31" s="108"/>
      <c r="D31" s="108"/>
      <c r="E31" s="108"/>
    </row>
    <row r="32" spans="2:5" ht="15.75">
      <c r="B32" s="273"/>
      <c r="C32" s="108"/>
      <c r="D32" s="108"/>
      <c r="E32" s="108"/>
    </row>
    <row r="33" spans="2:5" ht="15.75">
      <c r="B33" s="273"/>
      <c r="C33" s="108"/>
      <c r="D33" s="108"/>
      <c r="E33" s="108"/>
    </row>
    <row r="34" spans="2:5" ht="15.75">
      <c r="B34" s="273"/>
      <c r="C34" s="108"/>
      <c r="D34" s="108"/>
      <c r="E34" s="108"/>
    </row>
    <row r="35" spans="2:5" ht="15.75">
      <c r="B35" s="273"/>
      <c r="C35" s="260"/>
      <c r="D35" s="260"/>
      <c r="E35" s="260"/>
    </row>
    <row r="36" spans="2:5" ht="15.75">
      <c r="B36" s="273"/>
      <c r="C36" s="260"/>
      <c r="D36" s="260"/>
      <c r="E36" s="260"/>
    </row>
    <row r="37" spans="2:5" ht="15.75">
      <c r="B37" s="273"/>
      <c r="C37" s="260"/>
      <c r="D37" s="260"/>
      <c r="E37" s="260"/>
    </row>
    <row r="38" spans="2:5" ht="15.75">
      <c r="B38" s="273"/>
      <c r="C38" s="260"/>
      <c r="D38" s="260"/>
      <c r="E38" s="260"/>
    </row>
    <row r="39" spans="2:5" ht="15.75">
      <c r="B39" s="273"/>
      <c r="C39" s="260"/>
      <c r="D39" s="260"/>
      <c r="E39" s="260"/>
    </row>
    <row r="40" spans="2:5" ht="15.75">
      <c r="B40" s="273"/>
      <c r="C40" s="260"/>
      <c r="D40" s="260"/>
      <c r="E40" s="260"/>
    </row>
    <row r="41" spans="2:5" ht="15.75">
      <c r="B41" s="273"/>
      <c r="C41" s="260"/>
      <c r="D41" s="260"/>
      <c r="E41" s="260"/>
    </row>
    <row r="42" spans="2:5" ht="15.75">
      <c r="B42" s="273"/>
      <c r="C42" s="260"/>
      <c r="D42" s="260"/>
      <c r="E42" s="260"/>
    </row>
    <row r="43" spans="2:5" ht="15.75">
      <c r="B43" s="273"/>
      <c r="C43" s="260"/>
      <c r="D43" s="260"/>
      <c r="E43" s="260"/>
    </row>
    <row r="44" spans="2:5" ht="15.75">
      <c r="B44" s="273"/>
      <c r="C44" s="260"/>
      <c r="D44" s="260"/>
      <c r="E44" s="260"/>
    </row>
    <row r="45" spans="2:5" ht="15.75">
      <c r="B45" s="274" t="s">
        <v>14</v>
      </c>
      <c r="C45" s="260"/>
      <c r="D45" s="254"/>
      <c r="E45" s="254"/>
    </row>
    <row r="46" spans="2:5" ht="15.75">
      <c r="B46" s="274" t="s">
        <v>785</v>
      </c>
      <c r="C46" s="299" t="str">
        <f>IF(C47*0.1&lt;C45,"Exceed 10% Rule","")</f>
        <v/>
      </c>
      <c r="D46" s="263" t="str">
        <f>IF(D47*0.1&lt;D45,"Exceed 10% Rule","")</f>
        <v/>
      </c>
      <c r="E46" s="263" t="str">
        <f>IF(E47*0.1&lt;E45,"Exceed 10% Rule","")</f>
        <v/>
      </c>
    </row>
    <row r="47" spans="2:5" ht="15.75">
      <c r="B47" s="264" t="s">
        <v>122</v>
      </c>
      <c r="C47" s="267">
        <f>SUM(C22:C45)</f>
        <v>0</v>
      </c>
      <c r="D47" s="267">
        <f>SUM(D22:D45)</f>
        <v>0</v>
      </c>
      <c r="E47" s="267">
        <f>SUM(E22:E45)</f>
        <v>0</v>
      </c>
    </row>
    <row r="48" spans="2:5" ht="15.75">
      <c r="B48" s="150" t="s">
        <v>229</v>
      </c>
      <c r="C48" s="82">
        <f>C20-C47</f>
        <v>0</v>
      </c>
      <c r="D48" s="82">
        <f>D20-D47</f>
        <v>0</v>
      </c>
      <c r="E48" s="82">
        <f>E20-E47</f>
        <v>0</v>
      </c>
    </row>
    <row r="49" spans="2:5" ht="15.75">
      <c r="B49" s="136" t="str">
        <f>CONCATENATE("",E1-2," Budget Authority Limited Amount:")</f>
        <v>2012 Budget Authority Limited Amount:</v>
      </c>
      <c r="C49" s="241">
        <f>inputOth!B90</f>
        <v>0</v>
      </c>
      <c r="D49" s="241">
        <f>inputPrYr!D52</f>
        <v>0</v>
      </c>
      <c r="E49" s="381" t="str">
        <f>IF(E48&lt;0,"See Tab E","")</f>
        <v/>
      </c>
    </row>
    <row r="50" spans="2:5" ht="15.75">
      <c r="B50" s="136"/>
      <c r="C50" s="277" t="str">
        <f>IF(C47&gt;C49,"See Tab A","")</f>
        <v/>
      </c>
      <c r="D50" s="277" t="str">
        <f>IF(D47&gt;D49,"See Tab C","")</f>
        <v/>
      </c>
      <c r="E50" s="68"/>
    </row>
    <row r="51" spans="2:5" ht="15.75">
      <c r="B51" s="136"/>
      <c r="C51" s="277" t="str">
        <f>IF(C48&lt;0,"See Tab B","")</f>
        <v/>
      </c>
      <c r="D51" s="277" t="str">
        <f>IF(D48&lt;0,"See Tab D","")</f>
        <v/>
      </c>
      <c r="E51" s="68"/>
    </row>
    <row r="52" spans="2:5">
      <c r="B52" s="68"/>
      <c r="C52" s="68"/>
      <c r="D52" s="68"/>
      <c r="E52" s="68"/>
    </row>
    <row r="53" spans="2:5" ht="15.75">
      <c r="B53" s="405" t="s">
        <v>125</v>
      </c>
      <c r="C53" s="282"/>
      <c r="D53" s="68"/>
      <c r="E53" s="68"/>
    </row>
  </sheetData>
  <sheetProtection sheet="1"/>
  <phoneticPr fontId="9" type="noConversion"/>
  <conditionalFormatting sqref="E17">
    <cfRule type="cellIs" dxfId="69" priority="2" stopIfTrue="1" operator="greaterThan">
      <formula>$E$19*0.1</formula>
    </cfRule>
  </conditionalFormatting>
  <conditionalFormatting sqref="E45">
    <cfRule type="cellIs" dxfId="68" priority="3" stopIfTrue="1" operator="greaterThan">
      <formula>$E$47*0.1</formula>
    </cfRule>
  </conditionalFormatting>
  <conditionalFormatting sqref="D17">
    <cfRule type="cellIs" dxfId="67" priority="4" stopIfTrue="1" operator="greaterThan">
      <formula>$D$19*0.1</formula>
    </cfRule>
  </conditionalFormatting>
  <conditionalFormatting sqref="D45">
    <cfRule type="cellIs" dxfId="66" priority="5" stopIfTrue="1" operator="greaterThan">
      <formula>$D$47*0.1</formula>
    </cfRule>
  </conditionalFormatting>
  <conditionalFormatting sqref="C17">
    <cfRule type="cellIs" dxfId="65" priority="6" stopIfTrue="1" operator="greaterThan">
      <formula>$C$19*0.1</formula>
    </cfRule>
  </conditionalFormatting>
  <conditionalFormatting sqref="C45">
    <cfRule type="cellIs" dxfId="64" priority="7" stopIfTrue="1" operator="greaterThan">
      <formula>$C$47*0.1</formula>
    </cfRule>
  </conditionalFormatting>
  <conditionalFormatting sqref="D47">
    <cfRule type="cellIs" dxfId="63" priority="8" stopIfTrue="1" operator="greaterThan">
      <formula>$D$49</formula>
    </cfRule>
  </conditionalFormatting>
  <conditionalFormatting sqref="C47">
    <cfRule type="cellIs" dxfId="62" priority="9" stopIfTrue="1" operator="greaterThan">
      <formula>$C$49</formula>
    </cfRule>
  </conditionalFormatting>
  <conditionalFormatting sqref="C48 E48">
    <cfRule type="cellIs" dxfId="61" priority="10" stopIfTrue="1" operator="lessThan">
      <formula>0</formula>
    </cfRule>
  </conditionalFormatting>
  <conditionalFormatting sqref="D48">
    <cfRule type="cellIs" dxfId="6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B1:E53"/>
  <sheetViews>
    <sheetView workbookViewId="0">
      <selection activeCell="F27" sqref="F27"/>
    </sheetView>
  </sheetViews>
  <sheetFormatPr defaultRowHeight="15"/>
  <cols>
    <col min="1" max="1" width="2.44140625" style="106" customWidth="1"/>
    <col min="2" max="2" width="31.109375" style="106" customWidth="1"/>
    <col min="3" max="4" width="15.77734375" style="106" customWidth="1"/>
    <col min="5" max="5" width="16.44140625" style="106" customWidth="1"/>
    <col min="6" max="16384" width="8.88671875" style="106"/>
  </cols>
  <sheetData>
    <row r="1" spans="2:5" ht="15.75">
      <c r="B1" s="197" t="str">
        <f>(inputPrYr!D2)</f>
        <v>City of Garnett</v>
      </c>
      <c r="C1" s="47"/>
      <c r="D1" s="47"/>
      <c r="E1" s="219">
        <f>inputPrYr!$C$5</f>
        <v>2014</v>
      </c>
    </row>
    <row r="2" spans="2:5" ht="15.75">
      <c r="B2" s="47"/>
      <c r="C2" s="47"/>
      <c r="D2" s="47"/>
      <c r="E2" s="169"/>
    </row>
    <row r="3" spans="2:5" ht="15.75">
      <c r="B3" s="249" t="s">
        <v>174</v>
      </c>
      <c r="C3" s="296"/>
      <c r="D3" s="296"/>
      <c r="E3" s="297"/>
    </row>
    <row r="4" spans="2:5" ht="15.75">
      <c r="B4" s="52" t="s">
        <v>106</v>
      </c>
      <c r="C4" s="715" t="s">
        <v>950</v>
      </c>
      <c r="D4" s="716" t="s">
        <v>951</v>
      </c>
      <c r="E4" s="144" t="s">
        <v>952</v>
      </c>
    </row>
    <row r="5" spans="2:5" ht="15.75">
      <c r="B5" s="535">
        <f>(inputPrYr!B53)</f>
        <v>0</v>
      </c>
      <c r="C5" s="225" t="str">
        <f>CONCATENATE("Actual for ",E1-2,"")</f>
        <v>Actual for 2012</v>
      </c>
      <c r="D5" s="225" t="str">
        <f>CONCATENATE("Estimate for ",E1-1,"")</f>
        <v>Estimate for 2013</v>
      </c>
      <c r="E5" s="208" t="str">
        <f>CONCATENATE("Year for ",E1,"")</f>
        <v>Year for 2014</v>
      </c>
    </row>
    <row r="6" spans="2:5" ht="15.75">
      <c r="B6" s="150" t="s">
        <v>228</v>
      </c>
      <c r="C6" s="257"/>
      <c r="D6" s="255">
        <f>C48</f>
        <v>0</v>
      </c>
      <c r="E6" s="228">
        <f>D48</f>
        <v>0</v>
      </c>
    </row>
    <row r="7" spans="2:5" ht="15.75">
      <c r="B7" s="285" t="s">
        <v>230</v>
      </c>
      <c r="C7" s="159"/>
      <c r="D7" s="159"/>
      <c r="E7" s="87"/>
    </row>
    <row r="8" spans="2:5" ht="15.75">
      <c r="B8" s="273"/>
      <c r="C8" s="257"/>
      <c r="D8" s="257"/>
      <c r="E8" s="260"/>
    </row>
    <row r="9" spans="2:5" ht="15.75">
      <c r="B9" s="273"/>
      <c r="C9" s="257"/>
      <c r="D9" s="257"/>
      <c r="E9" s="260"/>
    </row>
    <row r="10" spans="2:5" ht="15.75">
      <c r="B10" s="273"/>
      <c r="C10" s="257"/>
      <c r="D10" s="257"/>
      <c r="E10" s="260"/>
    </row>
    <row r="11" spans="2:5" ht="15.75">
      <c r="B11" s="273"/>
      <c r="C11" s="257"/>
      <c r="D11" s="257"/>
      <c r="E11" s="260"/>
    </row>
    <row r="12" spans="2:5" ht="15.75">
      <c r="B12" s="273"/>
      <c r="C12" s="257"/>
      <c r="D12" s="257"/>
      <c r="E12" s="260"/>
    </row>
    <row r="13" spans="2:5" ht="15.75">
      <c r="B13" s="273"/>
      <c r="C13" s="257"/>
      <c r="D13" s="257"/>
      <c r="E13" s="260"/>
    </row>
    <row r="14" spans="2:5" ht="15.75">
      <c r="B14" s="291"/>
      <c r="C14" s="257"/>
      <c r="D14" s="257"/>
      <c r="E14" s="108"/>
    </row>
    <row r="15" spans="2:5" ht="15.75">
      <c r="B15" s="273"/>
      <c r="C15" s="257"/>
      <c r="D15" s="257"/>
      <c r="E15" s="260"/>
    </row>
    <row r="16" spans="2:5" ht="15.75">
      <c r="B16" s="298" t="s">
        <v>114</v>
      </c>
      <c r="C16" s="257"/>
      <c r="D16" s="257"/>
      <c r="E16" s="260"/>
    </row>
    <row r="17" spans="2:5" ht="15.75">
      <c r="B17" s="159" t="s">
        <v>14</v>
      </c>
      <c r="C17" s="257"/>
      <c r="D17" s="257"/>
      <c r="E17" s="260"/>
    </row>
    <row r="18" spans="2:5" ht="15.75">
      <c r="B18" s="252" t="s">
        <v>784</v>
      </c>
      <c r="C18" s="262" t="str">
        <f>IF(C19*0.1&lt;C17,"Exceed 10% Rule","")</f>
        <v/>
      </c>
      <c r="D18" s="262" t="str">
        <f>IF(D19*0.1&lt;D17,"Exceed 10% Rule","")</f>
        <v/>
      </c>
      <c r="E18" s="299" t="str">
        <f>IF(E19*0.1&lt;E17,"Exceed 10% Rule","")</f>
        <v/>
      </c>
    </row>
    <row r="19" spans="2:5" ht="15.75">
      <c r="B19" s="264" t="s">
        <v>115</v>
      </c>
      <c r="C19" s="266">
        <f>SUM(C8:C17)</f>
        <v>0</v>
      </c>
      <c r="D19" s="266">
        <f>SUM(D8:D17)</f>
        <v>0</v>
      </c>
      <c r="E19" s="267">
        <f>SUM(E8:E17)</f>
        <v>0</v>
      </c>
    </row>
    <row r="20" spans="2:5" ht="15.75">
      <c r="B20" s="264" t="s">
        <v>116</v>
      </c>
      <c r="C20" s="266">
        <f>C6+C19</f>
        <v>0</v>
      </c>
      <c r="D20" s="266">
        <f>D6+D19</f>
        <v>0</v>
      </c>
      <c r="E20" s="267">
        <f>E6+E19</f>
        <v>0</v>
      </c>
    </row>
    <row r="21" spans="2:5" ht="15.75">
      <c r="B21" s="150" t="s">
        <v>118</v>
      </c>
      <c r="C21" s="159"/>
      <c r="D21" s="159"/>
      <c r="E21" s="87"/>
    </row>
    <row r="22" spans="2:5" ht="15.75">
      <c r="B22" s="273" t="s">
        <v>277</v>
      </c>
      <c r="C22" s="257"/>
      <c r="D22" s="257"/>
      <c r="E22" s="260"/>
    </row>
    <row r="23" spans="2:5" ht="15.75">
      <c r="B23" s="273" t="s">
        <v>23</v>
      </c>
      <c r="C23" s="257"/>
      <c r="D23" s="257"/>
      <c r="E23" s="260"/>
    </row>
    <row r="24" spans="2:5" ht="15.75">
      <c r="B24" s="273"/>
      <c r="C24" s="257"/>
      <c r="D24" s="257"/>
      <c r="E24" s="108"/>
    </row>
    <row r="25" spans="2:5" ht="15.75">
      <c r="B25" s="273"/>
      <c r="C25" s="257"/>
      <c r="D25" s="257"/>
      <c r="E25" s="108"/>
    </row>
    <row r="26" spans="2:5" ht="15.75">
      <c r="B26" s="273"/>
      <c r="C26" s="257"/>
      <c r="D26" s="257"/>
      <c r="E26" s="108"/>
    </row>
    <row r="27" spans="2:5" ht="15.75">
      <c r="B27" s="273"/>
      <c r="C27" s="257"/>
      <c r="D27" s="257"/>
      <c r="E27" s="108"/>
    </row>
    <row r="28" spans="2:5" ht="15.75">
      <c r="B28" s="273"/>
      <c r="C28" s="257"/>
      <c r="D28" s="257"/>
      <c r="E28" s="108"/>
    </row>
    <row r="29" spans="2:5" ht="15.75">
      <c r="B29" s="273"/>
      <c r="C29" s="257"/>
      <c r="D29" s="257"/>
      <c r="E29" s="108"/>
    </row>
    <row r="30" spans="2:5" ht="15.75">
      <c r="B30" s="273"/>
      <c r="C30" s="257"/>
      <c r="D30" s="257"/>
      <c r="E30" s="108"/>
    </row>
    <row r="31" spans="2:5" ht="15.75">
      <c r="B31" s="273"/>
      <c r="C31" s="257"/>
      <c r="D31" s="257"/>
      <c r="E31" s="108"/>
    </row>
    <row r="32" spans="2:5" ht="15.75">
      <c r="B32" s="273"/>
      <c r="C32" s="257"/>
      <c r="D32" s="257"/>
      <c r="E32" s="108"/>
    </row>
    <row r="33" spans="2:5" ht="15.75">
      <c r="B33" s="273"/>
      <c r="C33" s="257"/>
      <c r="D33" s="257"/>
      <c r="E33" s="108"/>
    </row>
    <row r="34" spans="2:5" ht="15.75">
      <c r="B34" s="273"/>
      <c r="C34" s="257"/>
      <c r="D34" s="257"/>
      <c r="E34" s="108"/>
    </row>
    <row r="35" spans="2:5" ht="15.75">
      <c r="B35" s="273"/>
      <c r="C35" s="257"/>
      <c r="D35" s="257"/>
      <c r="E35" s="260"/>
    </row>
    <row r="36" spans="2:5" ht="15.75">
      <c r="B36" s="273"/>
      <c r="C36" s="257"/>
      <c r="D36" s="257"/>
      <c r="E36" s="260"/>
    </row>
    <row r="37" spans="2:5" ht="15.75">
      <c r="B37" s="273"/>
      <c r="C37" s="257"/>
      <c r="D37" s="257"/>
      <c r="E37" s="260"/>
    </row>
    <row r="38" spans="2:5" ht="15.75">
      <c r="B38" s="273"/>
      <c r="C38" s="257"/>
      <c r="D38" s="257"/>
      <c r="E38" s="260"/>
    </row>
    <row r="39" spans="2:5" ht="15.75">
      <c r="B39" s="273"/>
      <c r="C39" s="257"/>
      <c r="D39" s="257"/>
      <c r="E39" s="260"/>
    </row>
    <row r="40" spans="2:5" ht="15.75">
      <c r="B40" s="273"/>
      <c r="C40" s="257"/>
      <c r="D40" s="257"/>
      <c r="E40" s="260"/>
    </row>
    <row r="41" spans="2:5" ht="15.75">
      <c r="B41" s="273"/>
      <c r="C41" s="257"/>
      <c r="D41" s="257"/>
      <c r="E41" s="260"/>
    </row>
    <row r="42" spans="2:5" ht="15.75">
      <c r="B42" s="273"/>
      <c r="C42" s="257"/>
      <c r="D42" s="257"/>
      <c r="E42" s="260"/>
    </row>
    <row r="43" spans="2:5" ht="15.75">
      <c r="B43" s="273"/>
      <c r="C43" s="257"/>
      <c r="D43" s="257"/>
      <c r="E43" s="260"/>
    </row>
    <row r="44" spans="2:5" ht="15.75">
      <c r="B44" s="273"/>
      <c r="C44" s="257"/>
      <c r="D44" s="257"/>
      <c r="E44" s="260"/>
    </row>
    <row r="45" spans="2:5" ht="15.75">
      <c r="B45" s="274" t="s">
        <v>14</v>
      </c>
      <c r="C45" s="257"/>
      <c r="D45" s="257"/>
      <c r="E45" s="260"/>
    </row>
    <row r="46" spans="2:5" ht="15.75">
      <c r="B46" s="274" t="s">
        <v>785</v>
      </c>
      <c r="C46" s="262" t="str">
        <f>IF(C47*0.1&lt;C45,"Exceed 10% Rule","")</f>
        <v/>
      </c>
      <c r="D46" s="262" t="str">
        <f>IF(D47*0.1&lt;D45,"Exceed 10% Rule","")</f>
        <v/>
      </c>
      <c r="E46" s="299" t="str">
        <f>IF(E47*0.1&lt;E45,"Exceed 10% Rule","")</f>
        <v/>
      </c>
    </row>
    <row r="47" spans="2:5" ht="15.75">
      <c r="B47" s="264" t="s">
        <v>122</v>
      </c>
      <c r="C47" s="266">
        <f>SUM(C22:C45)</f>
        <v>0</v>
      </c>
      <c r="D47" s="266">
        <f>SUM(D22:D45)</f>
        <v>0</v>
      </c>
      <c r="E47" s="267">
        <f>SUM(E22:E45)</f>
        <v>0</v>
      </c>
    </row>
    <row r="48" spans="2:5" ht="15.75">
      <c r="B48" s="150" t="s">
        <v>229</v>
      </c>
      <c r="C48" s="270">
        <f>C20-C47</f>
        <v>0</v>
      </c>
      <c r="D48" s="270">
        <f>D20-D47</f>
        <v>0</v>
      </c>
      <c r="E48" s="82">
        <f>E20-E47</f>
        <v>0</v>
      </c>
    </row>
    <row r="49" spans="2:5" ht="15.75">
      <c r="B49" s="136" t="str">
        <f>CONCATENATE("",E1-2,"/",E1-1," Budget Authority Amount:")</f>
        <v>2012/2013 Budget Authority Amount:</v>
      </c>
      <c r="C49" s="241">
        <f>inputOth!B91</f>
        <v>0</v>
      </c>
      <c r="D49" s="241">
        <f>inputPrYr!D53</f>
        <v>0</v>
      </c>
      <c r="E49" s="381" t="str">
        <f>IF(E48&lt;0,"See Tab E","")</f>
        <v/>
      </c>
    </row>
    <row r="50" spans="2:5" ht="15.75">
      <c r="B50" s="136"/>
      <c r="C50" s="277" t="str">
        <f>IF(C47&gt;C49,"See Tab A","")</f>
        <v/>
      </c>
      <c r="D50" s="277" t="str">
        <f>IF(D47&gt;D49,"See Tab C","")</f>
        <v/>
      </c>
      <c r="E50" s="68"/>
    </row>
    <row r="51" spans="2:5" ht="15.75">
      <c r="B51" s="136"/>
      <c r="C51" s="277" t="str">
        <f>IF(C48&lt;0,"See Tab B","")</f>
        <v/>
      </c>
      <c r="D51" s="277" t="str">
        <f>IF(D48&lt;0,"See Tab D","")</f>
        <v/>
      </c>
      <c r="E51" s="68"/>
    </row>
    <row r="52" spans="2:5">
      <c r="B52" s="68"/>
      <c r="C52" s="68"/>
      <c r="D52" s="68"/>
      <c r="E52" s="68"/>
    </row>
    <row r="53" spans="2:5" ht="15.75">
      <c r="B53" s="405" t="s">
        <v>125</v>
      </c>
      <c r="C53" s="282"/>
      <c r="D53" s="68"/>
      <c r="E53" s="68"/>
    </row>
  </sheetData>
  <sheetProtection sheet="1"/>
  <phoneticPr fontId="9" type="noConversion"/>
  <conditionalFormatting sqref="E17">
    <cfRule type="cellIs" dxfId="59" priority="4" stopIfTrue="1" operator="greaterThan">
      <formula>$E$19*0.1</formula>
    </cfRule>
  </conditionalFormatting>
  <conditionalFormatting sqref="E45">
    <cfRule type="cellIs" dxfId="58" priority="5" stopIfTrue="1" operator="greaterThan">
      <formula>$E$47*0.1</formula>
    </cfRule>
  </conditionalFormatting>
  <conditionalFormatting sqref="C45">
    <cfRule type="cellIs" dxfId="57" priority="6" stopIfTrue="1" operator="greaterThan">
      <formula>$C$47*0.1</formula>
    </cfRule>
  </conditionalFormatting>
  <conditionalFormatting sqref="D45">
    <cfRule type="cellIs" dxfId="56" priority="7" stopIfTrue="1" operator="greaterThan">
      <formula>$D$47*0.1</formula>
    </cfRule>
  </conditionalFormatting>
  <conditionalFormatting sqref="D47">
    <cfRule type="cellIs" dxfId="55" priority="8" stopIfTrue="1" operator="greaterThan">
      <formula>$D$49</formula>
    </cfRule>
  </conditionalFormatting>
  <conditionalFormatting sqref="C47">
    <cfRule type="cellIs" dxfId="54" priority="9" stopIfTrue="1" operator="greaterThan">
      <formula>$C$49</formula>
    </cfRule>
  </conditionalFormatting>
  <conditionalFormatting sqref="C48 E48">
    <cfRule type="cellIs" dxfId="53" priority="10" stopIfTrue="1" operator="lessThan">
      <formula>0</formula>
    </cfRule>
  </conditionalFormatting>
  <conditionalFormatting sqref="D48">
    <cfRule type="cellIs" dxfId="52" priority="3" stopIfTrue="1" operator="lessThan">
      <formula>0</formula>
    </cfRule>
  </conditionalFormatting>
  <conditionalFormatting sqref="D17">
    <cfRule type="cellIs" dxfId="51" priority="2" stopIfTrue="1" operator="greaterThan">
      <formula>$D$19*0.1</formula>
    </cfRule>
  </conditionalFormatting>
  <conditionalFormatting sqref="C17">
    <cfRule type="cellIs" dxfId="50" priority="1" stopIfTrue="1" operator="greaterThan">
      <formula>$C$19*0.1</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sheetPr>
    <pageSetUpPr fitToPage="1"/>
  </sheetPr>
  <dimension ref="B1:E53"/>
  <sheetViews>
    <sheetView workbookViewId="0">
      <selection activeCell="F27" sqref="F27"/>
    </sheetView>
  </sheetViews>
  <sheetFormatPr defaultRowHeight="15"/>
  <cols>
    <col min="1" max="1" width="2.44140625" style="106" customWidth="1"/>
    <col min="2" max="2" width="31.109375" style="106" customWidth="1"/>
    <col min="3" max="4" width="15.77734375" style="106" customWidth="1"/>
    <col min="5" max="5" width="16.5546875" style="106" customWidth="1"/>
    <col min="6" max="16384" width="8.88671875" style="106"/>
  </cols>
  <sheetData>
    <row r="1" spans="2:5" ht="15.75">
      <c r="B1" s="197" t="str">
        <f>(inputPrYr!D2)</f>
        <v>City of Garnett</v>
      </c>
      <c r="C1" s="47"/>
      <c r="D1" s="47"/>
      <c r="E1" s="219">
        <f>inputPrYr!$C$5</f>
        <v>2014</v>
      </c>
    </row>
    <row r="2" spans="2:5" ht="15.75">
      <c r="B2" s="47"/>
      <c r="C2" s="47"/>
      <c r="D2" s="47"/>
      <c r="E2" s="169"/>
    </row>
    <row r="3" spans="2:5" ht="15.75">
      <c r="B3" s="249" t="s">
        <v>174</v>
      </c>
      <c r="C3" s="296"/>
      <c r="D3" s="296"/>
      <c r="E3" s="297"/>
    </row>
    <row r="4" spans="2:5" ht="15.75">
      <c r="B4" s="52" t="s">
        <v>106</v>
      </c>
      <c r="C4" s="715" t="s">
        <v>950</v>
      </c>
      <c r="D4" s="716" t="s">
        <v>951</v>
      </c>
      <c r="E4" s="144" t="s">
        <v>952</v>
      </c>
    </row>
    <row r="5" spans="2:5" ht="15.75">
      <c r="B5" s="535">
        <f>(inputPrYr!B54)</f>
        <v>0</v>
      </c>
      <c r="C5" s="225" t="str">
        <f>CONCATENATE("Actual for ",E1-2,"")</f>
        <v>Actual for 2012</v>
      </c>
      <c r="D5" s="225" t="str">
        <f>CONCATENATE("Estimate for ",E1-1,"")</f>
        <v>Estimate for 2013</v>
      </c>
      <c r="E5" s="208" t="str">
        <f>CONCATENATE("Year for ",E1,"")</f>
        <v>Year for 2014</v>
      </c>
    </row>
    <row r="6" spans="2:5" ht="15.75">
      <c r="B6" s="150" t="s">
        <v>228</v>
      </c>
      <c r="C6" s="257"/>
      <c r="D6" s="255">
        <f>C48</f>
        <v>0</v>
      </c>
      <c r="E6" s="228">
        <f>D48</f>
        <v>0</v>
      </c>
    </row>
    <row r="7" spans="2:5" ht="15.75">
      <c r="B7" s="285" t="s">
        <v>230</v>
      </c>
      <c r="C7" s="159"/>
      <c r="D7" s="159"/>
      <c r="E7" s="87"/>
    </row>
    <row r="8" spans="2:5" ht="15.75">
      <c r="B8" s="273"/>
      <c r="C8" s="257"/>
      <c r="D8" s="257"/>
      <c r="E8" s="260"/>
    </row>
    <row r="9" spans="2:5" ht="15.75">
      <c r="B9" s="273"/>
      <c r="C9" s="257"/>
      <c r="D9" s="257"/>
      <c r="E9" s="260"/>
    </row>
    <row r="10" spans="2:5" ht="15.75">
      <c r="B10" s="273"/>
      <c r="C10" s="257"/>
      <c r="D10" s="257"/>
      <c r="E10" s="260"/>
    </row>
    <row r="11" spans="2:5" ht="15.75">
      <c r="B11" s="273"/>
      <c r="C11" s="257"/>
      <c r="D11" s="257"/>
      <c r="E11" s="260"/>
    </row>
    <row r="12" spans="2:5" ht="15.75">
      <c r="B12" s="273"/>
      <c r="C12" s="257"/>
      <c r="D12" s="257"/>
      <c r="E12" s="260"/>
    </row>
    <row r="13" spans="2:5" ht="15.75">
      <c r="B13" s="273"/>
      <c r="C13" s="257"/>
      <c r="D13" s="257"/>
      <c r="E13" s="260"/>
    </row>
    <row r="14" spans="2:5" ht="15.75">
      <c r="B14" s="291"/>
      <c r="C14" s="257"/>
      <c r="D14" s="257"/>
      <c r="E14" s="108"/>
    </row>
    <row r="15" spans="2:5" ht="15.75">
      <c r="B15" s="273"/>
      <c r="C15" s="257"/>
      <c r="D15" s="257"/>
      <c r="E15" s="260"/>
    </row>
    <row r="16" spans="2:5" ht="15.75">
      <c r="B16" s="298" t="s">
        <v>114</v>
      </c>
      <c r="C16" s="257"/>
      <c r="D16" s="257"/>
      <c r="E16" s="260"/>
    </row>
    <row r="17" spans="2:5" ht="15.75">
      <c r="B17" s="159" t="s">
        <v>14</v>
      </c>
      <c r="C17" s="257"/>
      <c r="D17" s="257"/>
      <c r="E17" s="260"/>
    </row>
    <row r="18" spans="2:5" ht="15.75">
      <c r="B18" s="252" t="s">
        <v>784</v>
      </c>
      <c r="C18" s="262" t="str">
        <f>IF(C19*0.1&lt;C17,"Exceed 10% Rule","")</f>
        <v/>
      </c>
      <c r="D18" s="262" t="str">
        <f>IF(D19*0.1&lt;D17,"Exceed 10% Rule","")</f>
        <v/>
      </c>
      <c r="E18" s="299" t="str">
        <f>IF(E19*0.1&lt;E17,"Exceed 10% Rule","")</f>
        <v/>
      </c>
    </row>
    <row r="19" spans="2:5" ht="15.75">
      <c r="B19" s="264" t="s">
        <v>115</v>
      </c>
      <c r="C19" s="266">
        <f>SUM(C8:C17)</f>
        <v>0</v>
      </c>
      <c r="D19" s="266">
        <f>SUM(D8:D17)</f>
        <v>0</v>
      </c>
      <c r="E19" s="267">
        <f>SUM(E8:E17)</f>
        <v>0</v>
      </c>
    </row>
    <row r="20" spans="2:5" ht="15.75">
      <c r="B20" s="264" t="s">
        <v>116</v>
      </c>
      <c r="C20" s="266">
        <f>C6+C19</f>
        <v>0</v>
      </c>
      <c r="D20" s="266">
        <f>D6+D19</f>
        <v>0</v>
      </c>
      <c r="E20" s="267">
        <f>E6+E19</f>
        <v>0</v>
      </c>
    </row>
    <row r="21" spans="2:5" ht="15.75">
      <c r="B21" s="150" t="s">
        <v>118</v>
      </c>
      <c r="C21" s="159"/>
      <c r="D21" s="159"/>
      <c r="E21" s="87"/>
    </row>
    <row r="22" spans="2:5" ht="15.75">
      <c r="B22" s="273" t="s">
        <v>277</v>
      </c>
      <c r="C22" s="257"/>
      <c r="D22" s="257"/>
      <c r="E22" s="260"/>
    </row>
    <row r="23" spans="2:5" ht="15.75">
      <c r="B23" s="273" t="s">
        <v>24</v>
      </c>
      <c r="C23" s="257"/>
      <c r="D23" s="257"/>
      <c r="E23" s="260"/>
    </row>
    <row r="24" spans="2:5" ht="15.75">
      <c r="B24" s="273"/>
      <c r="C24" s="257"/>
      <c r="D24" s="257"/>
      <c r="E24" s="108"/>
    </row>
    <row r="25" spans="2:5" ht="15.75">
      <c r="B25" s="273"/>
      <c r="C25" s="257"/>
      <c r="D25" s="257"/>
      <c r="E25" s="108"/>
    </row>
    <row r="26" spans="2:5" ht="15.75">
      <c r="B26" s="273"/>
      <c r="C26" s="257"/>
      <c r="D26" s="257"/>
      <c r="E26" s="108"/>
    </row>
    <row r="27" spans="2:5" ht="15.75">
      <c r="B27" s="273"/>
      <c r="C27" s="257"/>
      <c r="D27" s="257"/>
      <c r="E27" s="108"/>
    </row>
    <row r="28" spans="2:5" ht="15.75">
      <c r="B28" s="273"/>
      <c r="C28" s="257"/>
      <c r="D28" s="257"/>
      <c r="E28" s="108"/>
    </row>
    <row r="29" spans="2:5" ht="15.75">
      <c r="B29" s="273"/>
      <c r="C29" s="257"/>
      <c r="D29" s="257"/>
      <c r="E29" s="108"/>
    </row>
    <row r="30" spans="2:5" ht="15.75">
      <c r="B30" s="273"/>
      <c r="C30" s="257"/>
      <c r="D30" s="257"/>
      <c r="E30" s="108"/>
    </row>
    <row r="31" spans="2:5" ht="15.75">
      <c r="B31" s="273"/>
      <c r="C31" s="257"/>
      <c r="D31" s="257"/>
      <c r="E31" s="108"/>
    </row>
    <row r="32" spans="2:5" ht="15.75">
      <c r="B32" s="273"/>
      <c r="C32" s="257"/>
      <c r="D32" s="257"/>
      <c r="E32" s="108"/>
    </row>
    <row r="33" spans="2:5" ht="15.75">
      <c r="B33" s="273"/>
      <c r="C33" s="257"/>
      <c r="D33" s="257"/>
      <c r="E33" s="108"/>
    </row>
    <row r="34" spans="2:5" ht="15.75">
      <c r="B34" s="273"/>
      <c r="C34" s="257"/>
      <c r="D34" s="257"/>
      <c r="E34" s="108"/>
    </row>
    <row r="35" spans="2:5" ht="15.75">
      <c r="B35" s="273"/>
      <c r="C35" s="257"/>
      <c r="D35" s="257"/>
      <c r="E35" s="260"/>
    </row>
    <row r="36" spans="2:5" ht="15.75">
      <c r="B36" s="273"/>
      <c r="C36" s="257"/>
      <c r="D36" s="257"/>
      <c r="E36" s="260"/>
    </row>
    <row r="37" spans="2:5" ht="15.75">
      <c r="B37" s="273"/>
      <c r="C37" s="257"/>
      <c r="D37" s="257"/>
      <c r="E37" s="260"/>
    </row>
    <row r="38" spans="2:5" ht="15.75">
      <c r="B38" s="273"/>
      <c r="C38" s="257"/>
      <c r="D38" s="257"/>
      <c r="E38" s="260"/>
    </row>
    <row r="39" spans="2:5" ht="15.75">
      <c r="B39" s="273"/>
      <c r="C39" s="257"/>
      <c r="D39" s="257"/>
      <c r="E39" s="260"/>
    </row>
    <row r="40" spans="2:5" ht="15.75">
      <c r="B40" s="273"/>
      <c r="C40" s="257"/>
      <c r="D40" s="257"/>
      <c r="E40" s="260"/>
    </row>
    <row r="41" spans="2:5" ht="15.75">
      <c r="B41" s="273"/>
      <c r="C41" s="257"/>
      <c r="D41" s="257"/>
      <c r="E41" s="260"/>
    </row>
    <row r="42" spans="2:5" ht="15.75">
      <c r="B42" s="273"/>
      <c r="C42" s="257"/>
      <c r="D42" s="257"/>
      <c r="E42" s="260"/>
    </row>
    <row r="43" spans="2:5" ht="15.75">
      <c r="B43" s="273"/>
      <c r="C43" s="257"/>
      <c r="D43" s="257"/>
      <c r="E43" s="260"/>
    </row>
    <row r="44" spans="2:5" ht="15.75">
      <c r="B44" s="273"/>
      <c r="C44" s="257"/>
      <c r="D44" s="257"/>
      <c r="E44" s="260"/>
    </row>
    <row r="45" spans="2:5" ht="15.75">
      <c r="B45" s="274" t="s">
        <v>14</v>
      </c>
      <c r="C45" s="257"/>
      <c r="D45" s="257"/>
      <c r="E45" s="260"/>
    </row>
    <row r="46" spans="2:5" ht="15.75">
      <c r="B46" s="274" t="s">
        <v>785</v>
      </c>
      <c r="C46" s="262" t="str">
        <f>IF(C47*0.1&lt;C45,"Exceed 10% Rule","")</f>
        <v/>
      </c>
      <c r="D46" s="262" t="str">
        <f>IF(D47*0.1&lt;D45,"Exceed 10% Rule","")</f>
        <v/>
      </c>
      <c r="E46" s="299" t="str">
        <f>IF(E47*0.1&lt;E45,"Exceed 10% Rule","")</f>
        <v/>
      </c>
    </row>
    <row r="47" spans="2:5" ht="15.75">
      <c r="B47" s="264" t="s">
        <v>122</v>
      </c>
      <c r="C47" s="266">
        <f>SUM(C22:C45)</f>
        <v>0</v>
      </c>
      <c r="D47" s="266">
        <f>SUM(D22:D45)</f>
        <v>0</v>
      </c>
      <c r="E47" s="267">
        <f>SUM(E22:E45)</f>
        <v>0</v>
      </c>
    </row>
    <row r="48" spans="2:5" ht="15.75">
      <c r="B48" s="150" t="s">
        <v>229</v>
      </c>
      <c r="C48" s="270">
        <f>C20-C47</f>
        <v>0</v>
      </c>
      <c r="D48" s="270">
        <f>D20-D47</f>
        <v>0</v>
      </c>
      <c r="E48" s="82">
        <f>E20-E47</f>
        <v>0</v>
      </c>
    </row>
    <row r="49" spans="2:5" ht="15.75">
      <c r="B49" s="136" t="str">
        <f>CONCATENATE("",E1-2,"/",E1-1," Budget Authority Amount:")</f>
        <v>2012/2013 Budget Authority Amount:</v>
      </c>
      <c r="C49" s="241">
        <f>inputOth!B92</f>
        <v>0</v>
      </c>
      <c r="D49" s="241">
        <f>inputPrYr!D54</f>
        <v>0</v>
      </c>
      <c r="E49" s="381" t="str">
        <f>IF(E48&lt;0,"See Tab E","")</f>
        <v/>
      </c>
    </row>
    <row r="50" spans="2:5" ht="15.75">
      <c r="B50" s="136"/>
      <c r="C50" s="277" t="str">
        <f>IF(C47&gt;C49,"See Tab A","")</f>
        <v/>
      </c>
      <c r="D50" s="277" t="str">
        <f>IF(D47&gt;D49,"See Tab C","")</f>
        <v/>
      </c>
      <c r="E50" s="68"/>
    </row>
    <row r="51" spans="2:5" ht="15.75">
      <c r="B51" s="136"/>
      <c r="C51" s="277" t="str">
        <f>IF(C48&lt;0,"See Tab B","")</f>
        <v/>
      </c>
      <c r="D51" s="277" t="str">
        <f>IF(D48&lt;0,"See Tab D","")</f>
        <v/>
      </c>
      <c r="E51" s="68"/>
    </row>
    <row r="52" spans="2:5">
      <c r="B52" s="68"/>
      <c r="C52" s="68"/>
      <c r="D52" s="68"/>
      <c r="E52" s="68"/>
    </row>
    <row r="53" spans="2:5" ht="15.75">
      <c r="B53" s="405" t="s">
        <v>125</v>
      </c>
      <c r="C53" s="282"/>
      <c r="D53" s="68"/>
      <c r="E53" s="68"/>
    </row>
  </sheetData>
  <sheetProtection sheet="1"/>
  <phoneticPr fontId="9" type="noConversion"/>
  <conditionalFormatting sqref="E17">
    <cfRule type="cellIs" dxfId="49" priority="4" stopIfTrue="1" operator="greaterThan">
      <formula>$E$19*0.1</formula>
    </cfRule>
  </conditionalFormatting>
  <conditionalFormatting sqref="E45">
    <cfRule type="cellIs" dxfId="48" priority="5" stopIfTrue="1" operator="greaterThan">
      <formula>$E$47*0.1</formula>
    </cfRule>
  </conditionalFormatting>
  <conditionalFormatting sqref="E48 C48">
    <cfRule type="cellIs" dxfId="47" priority="6" stopIfTrue="1" operator="lessThan">
      <formula>0</formula>
    </cfRule>
  </conditionalFormatting>
  <conditionalFormatting sqref="D45">
    <cfRule type="cellIs" dxfId="46" priority="7" stopIfTrue="1" operator="greaterThan">
      <formula>$D$47*0.1</formula>
    </cfRule>
  </conditionalFormatting>
  <conditionalFormatting sqref="C45">
    <cfRule type="cellIs" dxfId="45" priority="8" stopIfTrue="1" operator="greaterThan">
      <formula>$C$47*0.1</formula>
    </cfRule>
  </conditionalFormatting>
  <conditionalFormatting sqref="D47">
    <cfRule type="cellIs" dxfId="44" priority="9" stopIfTrue="1" operator="greaterThan">
      <formula>$D$49</formula>
    </cfRule>
  </conditionalFormatting>
  <conditionalFormatting sqref="C47">
    <cfRule type="cellIs" dxfId="43" priority="10" stopIfTrue="1" operator="greaterThan">
      <formula>$C$49</formula>
    </cfRule>
  </conditionalFormatting>
  <conditionalFormatting sqref="D48">
    <cfRule type="cellIs" dxfId="42" priority="3" stopIfTrue="1" operator="lessThan">
      <formula>0</formula>
    </cfRule>
  </conditionalFormatting>
  <conditionalFormatting sqref="D17">
    <cfRule type="cellIs" dxfId="41" priority="2" stopIfTrue="1" operator="greaterThan">
      <formula>$D$198*0.1</formula>
    </cfRule>
  </conditionalFormatting>
  <conditionalFormatting sqref="C17">
    <cfRule type="cellIs" dxfId="40" priority="1" stopIfTrue="1" operator="greaterThan">
      <formula>$C$19*0.1</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3.xml><?xml version="1.0" encoding="utf-8"?>
<worksheet xmlns="http://schemas.openxmlformats.org/spreadsheetml/2006/main" xmlns:r="http://schemas.openxmlformats.org/officeDocument/2006/relationships">
  <sheetPr>
    <pageSetUpPr fitToPage="1"/>
  </sheetPr>
  <dimension ref="A1:L41"/>
  <sheetViews>
    <sheetView workbookViewId="0">
      <selection activeCell="F27" sqref="F2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4" t="str">
        <f>inputPrYr!$D$2</f>
        <v>City of Garnett</v>
      </c>
      <c r="B1" s="300"/>
      <c r="C1" s="173"/>
      <c r="D1" s="173"/>
      <c r="E1" s="173"/>
      <c r="F1" s="175" t="s">
        <v>252</v>
      </c>
      <c r="G1" s="173"/>
      <c r="H1" s="173"/>
      <c r="I1" s="173"/>
      <c r="J1" s="173"/>
      <c r="K1" s="173">
        <f>inputPrYr!$C$5</f>
        <v>2014</v>
      </c>
    </row>
    <row r="2" spans="1:11">
      <c r="A2" s="173"/>
      <c r="B2" s="173"/>
      <c r="C2" s="173"/>
      <c r="D2" s="173"/>
      <c r="E2" s="173"/>
      <c r="F2" s="301" t="str">
        <f>CONCATENATE("(Only the actual budget year for ",K1-2," is to be shown)")</f>
        <v>(Only the actual budget year for 2012 is to be shown)</v>
      </c>
      <c r="G2" s="173"/>
      <c r="H2" s="173"/>
      <c r="I2" s="173"/>
      <c r="J2" s="173"/>
      <c r="K2" s="173"/>
    </row>
    <row r="3" spans="1:11">
      <c r="A3" s="173" t="s">
        <v>300</v>
      </c>
      <c r="B3" s="173"/>
      <c r="C3" s="173"/>
      <c r="D3" s="173"/>
      <c r="E3" s="173"/>
      <c r="F3" s="302"/>
      <c r="G3" s="173"/>
      <c r="H3" s="173"/>
      <c r="I3" s="173"/>
      <c r="J3" s="173"/>
      <c r="K3" s="173"/>
    </row>
    <row r="4" spans="1:11">
      <c r="A4" s="173" t="s">
        <v>253</v>
      </c>
      <c r="B4" s="173"/>
      <c r="C4" s="173" t="s">
        <v>254</v>
      </c>
      <c r="D4" s="173"/>
      <c r="E4" s="173" t="s">
        <v>255</v>
      </c>
      <c r="F4" s="300"/>
      <c r="G4" s="173" t="s">
        <v>256</v>
      </c>
      <c r="H4" s="173"/>
      <c r="I4" s="173" t="s">
        <v>257</v>
      </c>
      <c r="J4" s="173"/>
      <c r="K4" s="173"/>
    </row>
    <row r="5" spans="1:11">
      <c r="A5" s="822" t="str">
        <f>IF(inputPrYr!B57&gt;" ",(inputPrYr!B57)," ")</f>
        <v xml:space="preserve"> </v>
      </c>
      <c r="B5" s="823"/>
      <c r="C5" s="822" t="str">
        <f>IF(inputPrYr!B58&gt;" ",(inputPrYr!B58)," ")</f>
        <v xml:space="preserve"> </v>
      </c>
      <c r="D5" s="823"/>
      <c r="E5" s="822" t="str">
        <f>IF(inputPrYr!B59&gt;" ",(inputPrYr!B59)," ")</f>
        <v xml:space="preserve"> </v>
      </c>
      <c r="F5" s="823"/>
      <c r="G5" s="822" t="str">
        <f>IF(inputPrYr!B60&gt;" ",(inputPrYr!B60)," ")</f>
        <v xml:space="preserve"> </v>
      </c>
      <c r="H5" s="823"/>
      <c r="I5" s="822" t="str">
        <f>IF(inputPrYr!B61&gt;" ",(inputPrYr!B61)," ")</f>
        <v xml:space="preserve"> </v>
      </c>
      <c r="J5" s="823"/>
      <c r="K5" s="124"/>
    </row>
    <row r="6" spans="1:11">
      <c r="A6" s="304" t="s">
        <v>258</v>
      </c>
      <c r="B6" s="305"/>
      <c r="C6" s="306" t="s">
        <v>258</v>
      </c>
      <c r="D6" s="307"/>
      <c r="E6" s="306" t="s">
        <v>258</v>
      </c>
      <c r="F6" s="303"/>
      <c r="G6" s="306" t="s">
        <v>258</v>
      </c>
      <c r="H6" s="308"/>
      <c r="I6" s="306" t="s">
        <v>258</v>
      </c>
      <c r="J6" s="173"/>
      <c r="K6" s="309" t="s">
        <v>78</v>
      </c>
    </row>
    <row r="7" spans="1:11">
      <c r="A7" s="310" t="s">
        <v>21</v>
      </c>
      <c r="B7" s="311"/>
      <c r="C7" s="312" t="s">
        <v>21</v>
      </c>
      <c r="D7" s="311"/>
      <c r="E7" s="312" t="s">
        <v>21</v>
      </c>
      <c r="F7" s="311"/>
      <c r="G7" s="312" t="s">
        <v>21</v>
      </c>
      <c r="H7" s="311"/>
      <c r="I7" s="312" t="s">
        <v>21</v>
      </c>
      <c r="J7" s="311"/>
      <c r="K7" s="313">
        <f>SUM(B7+D7+F7+H7+J7)</f>
        <v>0</v>
      </c>
    </row>
    <row r="8" spans="1:11">
      <c r="A8" s="314" t="s">
        <v>230</v>
      </c>
      <c r="B8" s="315"/>
      <c r="C8" s="314" t="s">
        <v>230</v>
      </c>
      <c r="D8" s="316"/>
      <c r="E8" s="314" t="s">
        <v>230</v>
      </c>
      <c r="F8" s="300"/>
      <c r="G8" s="314" t="s">
        <v>230</v>
      </c>
      <c r="H8" s="173"/>
      <c r="I8" s="314" t="s">
        <v>230</v>
      </c>
      <c r="J8" s="173"/>
      <c r="K8" s="300"/>
    </row>
    <row r="9" spans="1:11">
      <c r="A9" s="317"/>
      <c r="B9" s="311"/>
      <c r="C9" s="317"/>
      <c r="D9" s="311"/>
      <c r="E9" s="317"/>
      <c r="F9" s="311"/>
      <c r="G9" s="317"/>
      <c r="H9" s="311"/>
      <c r="I9" s="317"/>
      <c r="J9" s="311"/>
      <c r="K9" s="300"/>
    </row>
    <row r="10" spans="1:11">
      <c r="A10" s="317"/>
      <c r="B10" s="311"/>
      <c r="C10" s="317"/>
      <c r="D10" s="311"/>
      <c r="E10" s="317"/>
      <c r="F10" s="311"/>
      <c r="G10" s="317"/>
      <c r="H10" s="311"/>
      <c r="I10" s="317"/>
      <c r="J10" s="311"/>
      <c r="K10" s="300"/>
    </row>
    <row r="11" spans="1:11">
      <c r="A11" s="317"/>
      <c r="B11" s="311"/>
      <c r="C11" s="318"/>
      <c r="D11" s="311"/>
      <c r="E11" s="318"/>
      <c r="F11" s="311"/>
      <c r="G11" s="318"/>
      <c r="H11" s="311"/>
      <c r="I11" s="319"/>
      <c r="J11" s="311"/>
      <c r="K11" s="300"/>
    </row>
    <row r="12" spans="1:11">
      <c r="A12" s="317"/>
      <c r="B12" s="311"/>
      <c r="C12" s="317"/>
      <c r="D12" s="311"/>
      <c r="E12" s="320"/>
      <c r="F12" s="311"/>
      <c r="G12" s="320"/>
      <c r="H12" s="311"/>
      <c r="I12" s="320"/>
      <c r="J12" s="311"/>
      <c r="K12" s="300"/>
    </row>
    <row r="13" spans="1:11">
      <c r="A13" s="321"/>
      <c r="B13" s="311"/>
      <c r="C13" s="322"/>
      <c r="D13" s="311"/>
      <c r="E13" s="322"/>
      <c r="F13" s="311"/>
      <c r="G13" s="322"/>
      <c r="H13" s="311"/>
      <c r="I13" s="319"/>
      <c r="J13" s="311"/>
      <c r="K13" s="300"/>
    </row>
    <row r="14" spans="1:11">
      <c r="A14" s="317"/>
      <c r="B14" s="311"/>
      <c r="C14" s="320"/>
      <c r="D14" s="311"/>
      <c r="E14" s="320"/>
      <c r="F14" s="311"/>
      <c r="G14" s="320"/>
      <c r="H14" s="311"/>
      <c r="I14" s="320"/>
      <c r="J14" s="311"/>
      <c r="K14" s="300"/>
    </row>
    <row r="15" spans="1:11">
      <c r="A15" s="317"/>
      <c r="B15" s="311"/>
      <c r="C15" s="320"/>
      <c r="D15" s="311"/>
      <c r="E15" s="320"/>
      <c r="F15" s="311"/>
      <c r="G15" s="320"/>
      <c r="H15" s="311"/>
      <c r="I15" s="320"/>
      <c r="J15" s="311"/>
      <c r="K15" s="300"/>
    </row>
    <row r="16" spans="1:11">
      <c r="A16" s="317"/>
      <c r="B16" s="311"/>
      <c r="C16" s="317"/>
      <c r="D16" s="311"/>
      <c r="E16" s="317"/>
      <c r="F16" s="311"/>
      <c r="G16" s="320"/>
      <c r="H16" s="311"/>
      <c r="I16" s="317"/>
      <c r="J16" s="311"/>
      <c r="K16" s="300"/>
    </row>
    <row r="17" spans="1:12">
      <c r="A17" s="314" t="s">
        <v>115</v>
      </c>
      <c r="B17" s="313">
        <f>SUM(B9:B16)</f>
        <v>0</v>
      </c>
      <c r="C17" s="314" t="s">
        <v>115</v>
      </c>
      <c r="D17" s="313">
        <f>SUM(D9:D16)</f>
        <v>0</v>
      </c>
      <c r="E17" s="314" t="s">
        <v>115</v>
      </c>
      <c r="F17" s="379">
        <f>SUM(F9:F16)</f>
        <v>0</v>
      </c>
      <c r="G17" s="314" t="s">
        <v>115</v>
      </c>
      <c r="H17" s="313">
        <f>SUM(H9:H16)</f>
        <v>0</v>
      </c>
      <c r="I17" s="314" t="s">
        <v>115</v>
      </c>
      <c r="J17" s="313">
        <f>SUM(J9:J16)</f>
        <v>0</v>
      </c>
      <c r="K17" s="313">
        <f>SUM(B17+D17+F17+H17+J17)</f>
        <v>0</v>
      </c>
    </row>
    <row r="18" spans="1:12">
      <c r="A18" s="314" t="s">
        <v>116</v>
      </c>
      <c r="B18" s="313">
        <f>SUM(B7+B17)</f>
        <v>0</v>
      </c>
      <c r="C18" s="314" t="s">
        <v>116</v>
      </c>
      <c r="D18" s="313">
        <f>SUM(D7+D17)</f>
        <v>0</v>
      </c>
      <c r="E18" s="314" t="s">
        <v>116</v>
      </c>
      <c r="F18" s="313">
        <f>SUM(F7+F17)</f>
        <v>0</v>
      </c>
      <c r="G18" s="314" t="s">
        <v>116</v>
      </c>
      <c r="H18" s="313">
        <f>SUM(H7+H17)</f>
        <v>0</v>
      </c>
      <c r="I18" s="314" t="s">
        <v>116</v>
      </c>
      <c r="J18" s="313">
        <f>SUM(J7+J17)</f>
        <v>0</v>
      </c>
      <c r="K18" s="313">
        <f>SUM(B18+D18+F18+H18+J18)</f>
        <v>0</v>
      </c>
    </row>
    <row r="19" spans="1:12">
      <c r="A19" s="314" t="s">
        <v>118</v>
      </c>
      <c r="B19" s="315"/>
      <c r="C19" s="314" t="s">
        <v>118</v>
      </c>
      <c r="D19" s="316"/>
      <c r="E19" s="314" t="s">
        <v>118</v>
      </c>
      <c r="F19" s="300"/>
      <c r="G19" s="314" t="s">
        <v>118</v>
      </c>
      <c r="H19" s="173"/>
      <c r="I19" s="314" t="s">
        <v>118</v>
      </c>
      <c r="J19" s="173"/>
      <c r="K19" s="300"/>
    </row>
    <row r="20" spans="1:12">
      <c r="A20" s="317"/>
      <c r="B20" s="311"/>
      <c r="C20" s="320"/>
      <c r="D20" s="311"/>
      <c r="E20" s="320"/>
      <c r="F20" s="311"/>
      <c r="G20" s="320"/>
      <c r="H20" s="311"/>
      <c r="I20" s="320"/>
      <c r="J20" s="311"/>
      <c r="K20" s="300"/>
    </row>
    <row r="21" spans="1:12">
      <c r="A21" s="317"/>
      <c r="B21" s="311"/>
      <c r="C21" s="320"/>
      <c r="D21" s="311"/>
      <c r="E21" s="320"/>
      <c r="F21" s="311"/>
      <c r="G21" s="320"/>
      <c r="H21" s="311"/>
      <c r="I21" s="320"/>
      <c r="J21" s="311"/>
      <c r="K21" s="300"/>
    </row>
    <row r="22" spans="1:12">
      <c r="A22" s="317"/>
      <c r="B22" s="311"/>
      <c r="C22" s="322"/>
      <c r="D22" s="311"/>
      <c r="E22" s="322"/>
      <c r="F22" s="311"/>
      <c r="G22" s="322"/>
      <c r="H22" s="311"/>
      <c r="I22" s="319"/>
      <c r="J22" s="311"/>
      <c r="K22" s="300"/>
    </row>
    <row r="23" spans="1:12">
      <c r="A23" s="317"/>
      <c r="B23" s="311"/>
      <c r="C23" s="320"/>
      <c r="D23" s="311"/>
      <c r="E23" s="320"/>
      <c r="F23" s="311"/>
      <c r="G23" s="320"/>
      <c r="H23" s="311"/>
      <c r="I23" s="320"/>
      <c r="J23" s="311"/>
      <c r="K23" s="300"/>
    </row>
    <row r="24" spans="1:12">
      <c r="A24" s="317"/>
      <c r="B24" s="311"/>
      <c r="C24" s="322"/>
      <c r="D24" s="311"/>
      <c r="E24" s="322"/>
      <c r="F24" s="311"/>
      <c r="G24" s="322"/>
      <c r="H24" s="311"/>
      <c r="I24" s="319"/>
      <c r="J24" s="311"/>
      <c r="K24" s="300"/>
    </row>
    <row r="25" spans="1:12">
      <c r="A25" s="317"/>
      <c r="B25" s="311"/>
      <c r="C25" s="320"/>
      <c r="D25" s="311"/>
      <c r="E25" s="320"/>
      <c r="F25" s="311"/>
      <c r="G25" s="320"/>
      <c r="H25" s="311"/>
      <c r="I25" s="320"/>
      <c r="J25" s="311"/>
      <c r="K25" s="300"/>
    </row>
    <row r="26" spans="1:12">
      <c r="A26" s="317"/>
      <c r="B26" s="311"/>
      <c r="C26" s="320"/>
      <c r="D26" s="311"/>
      <c r="E26" s="320"/>
      <c r="F26" s="311"/>
      <c r="G26" s="320"/>
      <c r="H26" s="311"/>
      <c r="I26" s="320"/>
      <c r="J26" s="311"/>
      <c r="K26" s="300"/>
    </row>
    <row r="27" spans="1:12">
      <c r="A27" s="317"/>
      <c r="B27" s="311"/>
      <c r="C27" s="317"/>
      <c r="D27" s="311"/>
      <c r="E27" s="317"/>
      <c r="F27" s="311"/>
      <c r="G27" s="320"/>
      <c r="H27" s="311"/>
      <c r="I27" s="320"/>
      <c r="J27" s="311"/>
      <c r="K27" s="300"/>
    </row>
    <row r="28" spans="1:12">
      <c r="A28" s="314" t="s">
        <v>122</v>
      </c>
      <c r="B28" s="313">
        <f>SUM(B20:B27)</f>
        <v>0</v>
      </c>
      <c r="C28" s="314" t="s">
        <v>122</v>
      </c>
      <c r="D28" s="313">
        <f>SUM(D20:D27)</f>
        <v>0</v>
      </c>
      <c r="E28" s="314" t="s">
        <v>122</v>
      </c>
      <c r="F28" s="379">
        <f>SUM(F20:F27)</f>
        <v>0</v>
      </c>
      <c r="G28" s="314" t="s">
        <v>122</v>
      </c>
      <c r="H28" s="379">
        <f>SUM(H20:H27)</f>
        <v>0</v>
      </c>
      <c r="I28" s="314" t="s">
        <v>122</v>
      </c>
      <c r="J28" s="313">
        <f>SUM(J20:J27)</f>
        <v>0</v>
      </c>
      <c r="K28" s="313">
        <f>SUM(B28+D28+F28+H28+J28)</f>
        <v>0</v>
      </c>
    </row>
    <row r="29" spans="1:12">
      <c r="A29" s="314" t="s">
        <v>259</v>
      </c>
      <c r="B29" s="313">
        <f>SUM(B18-B28)</f>
        <v>0</v>
      </c>
      <c r="C29" s="314" t="s">
        <v>259</v>
      </c>
      <c r="D29" s="313">
        <f>SUM(D18-D28)</f>
        <v>0</v>
      </c>
      <c r="E29" s="314" t="s">
        <v>259</v>
      </c>
      <c r="F29" s="313">
        <f>SUM(F18-F28)</f>
        <v>0</v>
      </c>
      <c r="G29" s="314" t="s">
        <v>259</v>
      </c>
      <c r="H29" s="313">
        <f>SUM(H18-H28)</f>
        <v>0</v>
      </c>
      <c r="I29" s="314" t="s">
        <v>259</v>
      </c>
      <c r="J29" s="313">
        <f>SUM(J18-J28)</f>
        <v>0</v>
      </c>
      <c r="K29" s="323">
        <f>SUM(B29+D29+F29+H29+J29)</f>
        <v>0</v>
      </c>
      <c r="L29" s="32" t="s">
        <v>337</v>
      </c>
    </row>
    <row r="30" spans="1:12">
      <c r="A30" s="314"/>
      <c r="B30" s="347" t="str">
        <f>IF(B29&lt;0,"See Tab B","")</f>
        <v/>
      </c>
      <c r="C30" s="314"/>
      <c r="D30" s="347" t="str">
        <f>IF(D29&lt;0,"See Tab B","")</f>
        <v/>
      </c>
      <c r="E30" s="314"/>
      <c r="F30" s="347" t="str">
        <f>IF(F29&lt;0,"See Tab B","")</f>
        <v/>
      </c>
      <c r="G30" s="173"/>
      <c r="H30" s="347" t="str">
        <f>IF(H29&lt;0,"See Tab B","")</f>
        <v/>
      </c>
      <c r="I30" s="173"/>
      <c r="J30" s="347" t="str">
        <f>IF(J29&lt;0,"See Tab B","")</f>
        <v/>
      </c>
      <c r="K30" s="323">
        <f>SUM(K7+K17-K28)</f>
        <v>0</v>
      </c>
      <c r="L30" s="32" t="s">
        <v>337</v>
      </c>
    </row>
    <row r="31" spans="1:12">
      <c r="A31" s="173"/>
      <c r="B31" s="178"/>
      <c r="C31" s="173"/>
      <c r="D31" s="300"/>
      <c r="E31" s="173"/>
      <c r="F31" s="173"/>
      <c r="G31" s="43" t="s">
        <v>339</v>
      </c>
      <c r="H31" s="43"/>
      <c r="I31" s="43"/>
      <c r="J31" s="43"/>
      <c r="K31" s="173"/>
    </row>
    <row r="32" spans="1:12">
      <c r="A32" s="173"/>
      <c r="B32" s="178"/>
      <c r="C32" s="173"/>
      <c r="D32" s="173"/>
      <c r="E32" s="173"/>
      <c r="F32" s="173"/>
      <c r="G32" s="173"/>
      <c r="H32" s="173"/>
      <c r="I32" s="173"/>
      <c r="J32" s="173"/>
      <c r="K32" s="173"/>
    </row>
    <row r="33" spans="1:11">
      <c r="A33" s="173"/>
      <c r="B33" s="178"/>
      <c r="C33" s="173"/>
      <c r="D33" s="173"/>
      <c r="E33" s="187" t="s">
        <v>125</v>
      </c>
      <c r="F33" s="282"/>
      <c r="G33" s="173"/>
      <c r="H33" s="173"/>
      <c r="I33" s="173"/>
      <c r="J33" s="173"/>
      <c r="K33" s="173"/>
    </row>
    <row r="34" spans="1:11">
      <c r="B34" s="324"/>
    </row>
    <row r="35" spans="1:11">
      <c r="B35" s="324"/>
    </row>
    <row r="36" spans="1:11">
      <c r="B36" s="324"/>
    </row>
    <row r="37" spans="1:11">
      <c r="B37" s="324"/>
    </row>
    <row r="38" spans="1:11">
      <c r="B38" s="324"/>
    </row>
    <row r="39" spans="1:11">
      <c r="B39" s="324"/>
    </row>
    <row r="40" spans="1:11">
      <c r="B40" s="324"/>
    </row>
    <row r="41" spans="1:11">
      <c r="B41" s="324"/>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4.xml><?xml version="1.0" encoding="utf-8"?>
<worksheet xmlns="http://schemas.openxmlformats.org/spreadsheetml/2006/main" xmlns:r="http://schemas.openxmlformats.org/officeDocument/2006/relationships">
  <sheetPr>
    <pageSetUpPr fitToPage="1"/>
  </sheetPr>
  <dimension ref="A1:L41"/>
  <sheetViews>
    <sheetView workbookViewId="0">
      <selection activeCell="F27" sqref="F2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4" t="str">
        <f>inputPrYr!$D$2</f>
        <v>City of Garnett</v>
      </c>
      <c r="B1" s="300"/>
      <c r="C1" s="173"/>
      <c r="D1" s="173"/>
      <c r="E1" s="173"/>
      <c r="F1" s="175" t="s">
        <v>260</v>
      </c>
      <c r="G1" s="173"/>
      <c r="H1" s="173"/>
      <c r="I1" s="173"/>
      <c r="J1" s="173"/>
      <c r="K1" s="173">
        <f>inputPrYr!$C$5</f>
        <v>2014</v>
      </c>
    </row>
    <row r="2" spans="1:11">
      <c r="A2" s="173"/>
      <c r="B2" s="173"/>
      <c r="C2" s="173"/>
      <c r="D2" s="173"/>
      <c r="E2" s="173"/>
      <c r="F2" s="301" t="str">
        <f>CONCATENATE("(Only the actual budget year for ",K1-2," is to be shown)")</f>
        <v>(Only the actual budget year for 2012 is to be shown)</v>
      </c>
      <c r="G2" s="173"/>
      <c r="H2" s="173"/>
      <c r="I2" s="173"/>
      <c r="J2" s="173"/>
      <c r="K2" s="173"/>
    </row>
    <row r="3" spans="1:11">
      <c r="A3" s="173" t="s">
        <v>299</v>
      </c>
      <c r="B3" s="173"/>
      <c r="C3" s="173"/>
      <c r="D3" s="173"/>
      <c r="E3" s="173"/>
      <c r="F3" s="300"/>
      <c r="G3" s="173"/>
      <c r="H3" s="173"/>
      <c r="I3" s="173"/>
      <c r="J3" s="173"/>
      <c r="K3" s="173"/>
    </row>
    <row r="4" spans="1:11">
      <c r="A4" s="173" t="s">
        <v>253</v>
      </c>
      <c r="B4" s="173"/>
      <c r="C4" s="173" t="s">
        <v>254</v>
      </c>
      <c r="D4" s="173"/>
      <c r="E4" s="173" t="s">
        <v>255</v>
      </c>
      <c r="F4" s="300"/>
      <c r="G4" s="173" t="s">
        <v>256</v>
      </c>
      <c r="H4" s="173"/>
      <c r="I4" s="173" t="s">
        <v>257</v>
      </c>
      <c r="J4" s="173"/>
      <c r="K4" s="173"/>
    </row>
    <row r="5" spans="1:11">
      <c r="A5" s="822" t="str">
        <f>IF(inputPrYr!B63&gt;" ",(inputPrYr!B63)," ")</f>
        <v xml:space="preserve"> </v>
      </c>
      <c r="B5" s="823"/>
      <c r="C5" s="822" t="str">
        <f>IF(inputPrYr!B64&gt;" ",(inputPrYr!B64)," ")</f>
        <v xml:space="preserve"> </v>
      </c>
      <c r="D5" s="823"/>
      <c r="E5" s="822" t="str">
        <f>IF(inputPrYr!B65&gt;" ",(inputPrYr!B65)," ")</f>
        <v xml:space="preserve"> </v>
      </c>
      <c r="F5" s="823"/>
      <c r="G5" s="822" t="str">
        <f>IF(inputPrYr!B66&gt;" ",(inputPrYr!B66)," ")</f>
        <v xml:space="preserve"> </v>
      </c>
      <c r="H5" s="823"/>
      <c r="I5" s="822" t="str">
        <f>IF(inputPrYr!B67&gt;" ",(inputPrYr!B67)," ")</f>
        <v xml:space="preserve"> </v>
      </c>
      <c r="J5" s="823"/>
      <c r="K5" s="124"/>
    </row>
    <row r="6" spans="1:11">
      <c r="A6" s="304" t="s">
        <v>258</v>
      </c>
      <c r="B6" s="305"/>
      <c r="C6" s="306" t="s">
        <v>258</v>
      </c>
      <c r="D6" s="307"/>
      <c r="E6" s="306" t="s">
        <v>258</v>
      </c>
      <c r="F6" s="303"/>
      <c r="G6" s="306" t="s">
        <v>258</v>
      </c>
      <c r="H6" s="308"/>
      <c r="I6" s="306" t="s">
        <v>258</v>
      </c>
      <c r="J6" s="173"/>
      <c r="K6" s="309" t="s">
        <v>78</v>
      </c>
    </row>
    <row r="7" spans="1:11">
      <c r="A7" s="310" t="s">
        <v>21</v>
      </c>
      <c r="B7" s="311"/>
      <c r="C7" s="312" t="s">
        <v>21</v>
      </c>
      <c r="D7" s="311"/>
      <c r="E7" s="312" t="s">
        <v>21</v>
      </c>
      <c r="F7" s="311"/>
      <c r="G7" s="312" t="s">
        <v>21</v>
      </c>
      <c r="H7" s="311"/>
      <c r="I7" s="312" t="s">
        <v>21</v>
      </c>
      <c r="J7" s="311"/>
      <c r="K7" s="313">
        <f>SUM(B7+D7+F7+H7+J7)</f>
        <v>0</v>
      </c>
    </row>
    <row r="8" spans="1:11">
      <c r="A8" s="314" t="s">
        <v>230</v>
      </c>
      <c r="B8" s="315"/>
      <c r="C8" s="314" t="s">
        <v>230</v>
      </c>
      <c r="D8" s="316"/>
      <c r="E8" s="314" t="s">
        <v>230</v>
      </c>
      <c r="F8" s="300"/>
      <c r="G8" s="314" t="s">
        <v>230</v>
      </c>
      <c r="H8" s="173"/>
      <c r="I8" s="314" t="s">
        <v>230</v>
      </c>
      <c r="J8" s="173"/>
      <c r="K8" s="300"/>
    </row>
    <row r="9" spans="1:11">
      <c r="A9" s="317"/>
      <c r="B9" s="311"/>
      <c r="C9" s="317"/>
      <c r="D9" s="311"/>
      <c r="E9" s="317"/>
      <c r="F9" s="311"/>
      <c r="G9" s="317"/>
      <c r="H9" s="311"/>
      <c r="I9" s="317"/>
      <c r="J9" s="311"/>
      <c r="K9" s="300"/>
    </row>
    <row r="10" spans="1:11">
      <c r="A10" s="317"/>
      <c r="B10" s="311"/>
      <c r="C10" s="317"/>
      <c r="D10" s="311"/>
      <c r="E10" s="317"/>
      <c r="F10" s="311"/>
      <c r="G10" s="317"/>
      <c r="H10" s="311"/>
      <c r="I10" s="317"/>
      <c r="J10" s="311"/>
      <c r="K10" s="300"/>
    </row>
    <row r="11" spans="1:11">
      <c r="A11" s="317"/>
      <c r="B11" s="311"/>
      <c r="C11" s="318"/>
      <c r="D11" s="311"/>
      <c r="E11" s="318"/>
      <c r="F11" s="311"/>
      <c r="G11" s="318"/>
      <c r="H11" s="311"/>
      <c r="I11" s="319"/>
      <c r="J11" s="311"/>
      <c r="K11" s="300"/>
    </row>
    <row r="12" spans="1:11">
      <c r="A12" s="317"/>
      <c r="B12" s="311"/>
      <c r="C12" s="317"/>
      <c r="D12" s="311"/>
      <c r="E12" s="320"/>
      <c r="F12" s="311"/>
      <c r="G12" s="320"/>
      <c r="H12" s="311"/>
      <c r="I12" s="320"/>
      <c r="J12" s="311"/>
      <c r="K12" s="300"/>
    </row>
    <row r="13" spans="1:11">
      <c r="A13" s="321"/>
      <c r="B13" s="311"/>
      <c r="C13" s="322"/>
      <c r="D13" s="311"/>
      <c r="E13" s="322"/>
      <c r="F13" s="311"/>
      <c r="G13" s="322"/>
      <c r="H13" s="311"/>
      <c r="I13" s="319"/>
      <c r="J13" s="311"/>
      <c r="K13" s="300"/>
    </row>
    <row r="14" spans="1:11">
      <c r="A14" s="317"/>
      <c r="B14" s="311"/>
      <c r="C14" s="320"/>
      <c r="D14" s="311"/>
      <c r="E14" s="320"/>
      <c r="F14" s="311"/>
      <c r="G14" s="320"/>
      <c r="H14" s="311"/>
      <c r="I14" s="320"/>
      <c r="J14" s="311"/>
      <c r="K14" s="300"/>
    </row>
    <row r="15" spans="1:11">
      <c r="A15" s="317"/>
      <c r="B15" s="311"/>
      <c r="C15" s="320"/>
      <c r="D15" s="311"/>
      <c r="E15" s="320"/>
      <c r="F15" s="311"/>
      <c r="G15" s="320"/>
      <c r="H15" s="311"/>
      <c r="I15" s="320"/>
      <c r="J15" s="311"/>
      <c r="K15" s="300"/>
    </row>
    <row r="16" spans="1:11">
      <c r="A16" s="317"/>
      <c r="B16" s="311"/>
      <c r="C16" s="317"/>
      <c r="D16" s="311"/>
      <c r="E16" s="317"/>
      <c r="F16" s="311"/>
      <c r="G16" s="320"/>
      <c r="H16" s="311"/>
      <c r="I16" s="317"/>
      <c r="J16" s="311"/>
      <c r="K16" s="300"/>
    </row>
    <row r="17" spans="1:12">
      <c r="A17" s="314" t="s">
        <v>115</v>
      </c>
      <c r="B17" s="313">
        <f>SUM(B9:B16)</f>
        <v>0</v>
      </c>
      <c r="C17" s="314" t="s">
        <v>115</v>
      </c>
      <c r="D17" s="313">
        <f>SUM(D9:D16)</f>
        <v>0</v>
      </c>
      <c r="E17" s="314" t="s">
        <v>115</v>
      </c>
      <c r="F17" s="379">
        <f>SUM(F9:F16)</f>
        <v>0</v>
      </c>
      <c r="G17" s="314" t="s">
        <v>115</v>
      </c>
      <c r="H17" s="313">
        <f>SUM(H9:H16)</f>
        <v>0</v>
      </c>
      <c r="I17" s="314" t="s">
        <v>115</v>
      </c>
      <c r="J17" s="313">
        <f>SUM(J9:J16)</f>
        <v>0</v>
      </c>
      <c r="K17" s="313">
        <f>SUM(B17+D17+F17+H17+J17)</f>
        <v>0</v>
      </c>
    </row>
    <row r="18" spans="1:12">
      <c r="A18" s="314" t="s">
        <v>116</v>
      </c>
      <c r="B18" s="313">
        <f>SUM(B7+B17)</f>
        <v>0</v>
      </c>
      <c r="C18" s="314" t="s">
        <v>116</v>
      </c>
      <c r="D18" s="313">
        <f>SUM(D7+D17)</f>
        <v>0</v>
      </c>
      <c r="E18" s="314" t="s">
        <v>116</v>
      </c>
      <c r="F18" s="313">
        <f>SUM(F7+F17)</f>
        <v>0</v>
      </c>
      <c r="G18" s="314" t="s">
        <v>116</v>
      </c>
      <c r="H18" s="313">
        <f>SUM(H7+H17)</f>
        <v>0</v>
      </c>
      <c r="I18" s="314" t="s">
        <v>116</v>
      </c>
      <c r="J18" s="313">
        <f>SUM(J7+J17)</f>
        <v>0</v>
      </c>
      <c r="K18" s="313">
        <f>SUM(B18+D18+F18+H18+J18)</f>
        <v>0</v>
      </c>
    </row>
    <row r="19" spans="1:12">
      <c r="A19" s="314" t="s">
        <v>118</v>
      </c>
      <c r="B19" s="315"/>
      <c r="C19" s="314" t="s">
        <v>118</v>
      </c>
      <c r="D19" s="316"/>
      <c r="E19" s="314" t="s">
        <v>118</v>
      </c>
      <c r="F19" s="300"/>
      <c r="G19" s="314" t="s">
        <v>118</v>
      </c>
      <c r="H19" s="173"/>
      <c r="I19" s="314" t="s">
        <v>118</v>
      </c>
      <c r="J19" s="173"/>
      <c r="K19" s="300"/>
    </row>
    <row r="20" spans="1:12">
      <c r="A20" s="317"/>
      <c r="B20" s="311"/>
      <c r="C20" s="320"/>
      <c r="D20" s="311"/>
      <c r="E20" s="320"/>
      <c r="F20" s="311"/>
      <c r="G20" s="320"/>
      <c r="H20" s="311"/>
      <c r="I20" s="320"/>
      <c r="J20" s="311"/>
      <c r="K20" s="300"/>
    </row>
    <row r="21" spans="1:12">
      <c r="A21" s="317"/>
      <c r="B21" s="311"/>
      <c r="C21" s="320"/>
      <c r="D21" s="311"/>
      <c r="E21" s="320"/>
      <c r="F21" s="311"/>
      <c r="G21" s="320"/>
      <c r="H21" s="311"/>
      <c r="I21" s="320"/>
      <c r="J21" s="311"/>
      <c r="K21" s="300"/>
    </row>
    <row r="22" spans="1:12">
      <c r="A22" s="317"/>
      <c r="B22" s="311"/>
      <c r="C22" s="322"/>
      <c r="D22" s="311"/>
      <c r="E22" s="322"/>
      <c r="F22" s="311"/>
      <c r="G22" s="322"/>
      <c r="H22" s="311"/>
      <c r="I22" s="319"/>
      <c r="J22" s="311"/>
      <c r="K22" s="300"/>
    </row>
    <row r="23" spans="1:12">
      <c r="A23" s="317"/>
      <c r="B23" s="311"/>
      <c r="C23" s="320"/>
      <c r="D23" s="311"/>
      <c r="E23" s="320"/>
      <c r="F23" s="311"/>
      <c r="G23" s="320"/>
      <c r="H23" s="311"/>
      <c r="I23" s="320"/>
      <c r="J23" s="311"/>
      <c r="K23" s="300"/>
    </row>
    <row r="24" spans="1:12">
      <c r="A24" s="317"/>
      <c r="B24" s="311"/>
      <c r="C24" s="322"/>
      <c r="D24" s="311"/>
      <c r="E24" s="322"/>
      <c r="F24" s="311"/>
      <c r="G24" s="322"/>
      <c r="H24" s="311"/>
      <c r="I24" s="319"/>
      <c r="J24" s="311"/>
      <c r="K24" s="300"/>
    </row>
    <row r="25" spans="1:12">
      <c r="A25" s="317"/>
      <c r="B25" s="311"/>
      <c r="C25" s="320"/>
      <c r="D25" s="311"/>
      <c r="E25" s="320"/>
      <c r="F25" s="311"/>
      <c r="G25" s="320"/>
      <c r="H25" s="311"/>
      <c r="I25" s="320"/>
      <c r="J25" s="311"/>
      <c r="K25" s="300"/>
    </row>
    <row r="26" spans="1:12">
      <c r="A26" s="317"/>
      <c r="B26" s="311"/>
      <c r="C26" s="320"/>
      <c r="D26" s="311"/>
      <c r="E26" s="320"/>
      <c r="F26" s="311"/>
      <c r="G26" s="320"/>
      <c r="H26" s="311"/>
      <c r="I26" s="320"/>
      <c r="J26" s="311"/>
      <c r="K26" s="300"/>
    </row>
    <row r="27" spans="1:12">
      <c r="A27" s="317"/>
      <c r="B27" s="311"/>
      <c r="C27" s="317"/>
      <c r="D27" s="311"/>
      <c r="E27" s="317"/>
      <c r="F27" s="311"/>
      <c r="G27" s="320"/>
      <c r="H27" s="311"/>
      <c r="I27" s="320"/>
      <c r="J27" s="311"/>
      <c r="K27" s="300"/>
    </row>
    <row r="28" spans="1:12">
      <c r="A28" s="314" t="s">
        <v>122</v>
      </c>
      <c r="B28" s="313">
        <f>SUM(B20:B27)</f>
        <v>0</v>
      </c>
      <c r="C28" s="314" t="s">
        <v>122</v>
      </c>
      <c r="D28" s="313">
        <f>SUM(D20:D27)</f>
        <v>0</v>
      </c>
      <c r="E28" s="314" t="s">
        <v>122</v>
      </c>
      <c r="F28" s="379">
        <f>SUM(F20:F27)</f>
        <v>0</v>
      </c>
      <c r="G28" s="314" t="s">
        <v>122</v>
      </c>
      <c r="H28" s="379">
        <f>SUM(H20:H27)</f>
        <v>0</v>
      </c>
      <c r="I28" s="314" t="s">
        <v>122</v>
      </c>
      <c r="J28" s="313">
        <f>SUM(J20:J27)</f>
        <v>0</v>
      </c>
      <c r="K28" s="313">
        <f>SUM(B28+D28+F28+H28+J28)</f>
        <v>0</v>
      </c>
    </row>
    <row r="29" spans="1:12">
      <c r="A29" s="314" t="s">
        <v>259</v>
      </c>
      <c r="B29" s="313">
        <f>SUM(B18-B28)</f>
        <v>0</v>
      </c>
      <c r="C29" s="314" t="s">
        <v>259</v>
      </c>
      <c r="D29" s="313">
        <f>SUM(D18-D28)</f>
        <v>0</v>
      </c>
      <c r="E29" s="314" t="s">
        <v>259</v>
      </c>
      <c r="F29" s="313">
        <f>SUM(F18-F28)</f>
        <v>0</v>
      </c>
      <c r="G29" s="314" t="s">
        <v>259</v>
      </c>
      <c r="H29" s="313">
        <f>SUM(H18-H28)</f>
        <v>0</v>
      </c>
      <c r="I29" s="314" t="s">
        <v>259</v>
      </c>
      <c r="J29" s="313">
        <f>SUM(J18-J28)</f>
        <v>0</v>
      </c>
      <c r="K29" s="323">
        <f>SUM(B29+D29+F29+H29+J29)</f>
        <v>0</v>
      </c>
      <c r="L29" s="32" t="s">
        <v>337</v>
      </c>
    </row>
    <row r="30" spans="1:12">
      <c r="A30" s="314"/>
      <c r="B30" s="347" t="str">
        <f>IF(B29&lt;0,"See Tab B","")</f>
        <v/>
      </c>
      <c r="C30" s="314"/>
      <c r="D30" s="347" t="str">
        <f>IF(D29&lt;0,"See Tab B","")</f>
        <v/>
      </c>
      <c r="E30" s="314"/>
      <c r="F30" s="347" t="str">
        <f>IF(F29&lt;0,"See Tab B","")</f>
        <v/>
      </c>
      <c r="G30" s="173"/>
      <c r="H30" s="347" t="str">
        <f>IF(H29&lt;0,"See Tab B","")</f>
        <v/>
      </c>
      <c r="I30" s="173"/>
      <c r="J30" s="347" t="str">
        <f>IF(J29&lt;0,"See Tab B","")</f>
        <v/>
      </c>
      <c r="K30" s="323">
        <f>SUM(K7+K17-K28)</f>
        <v>0</v>
      </c>
      <c r="L30" s="32" t="s">
        <v>337</v>
      </c>
    </row>
    <row r="31" spans="1:12">
      <c r="A31" s="173"/>
      <c r="B31" s="178"/>
      <c r="C31" s="173"/>
      <c r="D31" s="300"/>
      <c r="E31" s="173"/>
      <c r="F31" s="173"/>
      <c r="G31" s="43" t="s">
        <v>339</v>
      </c>
      <c r="H31" s="43"/>
      <c r="I31" s="43"/>
      <c r="J31" s="43"/>
      <c r="K31" s="173"/>
    </row>
    <row r="32" spans="1:12">
      <c r="A32" s="173"/>
      <c r="B32" s="178"/>
      <c r="C32" s="173"/>
      <c r="D32" s="173"/>
      <c r="E32" s="173"/>
      <c r="F32" s="173"/>
      <c r="G32" s="173"/>
      <c r="H32" s="173"/>
      <c r="I32" s="173"/>
      <c r="J32" s="173"/>
      <c r="K32" s="173"/>
    </row>
    <row r="33" spans="1:11">
      <c r="A33" s="173"/>
      <c r="B33" s="178"/>
      <c r="C33" s="173"/>
      <c r="D33" s="173"/>
      <c r="E33" s="187" t="s">
        <v>125</v>
      </c>
      <c r="F33" s="282"/>
      <c r="G33" s="173"/>
      <c r="H33" s="173"/>
      <c r="I33" s="173"/>
      <c r="J33" s="173"/>
      <c r="K33" s="173"/>
    </row>
    <row r="34" spans="1:11">
      <c r="B34" s="324"/>
    </row>
    <row r="35" spans="1:11">
      <c r="B35" s="324"/>
    </row>
    <row r="36" spans="1:11">
      <c r="B36" s="324"/>
    </row>
    <row r="37" spans="1:11">
      <c r="B37" s="324"/>
    </row>
    <row r="38" spans="1:11">
      <c r="B38" s="324"/>
    </row>
    <row r="39" spans="1:11">
      <c r="B39" s="324"/>
    </row>
    <row r="40" spans="1:11">
      <c r="B40" s="324"/>
    </row>
    <row r="41" spans="1:11">
      <c r="B41" s="324"/>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5.xml><?xml version="1.0" encoding="utf-8"?>
<worksheet xmlns="http://schemas.openxmlformats.org/spreadsheetml/2006/main" xmlns:r="http://schemas.openxmlformats.org/officeDocument/2006/relationships">
  <sheetPr>
    <pageSetUpPr fitToPage="1"/>
  </sheetPr>
  <dimension ref="A1:L41"/>
  <sheetViews>
    <sheetView workbookViewId="0">
      <selection activeCell="F27" sqref="F2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4" t="str">
        <f>inputPrYr!$D$2</f>
        <v>City of Garnett</v>
      </c>
      <c r="B1" s="300"/>
      <c r="C1" s="173"/>
      <c r="D1" s="173"/>
      <c r="E1" s="173"/>
      <c r="F1" s="175" t="s">
        <v>261</v>
      </c>
      <c r="G1" s="173"/>
      <c r="H1" s="173"/>
      <c r="I1" s="173"/>
      <c r="J1" s="173"/>
      <c r="K1" s="173">
        <f>inputPrYr!$C$5</f>
        <v>2014</v>
      </c>
    </row>
    <row r="2" spans="1:11">
      <c r="A2" s="173"/>
      <c r="B2" s="173"/>
      <c r="C2" s="173"/>
      <c r="D2" s="173"/>
      <c r="E2" s="173"/>
      <c r="F2" s="301" t="str">
        <f>CONCATENATE("(Only the actual budget year for ",K1-2," is to be shown)")</f>
        <v>(Only the actual budget year for 2012 is to be shown)</v>
      </c>
      <c r="G2" s="173"/>
      <c r="H2" s="173"/>
      <c r="I2" s="173"/>
      <c r="J2" s="173"/>
      <c r="K2" s="173"/>
    </row>
    <row r="3" spans="1:11">
      <c r="A3" s="173" t="s">
        <v>297</v>
      </c>
      <c r="B3" s="173"/>
      <c r="C3" s="173"/>
      <c r="D3" s="173"/>
      <c r="E3" s="173"/>
      <c r="F3" s="300"/>
      <c r="G3" s="173"/>
      <c r="H3" s="173"/>
      <c r="I3" s="173"/>
      <c r="J3" s="173"/>
      <c r="K3" s="173"/>
    </row>
    <row r="4" spans="1:11">
      <c r="A4" s="173" t="s">
        <v>253</v>
      </c>
      <c r="B4" s="173"/>
      <c r="C4" s="173" t="s">
        <v>254</v>
      </c>
      <c r="D4" s="173"/>
      <c r="E4" s="173" t="s">
        <v>255</v>
      </c>
      <c r="F4" s="300"/>
      <c r="G4" s="173" t="s">
        <v>256</v>
      </c>
      <c r="H4" s="173"/>
      <c r="I4" s="173" t="s">
        <v>257</v>
      </c>
      <c r="J4" s="173"/>
      <c r="K4" s="173"/>
    </row>
    <row r="5" spans="1:11">
      <c r="A5" s="822" t="str">
        <f>IF(inputPrYr!B69&gt;" ",(inputPrYr!B69)," ")</f>
        <v xml:space="preserve"> </v>
      </c>
      <c r="B5" s="823"/>
      <c r="C5" s="822" t="str">
        <f>IF(inputPrYr!B70&gt;" ",(inputPrYr!B70)," ")</f>
        <v xml:space="preserve"> </v>
      </c>
      <c r="D5" s="823"/>
      <c r="E5" s="822" t="str">
        <f>IF(inputPrYr!B71&gt;" ",(inputPrYr!B71)," ")</f>
        <v xml:space="preserve"> </v>
      </c>
      <c r="F5" s="823"/>
      <c r="G5" s="822" t="str">
        <f>IF(inputPrYr!B72&gt;" ",(inputPrYr!B72)," ")</f>
        <v xml:space="preserve"> </v>
      </c>
      <c r="H5" s="823"/>
      <c r="I5" s="822" t="str">
        <f>IF(inputPrYr!B73&gt;" ",(inputPrYr!B73)," ")</f>
        <v xml:space="preserve"> </v>
      </c>
      <c r="J5" s="823"/>
      <c r="K5" s="124"/>
    </row>
    <row r="6" spans="1:11">
      <c r="A6" s="304" t="s">
        <v>258</v>
      </c>
      <c r="B6" s="305"/>
      <c r="C6" s="306" t="s">
        <v>258</v>
      </c>
      <c r="D6" s="307"/>
      <c r="E6" s="306" t="s">
        <v>258</v>
      </c>
      <c r="F6" s="303"/>
      <c r="G6" s="306" t="s">
        <v>258</v>
      </c>
      <c r="H6" s="308"/>
      <c r="I6" s="306" t="s">
        <v>258</v>
      </c>
      <c r="J6" s="173"/>
      <c r="K6" s="309" t="s">
        <v>78</v>
      </c>
    </row>
    <row r="7" spans="1:11">
      <c r="A7" s="310" t="s">
        <v>21</v>
      </c>
      <c r="B7" s="311"/>
      <c r="C7" s="312" t="s">
        <v>21</v>
      </c>
      <c r="D7" s="311"/>
      <c r="E7" s="312" t="s">
        <v>21</v>
      </c>
      <c r="F7" s="311"/>
      <c r="G7" s="312" t="s">
        <v>21</v>
      </c>
      <c r="H7" s="311"/>
      <c r="I7" s="312" t="s">
        <v>21</v>
      </c>
      <c r="J7" s="311"/>
      <c r="K7" s="313">
        <f>SUM(B7+D7+F7+H7+J7)</f>
        <v>0</v>
      </c>
    </row>
    <row r="8" spans="1:11">
      <c r="A8" s="314" t="s">
        <v>230</v>
      </c>
      <c r="B8" s="315"/>
      <c r="C8" s="314" t="s">
        <v>230</v>
      </c>
      <c r="D8" s="316"/>
      <c r="E8" s="314" t="s">
        <v>230</v>
      </c>
      <c r="F8" s="300"/>
      <c r="G8" s="314" t="s">
        <v>230</v>
      </c>
      <c r="H8" s="173"/>
      <c r="I8" s="314" t="s">
        <v>230</v>
      </c>
      <c r="J8" s="173"/>
      <c r="K8" s="300"/>
    </row>
    <row r="9" spans="1:11">
      <c r="A9" s="317"/>
      <c r="B9" s="311"/>
      <c r="C9" s="317"/>
      <c r="D9" s="311"/>
      <c r="E9" s="317"/>
      <c r="F9" s="311"/>
      <c r="G9" s="317"/>
      <c r="H9" s="311"/>
      <c r="I9" s="317"/>
      <c r="J9" s="311"/>
      <c r="K9" s="300"/>
    </row>
    <row r="10" spans="1:11">
      <c r="A10" s="317"/>
      <c r="B10" s="311"/>
      <c r="C10" s="317"/>
      <c r="D10" s="311"/>
      <c r="E10" s="317"/>
      <c r="F10" s="311"/>
      <c r="G10" s="317"/>
      <c r="H10" s="311"/>
      <c r="I10" s="317"/>
      <c r="J10" s="311"/>
      <c r="K10" s="300"/>
    </row>
    <row r="11" spans="1:11">
      <c r="A11" s="317"/>
      <c r="B11" s="311"/>
      <c r="C11" s="318"/>
      <c r="D11" s="311"/>
      <c r="E11" s="318"/>
      <c r="F11" s="311"/>
      <c r="G11" s="318"/>
      <c r="H11" s="311"/>
      <c r="I11" s="319"/>
      <c r="J11" s="311"/>
      <c r="K11" s="300"/>
    </row>
    <row r="12" spans="1:11">
      <c r="A12" s="317"/>
      <c r="B12" s="311"/>
      <c r="C12" s="317"/>
      <c r="D12" s="311"/>
      <c r="E12" s="320"/>
      <c r="F12" s="311"/>
      <c r="G12" s="320"/>
      <c r="H12" s="311"/>
      <c r="I12" s="320"/>
      <c r="J12" s="311"/>
      <c r="K12" s="300"/>
    </row>
    <row r="13" spans="1:11">
      <c r="A13" s="321"/>
      <c r="B13" s="311"/>
      <c r="C13" s="322"/>
      <c r="D13" s="311"/>
      <c r="E13" s="322"/>
      <c r="F13" s="311"/>
      <c r="G13" s="322"/>
      <c r="H13" s="311"/>
      <c r="I13" s="319"/>
      <c r="J13" s="311"/>
      <c r="K13" s="300"/>
    </row>
    <row r="14" spans="1:11">
      <c r="A14" s="317"/>
      <c r="B14" s="311"/>
      <c r="C14" s="320"/>
      <c r="D14" s="311"/>
      <c r="E14" s="320"/>
      <c r="F14" s="311"/>
      <c r="G14" s="320"/>
      <c r="H14" s="311"/>
      <c r="I14" s="320"/>
      <c r="J14" s="311"/>
      <c r="K14" s="300"/>
    </row>
    <row r="15" spans="1:11">
      <c r="A15" s="317"/>
      <c r="B15" s="311"/>
      <c r="C15" s="320"/>
      <c r="D15" s="311"/>
      <c r="E15" s="320"/>
      <c r="F15" s="311"/>
      <c r="G15" s="320"/>
      <c r="H15" s="311"/>
      <c r="I15" s="320"/>
      <c r="J15" s="311"/>
      <c r="K15" s="300"/>
    </row>
    <row r="16" spans="1:11">
      <c r="A16" s="317"/>
      <c r="B16" s="311"/>
      <c r="C16" s="317"/>
      <c r="D16" s="311"/>
      <c r="E16" s="317"/>
      <c r="F16" s="311"/>
      <c r="G16" s="320"/>
      <c r="H16" s="311"/>
      <c r="I16" s="317"/>
      <c r="J16" s="311"/>
      <c r="K16" s="300"/>
    </row>
    <row r="17" spans="1:12">
      <c r="A17" s="314" t="s">
        <v>115</v>
      </c>
      <c r="B17" s="313">
        <f>SUM(B9:B16)</f>
        <v>0</v>
      </c>
      <c r="C17" s="314" t="s">
        <v>115</v>
      </c>
      <c r="D17" s="313">
        <f>SUM(D9:D16)</f>
        <v>0</v>
      </c>
      <c r="E17" s="314" t="s">
        <v>115</v>
      </c>
      <c r="F17" s="379">
        <f>SUM(F9:F16)</f>
        <v>0</v>
      </c>
      <c r="G17" s="314" t="s">
        <v>115</v>
      </c>
      <c r="H17" s="313">
        <f>SUM(H9:H16)</f>
        <v>0</v>
      </c>
      <c r="I17" s="314" t="s">
        <v>115</v>
      </c>
      <c r="J17" s="313">
        <f>SUM(J9:J16)</f>
        <v>0</v>
      </c>
      <c r="K17" s="313">
        <f>SUM(B17+D17+F17+H17+J17)</f>
        <v>0</v>
      </c>
    </row>
    <row r="18" spans="1:12">
      <c r="A18" s="314" t="s">
        <v>116</v>
      </c>
      <c r="B18" s="313">
        <f>SUM(B7+B17)</f>
        <v>0</v>
      </c>
      <c r="C18" s="314" t="s">
        <v>116</v>
      </c>
      <c r="D18" s="313">
        <f>SUM(D7+D17)</f>
        <v>0</v>
      </c>
      <c r="E18" s="314" t="s">
        <v>116</v>
      </c>
      <c r="F18" s="313">
        <f>SUM(F7+F17)</f>
        <v>0</v>
      </c>
      <c r="G18" s="314" t="s">
        <v>116</v>
      </c>
      <c r="H18" s="313">
        <f>SUM(H7+H17)</f>
        <v>0</v>
      </c>
      <c r="I18" s="314" t="s">
        <v>116</v>
      </c>
      <c r="J18" s="313">
        <f>SUM(J7+J17)</f>
        <v>0</v>
      </c>
      <c r="K18" s="313">
        <f>SUM(B18+D18+F18+H18+J18)</f>
        <v>0</v>
      </c>
    </row>
    <row r="19" spans="1:12">
      <c r="A19" s="314" t="s">
        <v>118</v>
      </c>
      <c r="B19" s="315"/>
      <c r="C19" s="314" t="s">
        <v>118</v>
      </c>
      <c r="D19" s="316"/>
      <c r="E19" s="314" t="s">
        <v>118</v>
      </c>
      <c r="F19" s="300"/>
      <c r="G19" s="314" t="s">
        <v>118</v>
      </c>
      <c r="H19" s="173"/>
      <c r="I19" s="314" t="s">
        <v>118</v>
      </c>
      <c r="J19" s="173"/>
      <c r="K19" s="300"/>
    </row>
    <row r="20" spans="1:12">
      <c r="A20" s="317"/>
      <c r="B20" s="311"/>
      <c r="C20" s="320"/>
      <c r="D20" s="311"/>
      <c r="E20" s="320"/>
      <c r="F20" s="311"/>
      <c r="G20" s="320"/>
      <c r="H20" s="311"/>
      <c r="I20" s="320"/>
      <c r="J20" s="311"/>
      <c r="K20" s="300"/>
    </row>
    <row r="21" spans="1:12">
      <c r="A21" s="317"/>
      <c r="B21" s="311"/>
      <c r="C21" s="320"/>
      <c r="D21" s="311"/>
      <c r="E21" s="320"/>
      <c r="F21" s="311"/>
      <c r="G21" s="320"/>
      <c r="H21" s="311"/>
      <c r="I21" s="320"/>
      <c r="J21" s="311"/>
      <c r="K21" s="300"/>
    </row>
    <row r="22" spans="1:12">
      <c r="A22" s="317"/>
      <c r="B22" s="311"/>
      <c r="C22" s="322"/>
      <c r="D22" s="311"/>
      <c r="E22" s="322"/>
      <c r="F22" s="311"/>
      <c r="G22" s="322"/>
      <c r="H22" s="311"/>
      <c r="I22" s="319"/>
      <c r="J22" s="311"/>
      <c r="K22" s="300"/>
    </row>
    <row r="23" spans="1:12">
      <c r="A23" s="317"/>
      <c r="B23" s="311"/>
      <c r="C23" s="320"/>
      <c r="D23" s="311"/>
      <c r="E23" s="320"/>
      <c r="F23" s="311"/>
      <c r="G23" s="320"/>
      <c r="H23" s="311"/>
      <c r="I23" s="320"/>
      <c r="J23" s="311"/>
      <c r="K23" s="300"/>
    </row>
    <row r="24" spans="1:12">
      <c r="A24" s="317"/>
      <c r="B24" s="311"/>
      <c r="C24" s="322"/>
      <c r="D24" s="311"/>
      <c r="E24" s="322"/>
      <c r="F24" s="311"/>
      <c r="G24" s="322"/>
      <c r="H24" s="311"/>
      <c r="I24" s="319"/>
      <c r="J24" s="311"/>
      <c r="K24" s="300"/>
    </row>
    <row r="25" spans="1:12">
      <c r="A25" s="317"/>
      <c r="B25" s="311"/>
      <c r="C25" s="320"/>
      <c r="D25" s="311"/>
      <c r="E25" s="320"/>
      <c r="F25" s="311"/>
      <c r="G25" s="320"/>
      <c r="H25" s="311"/>
      <c r="I25" s="320"/>
      <c r="J25" s="311"/>
      <c r="K25" s="300"/>
    </row>
    <row r="26" spans="1:12">
      <c r="A26" s="317"/>
      <c r="B26" s="311"/>
      <c r="C26" s="320"/>
      <c r="D26" s="311"/>
      <c r="E26" s="320"/>
      <c r="F26" s="311"/>
      <c r="G26" s="320"/>
      <c r="H26" s="311"/>
      <c r="I26" s="320"/>
      <c r="J26" s="311"/>
      <c r="K26" s="300"/>
    </row>
    <row r="27" spans="1:12">
      <c r="A27" s="317"/>
      <c r="B27" s="311"/>
      <c r="C27" s="317"/>
      <c r="D27" s="311"/>
      <c r="E27" s="317"/>
      <c r="F27" s="311"/>
      <c r="G27" s="320"/>
      <c r="H27" s="311"/>
      <c r="I27" s="320"/>
      <c r="J27" s="311"/>
      <c r="K27" s="300"/>
    </row>
    <row r="28" spans="1:12">
      <c r="A28" s="314" t="s">
        <v>122</v>
      </c>
      <c r="B28" s="313">
        <f>SUM(B20:B27)</f>
        <v>0</v>
      </c>
      <c r="C28" s="314" t="s">
        <v>122</v>
      </c>
      <c r="D28" s="313">
        <f>SUM(D20:D27)</f>
        <v>0</v>
      </c>
      <c r="E28" s="314" t="s">
        <v>122</v>
      </c>
      <c r="F28" s="379">
        <f>SUM(F20:F27)</f>
        <v>0</v>
      </c>
      <c r="G28" s="314" t="s">
        <v>122</v>
      </c>
      <c r="H28" s="379">
        <f>SUM(H20:H27)</f>
        <v>0</v>
      </c>
      <c r="I28" s="314" t="s">
        <v>122</v>
      </c>
      <c r="J28" s="313">
        <f>SUM(J20:J27)</f>
        <v>0</v>
      </c>
      <c r="K28" s="313">
        <f>SUM(B28+D28+F28+H28+J28)</f>
        <v>0</v>
      </c>
    </row>
    <row r="29" spans="1:12">
      <c r="A29" s="314" t="s">
        <v>259</v>
      </c>
      <c r="B29" s="313">
        <f>SUM(B18-B28)</f>
        <v>0</v>
      </c>
      <c r="C29" s="314" t="s">
        <v>259</v>
      </c>
      <c r="D29" s="313">
        <f>SUM(D18-D28)</f>
        <v>0</v>
      </c>
      <c r="E29" s="314" t="s">
        <v>259</v>
      </c>
      <c r="F29" s="313">
        <f>SUM(F18-F28)</f>
        <v>0</v>
      </c>
      <c r="G29" s="314" t="s">
        <v>259</v>
      </c>
      <c r="H29" s="313">
        <f>SUM(H18-H28)</f>
        <v>0</v>
      </c>
      <c r="I29" s="314" t="s">
        <v>259</v>
      </c>
      <c r="J29" s="313">
        <f>SUM(J18-J28)</f>
        <v>0</v>
      </c>
      <c r="K29" s="323">
        <f>SUM(B29+D29+F29+H29+J29)</f>
        <v>0</v>
      </c>
      <c r="L29" s="32" t="s">
        <v>337</v>
      </c>
    </row>
    <row r="30" spans="1:12">
      <c r="A30" s="314"/>
      <c r="B30" s="347" t="str">
        <f>IF(B29&lt;0,"See Tab B","")</f>
        <v/>
      </c>
      <c r="C30" s="314"/>
      <c r="D30" s="347" t="str">
        <f>IF(D29&lt;0,"See Tab B","")</f>
        <v/>
      </c>
      <c r="E30" s="314"/>
      <c r="F30" s="347" t="str">
        <f>IF(F29&lt;0,"See Tab B","")</f>
        <v/>
      </c>
      <c r="G30" s="173"/>
      <c r="H30" s="347" t="str">
        <f>IF(H29&lt;0,"See Tab B","")</f>
        <v/>
      </c>
      <c r="I30" s="173"/>
      <c r="J30" s="347" t="str">
        <f>IF(J29&lt;0,"See Tab B","")</f>
        <v/>
      </c>
      <c r="K30" s="323">
        <f>SUM(K7+K17-K28)</f>
        <v>0</v>
      </c>
      <c r="L30" s="32" t="s">
        <v>337</v>
      </c>
    </row>
    <row r="31" spans="1:12">
      <c r="A31" s="173"/>
      <c r="B31" s="178"/>
      <c r="C31" s="173"/>
      <c r="D31" s="300"/>
      <c r="E31" s="173"/>
      <c r="F31" s="173"/>
      <c r="G31" s="43" t="s">
        <v>339</v>
      </c>
      <c r="H31" s="43"/>
      <c r="I31" s="43"/>
      <c r="J31" s="43"/>
      <c r="K31" s="173"/>
    </row>
    <row r="32" spans="1:12">
      <c r="A32" s="173"/>
      <c r="B32" s="178"/>
      <c r="C32" s="173"/>
      <c r="D32" s="173"/>
      <c r="E32" s="173"/>
      <c r="F32" s="173"/>
      <c r="G32" s="325"/>
      <c r="H32" s="173"/>
      <c r="I32" s="173"/>
      <c r="J32" s="173"/>
      <c r="K32" s="173"/>
    </row>
    <row r="33" spans="1:11">
      <c r="A33" s="173"/>
      <c r="B33" s="178"/>
      <c r="C33" s="173"/>
      <c r="D33" s="173"/>
      <c r="E33" s="187" t="s">
        <v>125</v>
      </c>
      <c r="F33" s="282"/>
      <c r="G33" s="173"/>
      <c r="H33" s="173"/>
      <c r="I33" s="173"/>
      <c r="J33" s="173"/>
      <c r="K33" s="173"/>
    </row>
    <row r="34" spans="1:11">
      <c r="B34" s="324"/>
    </row>
    <row r="35" spans="1:11">
      <c r="B35" s="324"/>
    </row>
    <row r="36" spans="1:11">
      <c r="B36" s="324"/>
    </row>
    <row r="37" spans="1:11">
      <c r="B37" s="324"/>
    </row>
    <row r="38" spans="1:11">
      <c r="B38" s="324"/>
    </row>
    <row r="39" spans="1:11">
      <c r="B39" s="324"/>
    </row>
    <row r="40" spans="1:11">
      <c r="B40" s="324"/>
    </row>
    <row r="41" spans="1:11">
      <c r="B41" s="324"/>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sheetPr>
    <pageSetUpPr fitToPage="1"/>
  </sheetPr>
  <dimension ref="A1:L41"/>
  <sheetViews>
    <sheetView workbookViewId="0">
      <selection activeCell="F27" sqref="F27"/>
    </sheetView>
  </sheetViews>
  <sheetFormatPr defaultRowHeight="15.75"/>
  <cols>
    <col min="1" max="1" width="11.5546875" style="32" customWidth="1"/>
    <col min="2" max="2" width="7.44140625" style="32" customWidth="1"/>
    <col min="3" max="3" width="11.5546875" style="32" customWidth="1"/>
    <col min="4" max="4" width="7.44140625" style="32" customWidth="1"/>
    <col min="5" max="5" width="11.5546875" style="32" customWidth="1"/>
    <col min="6" max="6" width="7.44140625" style="32" customWidth="1"/>
    <col min="7" max="7" width="11.5546875" style="32" customWidth="1"/>
    <col min="8" max="8" width="7.44140625" style="32" customWidth="1"/>
    <col min="9" max="9" width="11.5546875" style="32" customWidth="1"/>
    <col min="10" max="16384" width="8.88671875" style="32"/>
  </cols>
  <sheetData>
    <row r="1" spans="1:11">
      <c r="A1" s="174" t="str">
        <f>inputPrYr!$D$2</f>
        <v>City of Garnett</v>
      </c>
      <c r="B1" s="300"/>
      <c r="C1" s="173"/>
      <c r="D1" s="173"/>
      <c r="E1" s="173"/>
      <c r="F1" s="175" t="s">
        <v>262</v>
      </c>
      <c r="G1" s="173"/>
      <c r="H1" s="173"/>
      <c r="I1" s="173"/>
      <c r="J1" s="173"/>
      <c r="K1" s="173">
        <f>inputPrYr!$C$5</f>
        <v>2014</v>
      </c>
    </row>
    <row r="2" spans="1:11">
      <c r="A2" s="173"/>
      <c r="B2" s="173"/>
      <c r="C2" s="173"/>
      <c r="D2" s="173"/>
      <c r="E2" s="173"/>
      <c r="F2" s="301" t="str">
        <f>CONCATENATE("(Only the actual budget year for ",K1-2," is to be shown)")</f>
        <v>(Only the actual budget year for 2012 is to be shown)</v>
      </c>
      <c r="G2" s="173"/>
      <c r="H2" s="173"/>
      <c r="I2" s="173"/>
      <c r="J2" s="173"/>
      <c r="K2" s="173"/>
    </row>
    <row r="3" spans="1:11">
      <c r="A3" s="173" t="s">
        <v>298</v>
      </c>
      <c r="B3" s="173"/>
      <c r="C3" s="173"/>
      <c r="D3" s="173"/>
      <c r="E3" s="173"/>
      <c r="F3" s="300"/>
      <c r="G3" s="173"/>
      <c r="H3" s="173"/>
      <c r="I3" s="173"/>
      <c r="J3" s="173"/>
      <c r="K3" s="173"/>
    </row>
    <row r="4" spans="1:11">
      <c r="A4" s="173" t="s">
        <v>253</v>
      </c>
      <c r="B4" s="173"/>
      <c r="C4" s="173" t="s">
        <v>254</v>
      </c>
      <c r="D4" s="173"/>
      <c r="E4" s="173" t="s">
        <v>255</v>
      </c>
      <c r="F4" s="300"/>
      <c r="G4" s="173" t="s">
        <v>256</v>
      </c>
      <c r="H4" s="173"/>
      <c r="I4" s="173" t="s">
        <v>257</v>
      </c>
      <c r="J4" s="173"/>
      <c r="K4" s="173"/>
    </row>
    <row r="5" spans="1:11">
      <c r="A5" s="822" t="str">
        <f>IF(inputPrYr!B75&gt;" ",(inputPrYr!B75)," ")</f>
        <v xml:space="preserve"> </v>
      </c>
      <c r="B5" s="823"/>
      <c r="C5" s="822" t="str">
        <f>IF(inputPrYr!B76&gt;" ",(inputPrYr!B76)," ")</f>
        <v xml:space="preserve"> </v>
      </c>
      <c r="D5" s="823"/>
      <c r="E5" s="822" t="str">
        <f>IF(inputPrYr!B77&gt;" ",(inputPrYr!B77)," ")</f>
        <v xml:space="preserve"> </v>
      </c>
      <c r="F5" s="823"/>
      <c r="G5" s="822" t="str">
        <f>IF(inputPrYr!B78&gt;" ",(inputPrYr!B78)," ")</f>
        <v xml:space="preserve"> </v>
      </c>
      <c r="H5" s="823"/>
      <c r="I5" s="822" t="str">
        <f>IF(inputPrYr!B79&gt;" ",(inputPrYr!B79)," ")</f>
        <v xml:space="preserve"> </v>
      </c>
      <c r="J5" s="823"/>
      <c r="K5" s="124"/>
    </row>
    <row r="6" spans="1:11">
      <c r="A6" s="304" t="s">
        <v>258</v>
      </c>
      <c r="B6" s="305"/>
      <c r="C6" s="306" t="s">
        <v>258</v>
      </c>
      <c r="D6" s="307"/>
      <c r="E6" s="306" t="s">
        <v>258</v>
      </c>
      <c r="F6" s="303"/>
      <c r="G6" s="306" t="s">
        <v>258</v>
      </c>
      <c r="H6" s="308"/>
      <c r="I6" s="306" t="s">
        <v>258</v>
      </c>
      <c r="J6" s="173"/>
      <c r="K6" s="309" t="s">
        <v>78</v>
      </c>
    </row>
    <row r="7" spans="1:11">
      <c r="A7" s="310" t="s">
        <v>21</v>
      </c>
      <c r="B7" s="311"/>
      <c r="C7" s="312" t="s">
        <v>21</v>
      </c>
      <c r="D7" s="311"/>
      <c r="E7" s="312" t="s">
        <v>21</v>
      </c>
      <c r="F7" s="311"/>
      <c r="G7" s="312" t="s">
        <v>21</v>
      </c>
      <c r="H7" s="311"/>
      <c r="I7" s="312" t="s">
        <v>21</v>
      </c>
      <c r="J7" s="311"/>
      <c r="K7" s="313">
        <f>SUM(B7+D7+F7+H7+J7)</f>
        <v>0</v>
      </c>
    </row>
    <row r="8" spans="1:11">
      <c r="A8" s="314" t="s">
        <v>230</v>
      </c>
      <c r="B8" s="315"/>
      <c r="C8" s="314" t="s">
        <v>230</v>
      </c>
      <c r="D8" s="316"/>
      <c r="E8" s="314" t="s">
        <v>230</v>
      </c>
      <c r="F8" s="300"/>
      <c r="G8" s="314" t="s">
        <v>230</v>
      </c>
      <c r="H8" s="173"/>
      <c r="I8" s="314" t="s">
        <v>230</v>
      </c>
      <c r="J8" s="173"/>
      <c r="K8" s="300"/>
    </row>
    <row r="9" spans="1:11">
      <c r="A9" s="317"/>
      <c r="B9" s="311"/>
      <c r="C9" s="317"/>
      <c r="D9" s="311"/>
      <c r="E9" s="317"/>
      <c r="F9" s="311"/>
      <c r="G9" s="317"/>
      <c r="H9" s="311"/>
      <c r="I9" s="317"/>
      <c r="J9" s="311"/>
      <c r="K9" s="300"/>
    </row>
    <row r="10" spans="1:11">
      <c r="A10" s="317"/>
      <c r="B10" s="311"/>
      <c r="C10" s="317"/>
      <c r="D10" s="311"/>
      <c r="E10" s="317"/>
      <c r="F10" s="311"/>
      <c r="G10" s="317"/>
      <c r="H10" s="311"/>
      <c r="I10" s="317"/>
      <c r="J10" s="311"/>
      <c r="K10" s="300"/>
    </row>
    <row r="11" spans="1:11">
      <c r="A11" s="317"/>
      <c r="B11" s="311"/>
      <c r="C11" s="318"/>
      <c r="D11" s="311"/>
      <c r="E11" s="318"/>
      <c r="F11" s="311"/>
      <c r="G11" s="318"/>
      <c r="H11" s="311"/>
      <c r="I11" s="319"/>
      <c r="J11" s="311"/>
      <c r="K11" s="300"/>
    </row>
    <row r="12" spans="1:11">
      <c r="A12" s="317"/>
      <c r="B12" s="311"/>
      <c r="C12" s="317"/>
      <c r="D12" s="311"/>
      <c r="E12" s="320"/>
      <c r="F12" s="311"/>
      <c r="G12" s="320"/>
      <c r="H12" s="311"/>
      <c r="I12" s="320"/>
      <c r="J12" s="311"/>
      <c r="K12" s="300"/>
    </row>
    <row r="13" spans="1:11">
      <c r="A13" s="321"/>
      <c r="B13" s="311"/>
      <c r="C13" s="322"/>
      <c r="D13" s="311"/>
      <c r="E13" s="322"/>
      <c r="F13" s="311"/>
      <c r="G13" s="322"/>
      <c r="H13" s="311"/>
      <c r="I13" s="319"/>
      <c r="J13" s="311"/>
      <c r="K13" s="300"/>
    </row>
    <row r="14" spans="1:11">
      <c r="A14" s="317"/>
      <c r="B14" s="311"/>
      <c r="C14" s="320"/>
      <c r="D14" s="311"/>
      <c r="E14" s="320"/>
      <c r="F14" s="311"/>
      <c r="G14" s="320"/>
      <c r="H14" s="311"/>
      <c r="I14" s="320"/>
      <c r="J14" s="311"/>
      <c r="K14" s="300"/>
    </row>
    <row r="15" spans="1:11">
      <c r="A15" s="317"/>
      <c r="B15" s="311"/>
      <c r="C15" s="320"/>
      <c r="D15" s="311"/>
      <c r="E15" s="320"/>
      <c r="F15" s="311"/>
      <c r="G15" s="320"/>
      <c r="H15" s="311"/>
      <c r="I15" s="320"/>
      <c r="J15" s="311"/>
      <c r="K15" s="300"/>
    </row>
    <row r="16" spans="1:11">
      <c r="A16" s="317"/>
      <c r="B16" s="311"/>
      <c r="C16" s="317"/>
      <c r="D16" s="311"/>
      <c r="E16" s="317"/>
      <c r="F16" s="311"/>
      <c r="G16" s="320"/>
      <c r="H16" s="311"/>
      <c r="I16" s="317"/>
      <c r="J16" s="311"/>
      <c r="K16" s="300"/>
    </row>
    <row r="17" spans="1:12">
      <c r="A17" s="314" t="s">
        <v>115</v>
      </c>
      <c r="B17" s="313">
        <f>SUM(B9:B16)</f>
        <v>0</v>
      </c>
      <c r="C17" s="314" t="s">
        <v>115</v>
      </c>
      <c r="D17" s="313">
        <f>SUM(D9:D16)</f>
        <v>0</v>
      </c>
      <c r="E17" s="314" t="s">
        <v>115</v>
      </c>
      <c r="F17" s="379">
        <f>SUM(F9:F16)</f>
        <v>0</v>
      </c>
      <c r="G17" s="314" t="s">
        <v>115</v>
      </c>
      <c r="H17" s="313">
        <f>SUM(H9:H16)</f>
        <v>0</v>
      </c>
      <c r="I17" s="314" t="s">
        <v>115</v>
      </c>
      <c r="J17" s="313">
        <f>SUM(J9:J16)</f>
        <v>0</v>
      </c>
      <c r="K17" s="313">
        <f>SUM(B17+D17+F17+H17+J17)</f>
        <v>0</v>
      </c>
    </row>
    <row r="18" spans="1:12">
      <c r="A18" s="314" t="s">
        <v>116</v>
      </c>
      <c r="B18" s="313">
        <f>SUM(B7+B17)</f>
        <v>0</v>
      </c>
      <c r="C18" s="314" t="s">
        <v>116</v>
      </c>
      <c r="D18" s="313">
        <f>SUM(D7+D17)</f>
        <v>0</v>
      </c>
      <c r="E18" s="314" t="s">
        <v>116</v>
      </c>
      <c r="F18" s="313">
        <f>SUM(F7+F17)</f>
        <v>0</v>
      </c>
      <c r="G18" s="314" t="s">
        <v>116</v>
      </c>
      <c r="H18" s="313">
        <f>SUM(H7+H17)</f>
        <v>0</v>
      </c>
      <c r="I18" s="314" t="s">
        <v>116</v>
      </c>
      <c r="J18" s="313">
        <f>SUM(J7+J17)</f>
        <v>0</v>
      </c>
      <c r="K18" s="313">
        <f>SUM(B18+D18+F18+H18+J18)</f>
        <v>0</v>
      </c>
    </row>
    <row r="19" spans="1:12">
      <c r="A19" s="314" t="s">
        <v>118</v>
      </c>
      <c r="B19" s="315"/>
      <c r="C19" s="314" t="s">
        <v>118</v>
      </c>
      <c r="D19" s="316"/>
      <c r="E19" s="314" t="s">
        <v>118</v>
      </c>
      <c r="F19" s="300"/>
      <c r="G19" s="314" t="s">
        <v>118</v>
      </c>
      <c r="H19" s="173"/>
      <c r="I19" s="314" t="s">
        <v>118</v>
      </c>
      <c r="J19" s="173"/>
      <c r="K19" s="300"/>
    </row>
    <row r="20" spans="1:12">
      <c r="A20" s="317"/>
      <c r="B20" s="311"/>
      <c r="C20" s="320"/>
      <c r="D20" s="311"/>
      <c r="E20" s="320"/>
      <c r="F20" s="311"/>
      <c r="G20" s="320"/>
      <c r="H20" s="311"/>
      <c r="I20" s="320"/>
      <c r="J20" s="311"/>
      <c r="K20" s="300"/>
    </row>
    <row r="21" spans="1:12">
      <c r="A21" s="317"/>
      <c r="B21" s="311"/>
      <c r="C21" s="320"/>
      <c r="D21" s="311"/>
      <c r="E21" s="320"/>
      <c r="F21" s="311"/>
      <c r="G21" s="320"/>
      <c r="H21" s="311"/>
      <c r="I21" s="320"/>
      <c r="J21" s="311"/>
      <c r="K21" s="300"/>
    </row>
    <row r="22" spans="1:12">
      <c r="A22" s="317"/>
      <c r="B22" s="311"/>
      <c r="C22" s="322"/>
      <c r="D22" s="311"/>
      <c r="E22" s="322"/>
      <c r="F22" s="311"/>
      <c r="G22" s="322"/>
      <c r="H22" s="311"/>
      <c r="I22" s="319"/>
      <c r="J22" s="311"/>
      <c r="K22" s="300"/>
    </row>
    <row r="23" spans="1:12">
      <c r="A23" s="317"/>
      <c r="B23" s="311"/>
      <c r="C23" s="320"/>
      <c r="D23" s="311"/>
      <c r="E23" s="320"/>
      <c r="F23" s="311"/>
      <c r="G23" s="320"/>
      <c r="H23" s="311"/>
      <c r="I23" s="320"/>
      <c r="J23" s="311"/>
      <c r="K23" s="300"/>
    </row>
    <row r="24" spans="1:12">
      <c r="A24" s="317"/>
      <c r="B24" s="311"/>
      <c r="C24" s="322"/>
      <c r="D24" s="311"/>
      <c r="E24" s="322"/>
      <c r="F24" s="311"/>
      <c r="G24" s="322"/>
      <c r="H24" s="311"/>
      <c r="I24" s="319"/>
      <c r="J24" s="311"/>
      <c r="K24" s="300"/>
    </row>
    <row r="25" spans="1:12">
      <c r="A25" s="317"/>
      <c r="B25" s="311"/>
      <c r="C25" s="320"/>
      <c r="D25" s="311"/>
      <c r="E25" s="320"/>
      <c r="F25" s="311"/>
      <c r="G25" s="320"/>
      <c r="H25" s="311"/>
      <c r="I25" s="320"/>
      <c r="J25" s="311"/>
      <c r="K25" s="300"/>
    </row>
    <row r="26" spans="1:12">
      <c r="A26" s="317"/>
      <c r="B26" s="311"/>
      <c r="C26" s="320"/>
      <c r="D26" s="311"/>
      <c r="E26" s="320"/>
      <c r="F26" s="311"/>
      <c r="G26" s="320"/>
      <c r="H26" s="311"/>
      <c r="I26" s="320"/>
      <c r="J26" s="311"/>
      <c r="K26" s="300"/>
    </row>
    <row r="27" spans="1:12">
      <c r="A27" s="317"/>
      <c r="B27" s="311"/>
      <c r="C27" s="317"/>
      <c r="D27" s="311"/>
      <c r="E27" s="317"/>
      <c r="F27" s="311"/>
      <c r="G27" s="320"/>
      <c r="H27" s="311"/>
      <c r="I27" s="320"/>
      <c r="J27" s="311"/>
      <c r="K27" s="300"/>
    </row>
    <row r="28" spans="1:12">
      <c r="A28" s="314" t="s">
        <v>122</v>
      </c>
      <c r="B28" s="313">
        <f>SUM(B20:B27)</f>
        <v>0</v>
      </c>
      <c r="C28" s="314" t="s">
        <v>122</v>
      </c>
      <c r="D28" s="313">
        <f>SUM(D20:D27)</f>
        <v>0</v>
      </c>
      <c r="E28" s="314" t="s">
        <v>122</v>
      </c>
      <c r="F28" s="379">
        <f>SUM(F20:F27)</f>
        <v>0</v>
      </c>
      <c r="G28" s="314" t="s">
        <v>122</v>
      </c>
      <c r="H28" s="379">
        <f>SUM(H20:H27)</f>
        <v>0</v>
      </c>
      <c r="I28" s="314" t="s">
        <v>122</v>
      </c>
      <c r="J28" s="313">
        <f>SUM(J20:J27)</f>
        <v>0</v>
      </c>
      <c r="K28" s="313">
        <f>SUM(B28+D28+F28+H28+J28)</f>
        <v>0</v>
      </c>
    </row>
    <row r="29" spans="1:12">
      <c r="A29" s="314" t="s">
        <v>259</v>
      </c>
      <c r="B29" s="313">
        <f>SUM(B18-B28)</f>
        <v>0</v>
      </c>
      <c r="C29" s="314" t="s">
        <v>259</v>
      </c>
      <c r="D29" s="313">
        <f>SUM(D18-D28)</f>
        <v>0</v>
      </c>
      <c r="E29" s="314" t="s">
        <v>259</v>
      </c>
      <c r="F29" s="313">
        <f>SUM(F18-F28)</f>
        <v>0</v>
      </c>
      <c r="G29" s="314" t="s">
        <v>259</v>
      </c>
      <c r="H29" s="313">
        <f>SUM(H18-H28)</f>
        <v>0</v>
      </c>
      <c r="I29" s="314" t="s">
        <v>259</v>
      </c>
      <c r="J29" s="313">
        <f>SUM(J18-J28)</f>
        <v>0</v>
      </c>
      <c r="K29" s="323">
        <f>SUM(B29+D29+F29+H29+J29)</f>
        <v>0</v>
      </c>
      <c r="L29" s="32" t="s">
        <v>337</v>
      </c>
    </row>
    <row r="30" spans="1:12">
      <c r="A30" s="314"/>
      <c r="B30" s="347" t="str">
        <f>IF(B29&lt;0,"See Tab B","")</f>
        <v/>
      </c>
      <c r="C30" s="314"/>
      <c r="D30" s="347" t="str">
        <f>IF(D29&lt;0,"See Tab B","")</f>
        <v/>
      </c>
      <c r="E30" s="314"/>
      <c r="F30" s="347" t="str">
        <f>IF(F29&lt;0,"See Tab B","")</f>
        <v/>
      </c>
      <c r="G30" s="173"/>
      <c r="H30" s="347" t="str">
        <f>IF(H29&lt;0,"See Tab B","")</f>
        <v/>
      </c>
      <c r="I30" s="173"/>
      <c r="J30" s="347" t="str">
        <f>IF(J29&lt;0,"See Tab B","")</f>
        <v/>
      </c>
      <c r="K30" s="323">
        <f>SUM(K7+K17-K28)</f>
        <v>0</v>
      </c>
      <c r="L30" s="32" t="s">
        <v>337</v>
      </c>
    </row>
    <row r="31" spans="1:12">
      <c r="A31" s="173"/>
      <c r="B31" s="178"/>
      <c r="C31" s="173"/>
      <c r="D31" s="300"/>
      <c r="E31" s="173"/>
      <c r="F31" s="173"/>
      <c r="G31" s="43" t="s">
        <v>338</v>
      </c>
      <c r="H31" s="43"/>
      <c r="I31" s="43"/>
      <c r="J31" s="43"/>
      <c r="K31" s="173"/>
    </row>
    <row r="32" spans="1:12">
      <c r="A32" s="173"/>
      <c r="B32" s="178"/>
      <c r="C32" s="173"/>
      <c r="D32" s="173"/>
      <c r="E32" s="173"/>
      <c r="F32" s="173"/>
      <c r="G32" s="173"/>
      <c r="H32" s="173"/>
      <c r="I32" s="173"/>
      <c r="J32" s="173"/>
      <c r="K32" s="173"/>
    </row>
    <row r="33" spans="1:11">
      <c r="A33" s="173"/>
      <c r="B33" s="178"/>
      <c r="C33" s="173"/>
      <c r="D33" s="173"/>
      <c r="E33" s="187" t="s">
        <v>125</v>
      </c>
      <c r="F33" s="282"/>
      <c r="G33" s="173"/>
      <c r="H33" s="173"/>
      <c r="I33" s="173"/>
      <c r="J33" s="173"/>
      <c r="K33" s="173"/>
    </row>
    <row r="34" spans="1:11">
      <c r="B34" s="324"/>
    </row>
    <row r="35" spans="1:11">
      <c r="B35" s="324"/>
    </row>
    <row r="36" spans="1:11">
      <c r="B36" s="324"/>
    </row>
    <row r="37" spans="1:11">
      <c r="B37" s="324"/>
    </row>
    <row r="38" spans="1:11">
      <c r="B38" s="324"/>
    </row>
    <row r="39" spans="1:11">
      <c r="B39" s="324"/>
    </row>
    <row r="40" spans="1:11">
      <c r="B40" s="324"/>
    </row>
    <row r="41" spans="1:11">
      <c r="B41" s="324"/>
    </row>
  </sheetData>
  <sheetProtection sheet="1" objects="1" scenarios="1"/>
  <mergeCells count="5">
    <mergeCell ref="I5:J5"/>
    <mergeCell ref="A5:B5"/>
    <mergeCell ref="C5:D5"/>
    <mergeCell ref="E5:F5"/>
    <mergeCell ref="G5:H5"/>
  </mergeCells>
  <phoneticPr fontId="9" type="noConversion"/>
  <pageMargins left="0.75" right="0.75" top="1" bottom="1" header="0.5" footer="0.5"/>
  <pageSetup scale="88" orientation="landscape" blackAndWhite="1" r:id="rId1"/>
  <headerFooter alignWithMargins="0">
    <oddHeader>&amp;RState of Kansas
City</oddHeader>
  </headerFooter>
</worksheet>
</file>

<file path=xl/worksheets/sheet37.xml><?xml version="1.0" encoding="utf-8"?>
<worksheet xmlns="http://schemas.openxmlformats.org/spreadsheetml/2006/main" xmlns:r="http://schemas.openxmlformats.org/officeDocument/2006/relationships">
  <dimension ref="A1:A66"/>
  <sheetViews>
    <sheetView workbookViewId="0">
      <selection activeCell="F27" sqref="F27"/>
    </sheetView>
  </sheetViews>
  <sheetFormatPr defaultRowHeight="15"/>
  <cols>
    <col min="1" max="1" width="70.5546875" style="106" customWidth="1"/>
    <col min="2" max="16384" width="8.88671875" style="106"/>
  </cols>
  <sheetData>
    <row r="1" spans="1:1" ht="18.75">
      <c r="A1" s="497" t="s">
        <v>361</v>
      </c>
    </row>
    <row r="2" spans="1:1" ht="15.75">
      <c r="A2" s="1"/>
    </row>
    <row r="3" spans="1:1" ht="57" customHeight="1">
      <c r="A3" s="498" t="s">
        <v>362</v>
      </c>
    </row>
    <row r="4" spans="1:1" ht="15.75">
      <c r="A4" s="496"/>
    </row>
    <row r="5" spans="1:1" ht="15.75">
      <c r="A5" s="1"/>
    </row>
    <row r="6" spans="1:1" ht="44.25" customHeight="1">
      <c r="A6" s="498" t="s">
        <v>363</v>
      </c>
    </row>
    <row r="7" spans="1:1" ht="15.75">
      <c r="A7" s="1"/>
    </row>
    <row r="8" spans="1:1" ht="15.75">
      <c r="A8" s="496"/>
    </row>
    <row r="9" spans="1:1" ht="46.5" customHeight="1">
      <c r="A9" s="498" t="s">
        <v>364</v>
      </c>
    </row>
    <row r="10" spans="1:1" ht="15.75">
      <c r="A10" s="1"/>
    </row>
    <row r="11" spans="1:1" ht="15.75">
      <c r="A11" s="496"/>
    </row>
    <row r="12" spans="1:1" ht="60" customHeight="1">
      <c r="A12" s="498" t="s">
        <v>365</v>
      </c>
    </row>
    <row r="13" spans="1:1" ht="15.75">
      <c r="A13" s="1"/>
    </row>
    <row r="14" spans="1:1" ht="15.75">
      <c r="A14" s="1"/>
    </row>
    <row r="15" spans="1:1" ht="61.5" customHeight="1">
      <c r="A15" s="498" t="s">
        <v>366</v>
      </c>
    </row>
    <row r="16" spans="1:1" ht="15.75">
      <c r="A16" s="1"/>
    </row>
    <row r="17" spans="1:1" ht="15.75">
      <c r="A17" s="1"/>
    </row>
    <row r="18" spans="1:1" ht="59.25" customHeight="1">
      <c r="A18" s="498" t="s">
        <v>367</v>
      </c>
    </row>
    <row r="19" spans="1:1" ht="15.75">
      <c r="A19" s="1"/>
    </row>
    <row r="20" spans="1:1" ht="15.75">
      <c r="A20" s="1"/>
    </row>
    <row r="21" spans="1:1" ht="61.5" customHeight="1">
      <c r="A21" s="498" t="s">
        <v>368</v>
      </c>
    </row>
    <row r="22" spans="1:1" ht="15.75">
      <c r="A22" s="496"/>
    </row>
    <row r="23" spans="1:1" ht="15.75">
      <c r="A23" s="496"/>
    </row>
    <row r="24" spans="1:1" ht="63" customHeight="1">
      <c r="A24" s="498" t="s">
        <v>369</v>
      </c>
    </row>
    <row r="25" spans="1:1" ht="15.75">
      <c r="A25" s="1"/>
    </row>
    <row r="26" spans="1:1" ht="15.75">
      <c r="A26" s="1"/>
    </row>
    <row r="27" spans="1:1" ht="52.5" customHeight="1">
      <c r="A27" s="509" t="s">
        <v>761</v>
      </c>
    </row>
    <row r="28" spans="1:1" ht="15.75">
      <c r="A28" s="1"/>
    </row>
    <row r="29" spans="1:1" ht="15.75">
      <c r="A29" s="1"/>
    </row>
    <row r="30" spans="1:1" ht="44.25" customHeight="1">
      <c r="A30" s="498" t="s">
        <v>370</v>
      </c>
    </row>
    <row r="31" spans="1:1" ht="15.75">
      <c r="A31" s="1"/>
    </row>
    <row r="32" spans="1:1" ht="15.75">
      <c r="A32" s="1"/>
    </row>
    <row r="33" spans="1:1" ht="42.75" customHeight="1">
      <c r="A33" s="498" t="s">
        <v>371</v>
      </c>
    </row>
    <row r="34" spans="1:1" ht="15.75">
      <c r="A34" s="496"/>
    </row>
    <row r="35" spans="1:1" ht="15.75">
      <c r="A35" s="496"/>
    </row>
    <row r="36" spans="1:1" ht="38.25" customHeight="1">
      <c r="A36" s="498" t="s">
        <v>372</v>
      </c>
    </row>
    <row r="37" spans="1:1" ht="15.75">
      <c r="A37" s="496"/>
    </row>
    <row r="38" spans="1:1" ht="15.75">
      <c r="A38" s="1"/>
    </row>
    <row r="39" spans="1:1" ht="75.75" customHeight="1">
      <c r="A39" s="498" t="s">
        <v>373</v>
      </c>
    </row>
    <row r="40" spans="1:1" ht="15.75">
      <c r="A40" s="1"/>
    </row>
    <row r="41" spans="1:1" ht="15.75">
      <c r="A41" s="1"/>
    </row>
    <row r="42" spans="1:1" ht="57.75" customHeight="1">
      <c r="A42" s="498" t="s">
        <v>374</v>
      </c>
    </row>
    <row r="43" spans="1:1" ht="15.75">
      <c r="A43" s="496"/>
    </row>
    <row r="44" spans="1:1" ht="15.75">
      <c r="A44" s="1"/>
    </row>
    <row r="45" spans="1:1" ht="57.75" customHeight="1">
      <c r="A45" s="498" t="s">
        <v>375</v>
      </c>
    </row>
    <row r="46" spans="1:1" ht="15.75">
      <c r="A46" s="1"/>
    </row>
    <row r="47" spans="1:1" ht="15.75">
      <c r="A47" s="1"/>
    </row>
    <row r="48" spans="1:1" ht="41.25" customHeight="1">
      <c r="A48" s="498" t="s">
        <v>376</v>
      </c>
    </row>
    <row r="49" spans="1:1" ht="15.75">
      <c r="A49" s="1"/>
    </row>
    <row r="50" spans="1:1" ht="15.75">
      <c r="A50" s="1"/>
    </row>
    <row r="51" spans="1:1" ht="75" customHeight="1">
      <c r="A51" s="498" t="s">
        <v>377</v>
      </c>
    </row>
    <row r="52" spans="1:1" ht="15.75">
      <c r="A52" s="496"/>
    </row>
    <row r="53" spans="1:1" ht="15.75">
      <c r="A53" s="496"/>
    </row>
    <row r="54" spans="1:1" ht="57.75" customHeight="1">
      <c r="A54" s="498" t="s">
        <v>378</v>
      </c>
    </row>
    <row r="55" spans="1:1" ht="15.75">
      <c r="A55" s="1"/>
    </row>
    <row r="56" spans="1:1" ht="15.75">
      <c r="A56" s="1"/>
    </row>
    <row r="57" spans="1:1" ht="44.25" customHeight="1">
      <c r="A57" s="498" t="s">
        <v>379</v>
      </c>
    </row>
    <row r="58" spans="1:1" ht="15.75">
      <c r="A58" s="1"/>
    </row>
    <row r="59" spans="1:1" ht="15.75">
      <c r="A59" s="1"/>
    </row>
    <row r="60" spans="1:1" ht="60" customHeight="1">
      <c r="A60" s="498" t="s">
        <v>380</v>
      </c>
    </row>
    <row r="61" spans="1:1" ht="15.75">
      <c r="A61" s="496"/>
    </row>
    <row r="62" spans="1:1" ht="15.75">
      <c r="A62" s="496"/>
    </row>
    <row r="63" spans="1:1" ht="57.75" customHeight="1">
      <c r="A63" s="498" t="s">
        <v>381</v>
      </c>
    </row>
    <row r="64" spans="1:1" ht="15.75">
      <c r="A64" s="1"/>
    </row>
    <row r="65" spans="1:1" ht="15.75">
      <c r="A65" s="1"/>
    </row>
    <row r="66" spans="1:1" ht="60" customHeight="1">
      <c r="A66" s="498" t="s">
        <v>382</v>
      </c>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A1:N40"/>
  <sheetViews>
    <sheetView workbookViewId="0">
      <selection activeCell="F27" sqref="F27"/>
    </sheetView>
  </sheetViews>
  <sheetFormatPr defaultRowHeight="15.75"/>
  <cols>
    <col min="1" max="16384" width="8.88671875" style="1"/>
  </cols>
  <sheetData>
    <row r="1" spans="1:14" ht="16.5" customHeight="1">
      <c r="A1" s="827" t="s">
        <v>238</v>
      </c>
      <c r="B1" s="827"/>
      <c r="C1" s="827"/>
      <c r="D1" s="827"/>
      <c r="E1" s="827"/>
      <c r="F1" s="827"/>
      <c r="G1" s="827"/>
    </row>
    <row r="2" spans="1:14" ht="16.5" customHeight="1">
      <c r="A2" s="827"/>
      <c r="B2" s="827"/>
      <c r="C2" s="827"/>
      <c r="D2" s="827"/>
      <c r="E2" s="827"/>
      <c r="F2" s="827"/>
      <c r="G2" s="827"/>
    </row>
    <row r="3" spans="1:14" ht="16.5" customHeight="1">
      <c r="A3" s="828"/>
      <c r="B3" s="828"/>
      <c r="C3" s="828"/>
      <c r="D3" s="828"/>
      <c r="E3" s="828"/>
      <c r="F3" s="828"/>
      <c r="G3" s="828"/>
    </row>
    <row r="4" spans="1:14" ht="16.5" customHeight="1">
      <c r="A4" s="825" t="str">
        <f>CONCATENATE("AN ORDINANCE ATTESTING TO AN INCREASE IN TAX REVENUES FOR BUDGET YEAR ",inputPrYr!C5," FOR THE ",(inputPrYr!$D$2))</f>
        <v>AN ORDINANCE ATTESTING TO AN INCREASE IN TAX REVENUES FOR BUDGET YEAR 2014 FOR THE City of Garnett</v>
      </c>
      <c r="B4" s="825"/>
      <c r="C4" s="825"/>
      <c r="D4" s="825"/>
      <c r="E4" s="825"/>
      <c r="F4" s="825"/>
      <c r="G4" s="825"/>
    </row>
    <row r="5" spans="1:14" ht="16.5" customHeight="1">
      <c r="A5" s="825"/>
      <c r="B5" s="825"/>
      <c r="C5" s="825"/>
      <c r="D5" s="825"/>
      <c r="E5" s="825"/>
      <c r="F5" s="825"/>
      <c r="G5" s="825"/>
    </row>
    <row r="6" spans="1:14" ht="16.5" customHeight="1">
      <c r="A6" s="827"/>
      <c r="B6" s="827"/>
      <c r="C6" s="827"/>
      <c r="D6" s="827"/>
      <c r="E6" s="827"/>
      <c r="F6" s="827"/>
      <c r="G6" s="827"/>
    </row>
    <row r="7" spans="1:14" ht="16.5" customHeight="1">
      <c r="A7" s="825" t="str">
        <f>CONCATENATE("WHEREAS, the ",(inputPrYr!$D$2)," must continue to provide services to protect the health, safety, and welfare of the citizens of this community; and")</f>
        <v>WHEREAS, the City of Garnett must continue to provide services to protect the health, safety, and welfare of the citizens of this community; and</v>
      </c>
      <c r="B7" s="825"/>
      <c r="C7" s="825"/>
      <c r="D7" s="825"/>
      <c r="E7" s="825"/>
      <c r="F7" s="825"/>
      <c r="G7" s="825"/>
      <c r="H7" s="24"/>
      <c r="I7" s="24"/>
      <c r="J7" s="24"/>
      <c r="K7" s="24"/>
      <c r="L7" s="24"/>
      <c r="M7" s="24"/>
      <c r="N7" s="24"/>
    </row>
    <row r="8" spans="1:14" ht="16.5" customHeight="1">
      <c r="A8" s="825"/>
      <c r="B8" s="825"/>
      <c r="C8" s="825"/>
      <c r="D8" s="825"/>
      <c r="E8" s="825"/>
      <c r="F8" s="825"/>
      <c r="G8" s="825"/>
      <c r="H8" s="24"/>
      <c r="I8" s="24"/>
      <c r="J8" s="24"/>
      <c r="K8" s="24"/>
      <c r="L8" s="24"/>
      <c r="M8" s="24"/>
      <c r="N8" s="24"/>
    </row>
    <row r="9" spans="1:14" ht="16.5" customHeight="1">
      <c r="A9" s="25"/>
      <c r="B9" s="25"/>
      <c r="C9" s="25"/>
      <c r="D9" s="25"/>
      <c r="E9" s="25"/>
      <c r="F9" s="25"/>
      <c r="G9" s="25"/>
    </row>
    <row r="10" spans="1:14" ht="16.5" customHeight="1">
      <c r="A10" s="825" t="s">
        <v>239</v>
      </c>
      <c r="B10" s="825"/>
      <c r="C10" s="825"/>
      <c r="D10" s="825"/>
      <c r="E10" s="825"/>
      <c r="F10" s="825"/>
      <c r="G10" s="825"/>
    </row>
    <row r="11" spans="1:14" ht="16.5" customHeight="1">
      <c r="A11" s="825"/>
      <c r="B11" s="825"/>
      <c r="C11" s="825"/>
      <c r="D11" s="825"/>
      <c r="E11" s="825"/>
      <c r="F11" s="825"/>
      <c r="G11" s="825"/>
    </row>
    <row r="12" spans="1:14" ht="16.5" customHeight="1">
      <c r="A12" s="25"/>
      <c r="B12" s="25"/>
      <c r="C12" s="25"/>
      <c r="D12" s="25"/>
      <c r="E12" s="25"/>
      <c r="F12" s="25"/>
      <c r="G12" s="25"/>
    </row>
    <row r="13" spans="1:14" ht="16.5" customHeight="1">
      <c r="A13" s="825" t="str">
        <f>CONCATENATE("NOW THEREFORE, be it ordained by the Governing Body of the ",(inputPrYr!$D$2),":")</f>
        <v>NOW THEREFORE, be it ordained by the Governing Body of the City of Garnett:</v>
      </c>
      <c r="B13" s="825"/>
      <c r="C13" s="825"/>
      <c r="D13" s="825"/>
      <c r="E13" s="825"/>
      <c r="F13" s="825"/>
      <c r="G13" s="825"/>
      <c r="H13" s="24"/>
      <c r="I13" s="24"/>
      <c r="J13" s="24"/>
      <c r="K13" s="24"/>
      <c r="L13" s="24"/>
      <c r="M13" s="24"/>
      <c r="N13" s="24"/>
    </row>
    <row r="14" spans="1:14" ht="16.5" customHeight="1">
      <c r="A14" s="825"/>
      <c r="B14" s="825"/>
      <c r="C14" s="825"/>
      <c r="D14" s="825"/>
      <c r="E14" s="825"/>
      <c r="F14" s="825"/>
      <c r="G14" s="825"/>
      <c r="H14" s="24"/>
      <c r="I14" s="24"/>
      <c r="J14" s="24"/>
      <c r="K14" s="24"/>
      <c r="L14" s="24"/>
      <c r="M14" s="24"/>
      <c r="N14" s="24"/>
    </row>
    <row r="15" spans="1:14" ht="16.5" customHeight="1">
      <c r="A15" s="825" t="str">
        <f>CONCATENATE("Section One.  In accordance with state law, the ",(inputPrYr!$D$2),"  has scheduled a public hearing and has prepared the proposed budget necessary to fund city services from January 1, ",inputPrYr!C5," until December 31, ",inputPrYr!C5,".")</f>
        <v>Section One.  In accordance with state law, the City of Garnett  has scheduled a public hearing and has prepared the proposed budget necessary to fund city services from January 1, 2014 until December 31, 2014.</v>
      </c>
      <c r="B15" s="825"/>
      <c r="C15" s="825"/>
      <c r="D15" s="825"/>
      <c r="E15" s="825"/>
      <c r="F15" s="825"/>
      <c r="G15" s="825"/>
      <c r="H15" s="24"/>
      <c r="I15" s="24"/>
      <c r="J15" s="24"/>
      <c r="K15" s="24"/>
      <c r="L15" s="24"/>
      <c r="M15" s="24"/>
      <c r="N15" s="24"/>
    </row>
    <row r="16" spans="1:14" ht="16.5" customHeight="1">
      <c r="A16" s="825"/>
      <c r="B16" s="825"/>
      <c r="C16" s="825"/>
      <c r="D16" s="825"/>
      <c r="E16" s="825"/>
      <c r="F16" s="825"/>
      <c r="G16" s="825"/>
      <c r="H16" s="24"/>
      <c r="I16" s="24"/>
      <c r="J16" s="24"/>
      <c r="K16" s="24"/>
      <c r="L16" s="24"/>
      <c r="M16" s="24"/>
      <c r="N16" s="24"/>
    </row>
    <row r="17" spans="1:14" ht="16.5" customHeight="1">
      <c r="A17" s="825"/>
      <c r="B17" s="825"/>
      <c r="C17" s="825"/>
      <c r="D17" s="825"/>
      <c r="E17" s="825"/>
      <c r="F17" s="825"/>
      <c r="G17" s="825"/>
      <c r="H17" s="24"/>
      <c r="I17" s="24"/>
      <c r="J17" s="24"/>
      <c r="K17" s="24"/>
      <c r="L17" s="24"/>
      <c r="M17" s="24"/>
      <c r="N17" s="24"/>
    </row>
    <row r="18" spans="1:14" ht="16.5" customHeight="1">
      <c r="A18" s="24"/>
      <c r="B18" s="24"/>
      <c r="C18" s="24"/>
      <c r="D18" s="24"/>
      <c r="E18" s="24"/>
      <c r="F18" s="24"/>
      <c r="G18" s="24"/>
    </row>
    <row r="19" spans="1:14" ht="16.5" customHeight="1">
      <c r="A19" s="826" t="s">
        <v>302</v>
      </c>
      <c r="B19" s="826"/>
      <c r="C19" s="826"/>
      <c r="D19" s="826"/>
      <c r="E19" s="826"/>
      <c r="F19" s="826"/>
      <c r="G19" s="826"/>
    </row>
    <row r="20" spans="1:14" ht="16.5" customHeight="1">
      <c r="A20" s="826" t="s">
        <v>303</v>
      </c>
      <c r="B20" s="826"/>
      <c r="C20" s="826"/>
      <c r="D20" s="826"/>
      <c r="E20" s="826"/>
      <c r="F20" s="826"/>
      <c r="G20" s="826"/>
    </row>
    <row r="21" spans="1:14" ht="16.5" customHeight="1">
      <c r="A21" s="826" t="str">
        <f>CONCATENATE("necessary to budget property tax revenues in an amount exceeding the levy in the ",inputPrYr!C5-1,"")</f>
        <v>necessary to budget property tax revenues in an amount exceeding the levy in the 2013</v>
      </c>
      <c r="B21" s="826"/>
      <c r="C21" s="826"/>
      <c r="D21" s="826"/>
      <c r="E21" s="826"/>
      <c r="F21" s="826"/>
      <c r="G21" s="826"/>
    </row>
    <row r="22" spans="1:14" ht="16.5" customHeight="1">
      <c r="A22" s="26" t="s">
        <v>304</v>
      </c>
      <c r="B22" s="26"/>
      <c r="C22" s="26"/>
      <c r="D22" s="26"/>
      <c r="E22" s="26"/>
      <c r="F22" s="26"/>
      <c r="G22" s="26"/>
    </row>
    <row r="23" spans="1:14" ht="16.5" customHeight="1">
      <c r="A23" s="24"/>
      <c r="B23" s="24"/>
      <c r="C23" s="24"/>
      <c r="D23" s="24"/>
      <c r="E23" s="24"/>
      <c r="F23" s="24"/>
      <c r="G23" s="24"/>
    </row>
    <row r="24" spans="1:14" ht="16.5" customHeight="1">
      <c r="A24" s="825" t="s">
        <v>240</v>
      </c>
      <c r="B24" s="825"/>
      <c r="C24" s="825"/>
      <c r="D24" s="825"/>
      <c r="E24" s="825"/>
      <c r="F24" s="825"/>
      <c r="G24" s="825"/>
    </row>
    <row r="25" spans="1:14" ht="16.5" customHeight="1">
      <c r="A25" s="825"/>
      <c r="B25" s="825"/>
      <c r="C25" s="825"/>
      <c r="D25" s="825"/>
      <c r="E25" s="825"/>
      <c r="F25" s="825"/>
      <c r="G25" s="825"/>
    </row>
    <row r="26" spans="1:14" ht="16.5" customHeight="1">
      <c r="A26" s="24"/>
      <c r="B26" s="24"/>
      <c r="C26" s="24"/>
      <c r="D26" s="24"/>
      <c r="E26" s="24"/>
      <c r="F26" s="24"/>
      <c r="G26" s="24"/>
    </row>
    <row r="27" spans="1:14" ht="16.5" customHeight="1">
      <c r="A27" s="825" t="str">
        <f>CONCATENATE("Passed and approved by the Governing Body on this ______ day of __________, ",inputPrYr!C5-1,".")</f>
        <v>Passed and approved by the Governing Body on this ______ day of __________, 2013.</v>
      </c>
      <c r="B27" s="825"/>
      <c r="C27" s="825"/>
      <c r="D27" s="825"/>
      <c r="E27" s="825"/>
      <c r="F27" s="825"/>
      <c r="G27" s="825"/>
    </row>
    <row r="28" spans="1:14" ht="16.5" customHeight="1">
      <c r="A28" s="825"/>
      <c r="B28" s="825"/>
      <c r="C28" s="825"/>
      <c r="D28" s="825"/>
      <c r="E28" s="825"/>
      <c r="F28" s="825"/>
      <c r="G28" s="825"/>
    </row>
    <row r="29" spans="1:14" ht="16.5" customHeight="1"/>
    <row r="30" spans="1:14" ht="16.5" customHeight="1">
      <c r="A30" s="824" t="s">
        <v>241</v>
      </c>
      <c r="B30" s="824"/>
      <c r="C30" s="824"/>
      <c r="D30" s="824"/>
      <c r="E30" s="824"/>
      <c r="F30" s="824"/>
      <c r="G30" s="824"/>
    </row>
    <row r="31" spans="1:14" ht="16.5" customHeight="1">
      <c r="A31" s="824" t="s">
        <v>246</v>
      </c>
      <c r="B31" s="824"/>
      <c r="C31" s="824"/>
      <c r="D31" s="824"/>
      <c r="E31" s="824"/>
      <c r="F31" s="824"/>
      <c r="G31" s="824"/>
    </row>
    <row r="32" spans="1:14" ht="16.5" customHeight="1">
      <c r="A32" s="1" t="s">
        <v>242</v>
      </c>
    </row>
    <row r="33" spans="1:2" ht="16.5" customHeight="1">
      <c r="B33" s="1" t="s">
        <v>243</v>
      </c>
    </row>
    <row r="34" spans="1:2" ht="16.5" customHeight="1"/>
    <row r="35" spans="1:2" ht="16.5" customHeight="1"/>
    <row r="36" spans="1:2" ht="16.5" customHeight="1">
      <c r="A36" s="1" t="s">
        <v>244</v>
      </c>
    </row>
    <row r="37" spans="1:2" ht="16.5" customHeight="1"/>
    <row r="38" spans="1:2" ht="16.5" customHeight="1"/>
    <row r="39" spans="1:2" ht="16.5" customHeight="1"/>
    <row r="40" spans="1:2" ht="16.5" customHeight="1">
      <c r="A40" s="1" t="s">
        <v>245</v>
      </c>
    </row>
  </sheetData>
  <sheetProtection sheet="1" objects="1" scenarios="1"/>
  <mergeCells count="16">
    <mergeCell ref="A1:G1"/>
    <mergeCell ref="A2:G2"/>
    <mergeCell ref="A3:G3"/>
    <mergeCell ref="A7:G8"/>
    <mergeCell ref="A4:G5"/>
    <mergeCell ref="A6:G6"/>
    <mergeCell ref="A30:G30"/>
    <mergeCell ref="A31:G31"/>
    <mergeCell ref="A27:G28"/>
    <mergeCell ref="A10:G11"/>
    <mergeCell ref="A13:G14"/>
    <mergeCell ref="A24:G25"/>
    <mergeCell ref="A15:G17"/>
    <mergeCell ref="A19:G19"/>
    <mergeCell ref="A20:G20"/>
    <mergeCell ref="A21:G21"/>
  </mergeCells>
  <phoneticPr fontId="9" type="noConversion"/>
  <pageMargins left="1" right="1" top="1" bottom="1" header="0.5" footer="0.5"/>
  <pageSetup orientation="portrait" blackAndWhite="1" r:id="rId1"/>
  <headerFooter alignWithMargins="0">
    <oddFooter>&amp;Lrevised 8/06/07</oddFooter>
  </headerFooter>
</worksheet>
</file>

<file path=xl/worksheets/sheet39.xml><?xml version="1.0" encoding="utf-8"?>
<worksheet xmlns="http://schemas.openxmlformats.org/spreadsheetml/2006/main" xmlns:r="http://schemas.openxmlformats.org/officeDocument/2006/relationships">
  <sheetPr>
    <tabColor rgb="FFFF0000"/>
  </sheetPr>
  <dimension ref="A3:L85"/>
  <sheetViews>
    <sheetView workbookViewId="0">
      <selection activeCell="A3" sqref="A3"/>
    </sheetView>
  </sheetViews>
  <sheetFormatPr defaultRowHeight="15"/>
  <cols>
    <col min="1" max="1" width="71.33203125" customWidth="1"/>
  </cols>
  <sheetData>
    <row r="3" spans="1:12">
      <c r="A3" s="362" t="s">
        <v>434</v>
      </c>
      <c r="B3" s="362"/>
      <c r="C3" s="362"/>
      <c r="D3" s="362"/>
      <c r="E3" s="362"/>
      <c r="F3" s="362"/>
      <c r="G3" s="362"/>
      <c r="H3" s="362"/>
      <c r="I3" s="362"/>
      <c r="J3" s="362"/>
      <c r="K3" s="362"/>
      <c r="L3" s="362"/>
    </row>
    <row r="5" spans="1:12">
      <c r="A5" s="363" t="s">
        <v>435</v>
      </c>
    </row>
    <row r="6" spans="1:12">
      <c r="A6" s="363" t="str">
        <f>CONCATENATE(inputPrYr!C5-2," 'total expenditures' exceed your ",inputPrYr!C5-2," 'budget authority.'")</f>
        <v>2012 'total expenditures' exceed your 2012 'budget authority.'</v>
      </c>
    </row>
    <row r="7" spans="1:12">
      <c r="A7" s="363"/>
    </row>
    <row r="8" spans="1:12">
      <c r="A8" s="363" t="s">
        <v>436</v>
      </c>
    </row>
    <row r="9" spans="1:12">
      <c r="A9" s="363" t="s">
        <v>437</v>
      </c>
    </row>
    <row r="10" spans="1:12">
      <c r="A10" s="363" t="s">
        <v>438</v>
      </c>
    </row>
    <row r="11" spans="1:12">
      <c r="A11" s="363"/>
    </row>
    <row r="12" spans="1:12">
      <c r="A12" s="363"/>
    </row>
    <row r="13" spans="1:12">
      <c r="A13" s="364" t="s">
        <v>439</v>
      </c>
    </row>
    <row r="15" spans="1:12">
      <c r="A15" s="363" t="s">
        <v>440</v>
      </c>
    </row>
    <row r="16" spans="1:12">
      <c r="A16" s="363" t="str">
        <f>CONCATENATE("(i.e. an audit has not been completed, or the ",inputPrYr!C5," adopted")</f>
        <v>(i.e. an audit has not been completed, or the 2014 adopted</v>
      </c>
    </row>
    <row r="17" spans="1:1">
      <c r="A17" s="363" t="s">
        <v>441</v>
      </c>
    </row>
    <row r="18" spans="1:1">
      <c r="A18" s="363" t="s">
        <v>442</v>
      </c>
    </row>
    <row r="19" spans="1:1">
      <c r="A19" s="363" t="s">
        <v>443</v>
      </c>
    </row>
    <row r="21" spans="1:1">
      <c r="A21" s="364" t="s">
        <v>444</v>
      </c>
    </row>
    <row r="22" spans="1:1">
      <c r="A22" s="364"/>
    </row>
    <row r="23" spans="1:1">
      <c r="A23" s="363" t="s">
        <v>445</v>
      </c>
    </row>
    <row r="24" spans="1:1">
      <c r="A24" s="363" t="s">
        <v>446</v>
      </c>
    </row>
    <row r="25" spans="1:1">
      <c r="A25" s="363" t="str">
        <f>CONCATENATE("particular fund.  If your ",inputPrYr!C5-2," budget was amended, did you")</f>
        <v>particular fund.  If your 2012 budget was amended, did you</v>
      </c>
    </row>
    <row r="26" spans="1:1">
      <c r="A26" s="363" t="s">
        <v>447</v>
      </c>
    </row>
    <row r="27" spans="1:1">
      <c r="A27" s="363"/>
    </row>
    <row r="28" spans="1:1">
      <c r="A28" s="363" t="str">
        <f>CONCATENATE("Next, look to see if any of your ",inputPrYr!C5-2," expenditures can be")</f>
        <v>Next, look to see if any of your 2012 expenditures can be</v>
      </c>
    </row>
    <row r="29" spans="1:1">
      <c r="A29" s="363" t="s">
        <v>448</v>
      </c>
    </row>
    <row r="30" spans="1:1">
      <c r="A30" s="363" t="s">
        <v>449</v>
      </c>
    </row>
    <row r="31" spans="1:1">
      <c r="A31" s="363" t="s">
        <v>450</v>
      </c>
    </row>
    <row r="32" spans="1:1">
      <c r="A32" s="363"/>
    </row>
    <row r="33" spans="1:1">
      <c r="A33" s="363" t="str">
        <f>CONCATENATE("Additionally, do your ",inputPrYr!C5-2," receipts contain a reimbursement")</f>
        <v>Additionally, do your 2012 receipts contain a reimbursement</v>
      </c>
    </row>
    <row r="34" spans="1:1">
      <c r="A34" s="363" t="s">
        <v>451</v>
      </c>
    </row>
    <row r="35" spans="1:1">
      <c r="A35" s="363" t="s">
        <v>452</v>
      </c>
    </row>
    <row r="36" spans="1:1">
      <c r="A36" s="363"/>
    </row>
    <row r="37" spans="1:1">
      <c r="A37" s="363" t="s">
        <v>453</v>
      </c>
    </row>
    <row r="38" spans="1:1">
      <c r="A38" s="363" t="s">
        <v>454</v>
      </c>
    </row>
    <row r="39" spans="1:1">
      <c r="A39" s="363" t="s">
        <v>455</v>
      </c>
    </row>
    <row r="40" spans="1:1">
      <c r="A40" s="363" t="s">
        <v>456</v>
      </c>
    </row>
    <row r="41" spans="1:1">
      <c r="A41" s="363" t="s">
        <v>457</v>
      </c>
    </row>
    <row r="42" spans="1:1">
      <c r="A42" s="363" t="s">
        <v>458</v>
      </c>
    </row>
    <row r="43" spans="1:1">
      <c r="A43" s="363" t="s">
        <v>459</v>
      </c>
    </row>
    <row r="44" spans="1:1">
      <c r="A44" s="363" t="s">
        <v>460</v>
      </c>
    </row>
    <row r="45" spans="1:1">
      <c r="A45" s="363"/>
    </row>
    <row r="46" spans="1:1">
      <c r="A46" s="363" t="s">
        <v>461</v>
      </c>
    </row>
    <row r="47" spans="1:1">
      <c r="A47" s="363" t="s">
        <v>462</v>
      </c>
    </row>
    <row r="48" spans="1:1">
      <c r="A48" s="363" t="s">
        <v>463</v>
      </c>
    </row>
    <row r="49" spans="1:1">
      <c r="A49" s="363"/>
    </row>
    <row r="50" spans="1:1">
      <c r="A50" s="363" t="s">
        <v>464</v>
      </c>
    </row>
    <row r="51" spans="1:1">
      <c r="A51" s="363" t="s">
        <v>465</v>
      </c>
    </row>
    <row r="52" spans="1:1">
      <c r="A52" s="363" t="s">
        <v>466</v>
      </c>
    </row>
    <row r="53" spans="1:1">
      <c r="A53" s="363"/>
    </row>
    <row r="54" spans="1:1">
      <c r="A54" s="364" t="s">
        <v>467</v>
      </c>
    </row>
    <row r="55" spans="1:1">
      <c r="A55" s="363"/>
    </row>
    <row r="56" spans="1:1">
      <c r="A56" s="363" t="s">
        <v>468</v>
      </c>
    </row>
    <row r="57" spans="1:1">
      <c r="A57" s="363" t="s">
        <v>469</v>
      </c>
    </row>
    <row r="58" spans="1:1">
      <c r="A58" s="363" t="s">
        <v>470</v>
      </c>
    </row>
    <row r="59" spans="1:1">
      <c r="A59" s="363" t="s">
        <v>471</v>
      </c>
    </row>
    <row r="60" spans="1:1">
      <c r="A60" s="363" t="s">
        <v>472</v>
      </c>
    </row>
    <row r="61" spans="1:1">
      <c r="A61" s="363" t="s">
        <v>473</v>
      </c>
    </row>
    <row r="62" spans="1:1">
      <c r="A62" s="363" t="s">
        <v>474</v>
      </c>
    </row>
    <row r="63" spans="1:1">
      <c r="A63" s="363" t="s">
        <v>475</v>
      </c>
    </row>
    <row r="64" spans="1:1">
      <c r="A64" s="363" t="s">
        <v>476</v>
      </c>
    </row>
    <row r="65" spans="1:1">
      <c r="A65" s="363" t="s">
        <v>477</v>
      </c>
    </row>
    <row r="66" spans="1:1">
      <c r="A66" s="363" t="s">
        <v>478</v>
      </c>
    </row>
    <row r="67" spans="1:1">
      <c r="A67" s="363" t="s">
        <v>479</v>
      </c>
    </row>
    <row r="68" spans="1:1">
      <c r="A68" s="363" t="s">
        <v>480</v>
      </c>
    </row>
    <row r="69" spans="1:1">
      <c r="A69" s="363"/>
    </row>
    <row r="70" spans="1:1">
      <c r="A70" s="363" t="s">
        <v>481</v>
      </c>
    </row>
    <row r="71" spans="1:1">
      <c r="A71" s="363" t="s">
        <v>482</v>
      </c>
    </row>
    <row r="72" spans="1:1">
      <c r="A72" s="363" t="s">
        <v>483</v>
      </c>
    </row>
    <row r="73" spans="1:1">
      <c r="A73" s="363"/>
    </row>
    <row r="74" spans="1:1">
      <c r="A74" s="364" t="str">
        <f>CONCATENATE("What if the ",inputPrYr!C5-2," financial records have been closed?")</f>
        <v>What if the 2012 financial records have been closed?</v>
      </c>
    </row>
    <row r="76" spans="1:1">
      <c r="A76" s="363" t="s">
        <v>484</v>
      </c>
    </row>
    <row r="77" spans="1:1">
      <c r="A77" s="363" t="str">
        <f>CONCATENATE("(i.e. an audit for ",inputPrYr!C5-2," has been completed, or the ",inputPrYr!C5)</f>
        <v>(i.e. an audit for 2012 has been completed, or the 2014</v>
      </c>
    </row>
    <row r="78" spans="1:1">
      <c r="A78" s="363" t="s">
        <v>485</v>
      </c>
    </row>
    <row r="79" spans="1:1">
      <c r="A79" s="363" t="s">
        <v>486</v>
      </c>
    </row>
    <row r="80" spans="1:1">
      <c r="A80" s="363"/>
    </row>
    <row r="81" spans="1:1">
      <c r="A81" s="363" t="s">
        <v>487</v>
      </c>
    </row>
    <row r="82" spans="1:1">
      <c r="A82" s="363" t="s">
        <v>488</v>
      </c>
    </row>
    <row r="83" spans="1:1">
      <c r="A83" s="363" t="s">
        <v>489</v>
      </c>
    </row>
    <row r="84" spans="1:1">
      <c r="A84" s="363"/>
    </row>
    <row r="85" spans="1:1">
      <c r="A85" s="363" t="s">
        <v>490</v>
      </c>
    </row>
  </sheetData>
  <sheetProtection sheet="1"/>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dimension ref="A1:J27"/>
  <sheetViews>
    <sheetView workbookViewId="0">
      <selection activeCell="B7" sqref="B7"/>
    </sheetView>
  </sheetViews>
  <sheetFormatPr defaultRowHeight="15"/>
  <cols>
    <col min="1" max="1" width="13.77734375" customWidth="1"/>
    <col min="2" max="2" width="16.109375" customWidth="1"/>
  </cols>
  <sheetData>
    <row r="1" spans="1:10">
      <c r="J1" s="615" t="s">
        <v>876</v>
      </c>
    </row>
    <row r="2" spans="1:10" ht="54" customHeight="1">
      <c r="A2" s="760" t="s">
        <v>421</v>
      </c>
      <c r="B2" s="761"/>
      <c r="C2" s="761"/>
      <c r="D2" s="761"/>
      <c r="E2" s="761"/>
      <c r="F2" s="761"/>
      <c r="J2" s="615" t="s">
        <v>877</v>
      </c>
    </row>
    <row r="3" spans="1:10" ht="15.75">
      <c r="A3" s="1" t="s">
        <v>878</v>
      </c>
      <c r="B3" s="616" t="s">
        <v>1111</v>
      </c>
      <c r="C3" s="616"/>
      <c r="J3" s="615" t="s">
        <v>879</v>
      </c>
    </row>
    <row r="4" spans="1:10" ht="15.75">
      <c r="A4" s="1"/>
      <c r="B4" s="617"/>
      <c r="J4" s="615" t="s">
        <v>880</v>
      </c>
    </row>
    <row r="5" spans="1:10" ht="15.75">
      <c r="A5" s="1" t="s">
        <v>766</v>
      </c>
      <c r="B5" s="616" t="s">
        <v>243</v>
      </c>
      <c r="J5" s="615" t="s">
        <v>881</v>
      </c>
    </row>
    <row r="6" spans="1:10" ht="15.75">
      <c r="A6" s="354"/>
      <c r="B6" s="354"/>
      <c r="C6" s="354"/>
      <c r="D6" s="355" t="s">
        <v>882</v>
      </c>
      <c r="E6" s="354"/>
      <c r="F6" s="354"/>
      <c r="J6" s="615" t="s">
        <v>883</v>
      </c>
    </row>
    <row r="7" spans="1:10" ht="15.75">
      <c r="A7" s="355" t="s">
        <v>422</v>
      </c>
      <c r="B7" s="616" t="s">
        <v>1150</v>
      </c>
      <c r="C7" s="356"/>
      <c r="D7" s="355" t="str">
        <f ca="1">IF(B7="","",CONCATENATE("Latest date for notice to be published in your newspaper: ",G18," ",G22,", ",G23))</f>
        <v>Latest date for notice to be published in your newspaper: September 28, 2013</v>
      </c>
      <c r="E7" s="354"/>
      <c r="F7" s="354"/>
      <c r="J7" s="615" t="s">
        <v>884</v>
      </c>
    </row>
    <row r="8" spans="1:10" ht="15.75">
      <c r="A8" s="355"/>
      <c r="B8" s="357"/>
      <c r="C8" s="358"/>
      <c r="D8" s="355"/>
      <c r="E8" s="354"/>
      <c r="F8" s="354"/>
      <c r="J8" s="615" t="s">
        <v>885</v>
      </c>
    </row>
    <row r="9" spans="1:10" ht="15.75">
      <c r="A9" s="355" t="s">
        <v>423</v>
      </c>
      <c r="B9" s="616" t="s">
        <v>1135</v>
      </c>
      <c r="C9" s="359"/>
      <c r="D9" s="355"/>
      <c r="E9" s="354"/>
      <c r="F9" s="354"/>
      <c r="J9" s="615" t="s">
        <v>886</v>
      </c>
    </row>
    <row r="10" spans="1:10" ht="15.75">
      <c r="A10" s="355"/>
      <c r="B10" s="355"/>
      <c r="C10" s="355"/>
      <c r="D10" s="355"/>
      <c r="E10" s="354"/>
      <c r="F10" s="354"/>
      <c r="J10" s="615" t="s">
        <v>887</v>
      </c>
    </row>
    <row r="11" spans="1:10" ht="15.75">
      <c r="A11" s="355" t="s">
        <v>424</v>
      </c>
      <c r="B11" s="618" t="s">
        <v>429</v>
      </c>
      <c r="C11" s="618"/>
      <c r="D11" s="618"/>
      <c r="E11" s="619"/>
      <c r="F11" s="354"/>
      <c r="J11" s="615" t="s">
        <v>888</v>
      </c>
    </row>
    <row r="12" spans="1:10" ht="15.75">
      <c r="A12" s="355"/>
      <c r="B12" s="355"/>
      <c r="C12" s="355"/>
      <c r="D12" s="355"/>
      <c r="E12" s="354"/>
      <c r="F12" s="354"/>
      <c r="J12" s="615" t="s">
        <v>889</v>
      </c>
    </row>
    <row r="13" spans="1:10" ht="15.75">
      <c r="A13" s="355"/>
      <c r="B13" s="355"/>
      <c r="C13" s="355"/>
      <c r="D13" s="355"/>
      <c r="E13" s="354"/>
      <c r="F13" s="354"/>
    </row>
    <row r="14" spans="1:10" ht="15.75">
      <c r="A14" s="355" t="s">
        <v>425</v>
      </c>
      <c r="B14" s="618" t="s">
        <v>429</v>
      </c>
      <c r="C14" s="618"/>
      <c r="D14" s="618"/>
      <c r="E14" s="619"/>
      <c r="F14" s="354"/>
    </row>
    <row r="17" spans="1:7" ht="15.75">
      <c r="A17" s="762" t="s">
        <v>426</v>
      </c>
      <c r="B17" s="762"/>
      <c r="C17" s="355"/>
      <c r="D17" s="355"/>
      <c r="E17" s="355"/>
      <c r="F17" s="354"/>
    </row>
    <row r="18" spans="1:7" ht="15.75">
      <c r="A18" s="355"/>
      <c r="B18" s="355"/>
      <c r="C18" s="355"/>
      <c r="D18" s="355"/>
      <c r="E18" s="355"/>
      <c r="F18" s="354"/>
      <c r="G18" s="615" t="str">
        <f ca="1">IF(B7="","",INDIRECT(G19))</f>
        <v>September</v>
      </c>
    </row>
    <row r="19" spans="1:7" ht="15.75">
      <c r="A19" s="355" t="s">
        <v>766</v>
      </c>
      <c r="B19" s="355" t="s">
        <v>767</v>
      </c>
      <c r="C19" s="355"/>
      <c r="D19" s="355"/>
      <c r="E19" s="355"/>
      <c r="F19" s="354"/>
      <c r="G19" s="620" t="str">
        <f>IF(B7="","",CONCATENATE("J",G21))</f>
        <v>J9</v>
      </c>
    </row>
    <row r="20" spans="1:7" ht="15.75">
      <c r="A20" s="355"/>
      <c r="B20" s="355"/>
      <c r="C20" s="355"/>
      <c r="D20" s="355"/>
      <c r="E20" s="355"/>
      <c r="F20" s="354"/>
      <c r="G20" s="621">
        <f>B7-10</f>
        <v>41545</v>
      </c>
    </row>
    <row r="21" spans="1:7" ht="15.75">
      <c r="A21" s="355" t="s">
        <v>422</v>
      </c>
      <c r="B21" s="357" t="s">
        <v>427</v>
      </c>
      <c r="C21" s="355"/>
      <c r="D21" s="355"/>
      <c r="E21" s="355"/>
      <c r="G21" s="622">
        <f>IF(B7="","",MONTH(G20))</f>
        <v>9</v>
      </c>
    </row>
    <row r="22" spans="1:7" ht="15.75">
      <c r="A22" s="355"/>
      <c r="B22" s="355"/>
      <c r="C22" s="355"/>
      <c r="D22" s="355"/>
      <c r="E22" s="355"/>
      <c r="G22" s="623">
        <f>IF(B7="","",DAY(G20))</f>
        <v>28</v>
      </c>
    </row>
    <row r="23" spans="1:7" ht="15.75">
      <c r="A23" s="355" t="s">
        <v>423</v>
      </c>
      <c r="B23" s="355" t="s">
        <v>428</v>
      </c>
      <c r="C23" s="355"/>
      <c r="D23" s="355"/>
      <c r="E23" s="355"/>
      <c r="G23" s="624">
        <f>IF(B7="","",YEAR(G20))</f>
        <v>2013</v>
      </c>
    </row>
    <row r="24" spans="1:7" ht="15.75">
      <c r="A24" s="355"/>
      <c r="B24" s="355"/>
      <c r="C24" s="355"/>
      <c r="D24" s="355"/>
      <c r="E24" s="355"/>
    </row>
    <row r="25" spans="1:7" ht="15.75">
      <c r="A25" s="355" t="s">
        <v>424</v>
      </c>
      <c r="B25" s="355" t="s">
        <v>429</v>
      </c>
      <c r="C25" s="355"/>
      <c r="D25" s="355"/>
      <c r="E25" s="355"/>
    </row>
    <row r="26" spans="1:7" ht="15.75">
      <c r="A26" s="355"/>
      <c r="B26" s="355"/>
      <c r="C26" s="355"/>
      <c r="D26" s="355"/>
      <c r="E26" s="355"/>
    </row>
    <row r="27" spans="1:7" ht="15.75">
      <c r="A27" s="355" t="s">
        <v>425</v>
      </c>
      <c r="B27" s="355" t="s">
        <v>429</v>
      </c>
      <c r="C27" s="355"/>
      <c r="D27" s="355"/>
      <c r="E27" s="355"/>
    </row>
  </sheetData>
  <sheetProtection sheet="1"/>
  <mergeCells count="2">
    <mergeCell ref="A2:F2"/>
    <mergeCell ref="A17:B17"/>
  </mergeCells>
  <pageMargins left="0.7" right="0.7" top="0.75" bottom="0.75" header="0.3" footer="0.3"/>
  <pageSetup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J109"/>
  <sheetViews>
    <sheetView topLeftCell="A22" workbookViewId="0">
      <selection activeCell="A34" sqref="A34"/>
    </sheetView>
  </sheetViews>
  <sheetFormatPr defaultRowHeight="15"/>
  <cols>
    <col min="1" max="1" width="71.33203125" customWidth="1"/>
  </cols>
  <sheetData>
    <row r="3" spans="1:10">
      <c r="A3" s="362" t="s">
        <v>491</v>
      </c>
      <c r="B3" s="362"/>
      <c r="C3" s="362"/>
      <c r="D3" s="362"/>
      <c r="E3" s="362"/>
      <c r="F3" s="362"/>
      <c r="G3" s="362"/>
      <c r="H3" s="365"/>
      <c r="I3" s="365"/>
      <c r="J3" s="365"/>
    </row>
    <row r="5" spans="1:10">
      <c r="A5" s="363" t="s">
        <v>492</v>
      </c>
    </row>
    <row r="6" spans="1:10">
      <c r="A6" t="str">
        <f>CONCATENATE(inputPrYr!C5-2," expenditures show that you finished the year with a ")</f>
        <v xml:space="preserve">2012 expenditures show that you finished the year with a </v>
      </c>
    </row>
    <row r="7" spans="1:10">
      <c r="A7" t="s">
        <v>493</v>
      </c>
    </row>
    <row r="9" spans="1:10">
      <c r="A9" t="s">
        <v>494</v>
      </c>
    </row>
    <row r="10" spans="1:10">
      <c r="A10" t="s">
        <v>495</v>
      </c>
    </row>
    <row r="11" spans="1:10">
      <c r="A11" t="s">
        <v>496</v>
      </c>
    </row>
    <row r="13" spans="1:10">
      <c r="A13" s="364" t="s">
        <v>497</v>
      </c>
    </row>
    <row r="14" spans="1:10">
      <c r="A14" s="364"/>
    </row>
    <row r="15" spans="1:10">
      <c r="A15" s="363" t="s">
        <v>498</v>
      </c>
    </row>
    <row r="16" spans="1:10">
      <c r="A16" s="363" t="s">
        <v>499</v>
      </c>
    </row>
    <row r="17" spans="1:1">
      <c r="A17" s="363" t="s">
        <v>500</v>
      </c>
    </row>
    <row r="18" spans="1:1">
      <c r="A18" s="363"/>
    </row>
    <row r="19" spans="1:1">
      <c r="A19" s="364" t="s">
        <v>501</v>
      </c>
    </row>
    <row r="20" spans="1:1">
      <c r="A20" s="364"/>
    </row>
    <row r="21" spans="1:1">
      <c r="A21" s="363" t="s">
        <v>502</v>
      </c>
    </row>
    <row r="22" spans="1:1">
      <c r="A22" s="363" t="s">
        <v>503</v>
      </c>
    </row>
    <row r="23" spans="1:1">
      <c r="A23" s="363" t="s">
        <v>504</v>
      </c>
    </row>
    <row r="24" spans="1:1">
      <c r="A24" s="363"/>
    </row>
    <row r="25" spans="1:1">
      <c r="A25" s="364" t="s">
        <v>505</v>
      </c>
    </row>
    <row r="26" spans="1:1">
      <c r="A26" s="364"/>
    </row>
    <row r="27" spans="1:1">
      <c r="A27" s="363" t="s">
        <v>506</v>
      </c>
    </row>
    <row r="28" spans="1:1">
      <c r="A28" s="363" t="s">
        <v>507</v>
      </c>
    </row>
    <row r="29" spans="1:1">
      <c r="A29" s="363" t="s">
        <v>508</v>
      </c>
    </row>
    <row r="30" spans="1:1">
      <c r="A30" s="363"/>
    </row>
    <row r="31" spans="1:1">
      <c r="A31" s="364" t="s">
        <v>509</v>
      </c>
    </row>
    <row r="32" spans="1:1">
      <c r="A32" s="364"/>
    </row>
    <row r="33" spans="1:8">
      <c r="A33" s="363" t="str">
        <f>CONCATENATE("If your financial records for ",inputPrYr!C5-2," are not closed")</f>
        <v>If your financial records for 2012 are not closed</v>
      </c>
      <c r="B33" s="363"/>
      <c r="C33" s="363"/>
      <c r="D33" s="363"/>
      <c r="E33" s="363"/>
      <c r="F33" s="363"/>
      <c r="G33" s="363"/>
      <c r="H33" s="363"/>
    </row>
    <row r="34" spans="1:8">
      <c r="A34" s="363" t="str">
        <f>CONCATENATE("(i.e. an audit has not been completed, or the ",inputPrYr!C5," adopted ")</f>
        <v xml:space="preserve">(i.e. an audit has not been completed, or the 2014 adopted </v>
      </c>
      <c r="B34" s="363"/>
      <c r="C34" s="363"/>
      <c r="D34" s="363"/>
      <c r="E34" s="363"/>
      <c r="F34" s="363"/>
      <c r="G34" s="363"/>
      <c r="H34" s="363"/>
    </row>
    <row r="35" spans="1:8">
      <c r="A35" s="363" t="s">
        <v>510</v>
      </c>
      <c r="B35" s="363"/>
      <c r="C35" s="363"/>
      <c r="D35" s="363"/>
      <c r="E35" s="363"/>
      <c r="F35" s="363"/>
      <c r="G35" s="363"/>
      <c r="H35" s="363"/>
    </row>
    <row r="36" spans="1:8">
      <c r="A36" s="363" t="s">
        <v>511</v>
      </c>
      <c r="B36" s="363"/>
      <c r="C36" s="363"/>
      <c r="D36" s="363"/>
      <c r="E36" s="363"/>
      <c r="F36" s="363"/>
      <c r="G36" s="363"/>
      <c r="H36" s="363"/>
    </row>
    <row r="37" spans="1:8">
      <c r="A37" s="363" t="s">
        <v>512</v>
      </c>
      <c r="B37" s="363"/>
      <c r="C37" s="363"/>
      <c r="D37" s="363"/>
      <c r="E37" s="363"/>
      <c r="F37" s="363"/>
      <c r="G37" s="363"/>
      <c r="H37" s="363"/>
    </row>
    <row r="38" spans="1:8">
      <c r="A38" s="363" t="s">
        <v>513</v>
      </c>
      <c r="B38" s="363"/>
      <c r="C38" s="363"/>
      <c r="D38" s="363"/>
      <c r="E38" s="363"/>
      <c r="F38" s="363"/>
      <c r="G38" s="363"/>
      <c r="H38" s="363"/>
    </row>
    <row r="39" spans="1:8">
      <c r="A39" s="363" t="s">
        <v>514</v>
      </c>
      <c r="B39" s="363"/>
      <c r="C39" s="363"/>
      <c r="D39" s="363"/>
      <c r="E39" s="363"/>
      <c r="F39" s="363"/>
      <c r="G39" s="363"/>
      <c r="H39" s="363"/>
    </row>
    <row r="40" spans="1:8">
      <c r="A40" s="363"/>
      <c r="B40" s="363"/>
      <c r="C40" s="363"/>
      <c r="D40" s="363"/>
      <c r="E40" s="363"/>
      <c r="F40" s="363"/>
      <c r="G40" s="363"/>
      <c r="H40" s="363"/>
    </row>
    <row r="41" spans="1:8">
      <c r="A41" s="363" t="s">
        <v>515</v>
      </c>
      <c r="B41" s="363"/>
      <c r="C41" s="363"/>
      <c r="D41" s="363"/>
      <c r="E41" s="363"/>
      <c r="F41" s="363"/>
      <c r="G41" s="363"/>
      <c r="H41" s="363"/>
    </row>
    <row r="42" spans="1:8">
      <c r="A42" s="363" t="s">
        <v>516</v>
      </c>
      <c r="B42" s="363"/>
      <c r="C42" s="363"/>
      <c r="D42" s="363"/>
      <c r="E42" s="363"/>
      <c r="F42" s="363"/>
      <c r="G42" s="363"/>
      <c r="H42" s="363"/>
    </row>
    <row r="43" spans="1:8">
      <c r="A43" s="363" t="s">
        <v>517</v>
      </c>
      <c r="B43" s="363"/>
      <c r="C43" s="363"/>
      <c r="D43" s="363"/>
      <c r="E43" s="363"/>
      <c r="F43" s="363"/>
      <c r="G43" s="363"/>
      <c r="H43" s="363"/>
    </row>
    <row r="44" spans="1:8">
      <c r="A44" s="363" t="s">
        <v>518</v>
      </c>
      <c r="B44" s="363"/>
      <c r="C44" s="363"/>
      <c r="D44" s="363"/>
      <c r="E44" s="363"/>
      <c r="F44" s="363"/>
      <c r="G44" s="363"/>
      <c r="H44" s="363"/>
    </row>
    <row r="45" spans="1:8">
      <c r="A45" s="363"/>
      <c r="B45" s="363"/>
      <c r="C45" s="363"/>
      <c r="D45" s="363"/>
      <c r="E45" s="363"/>
      <c r="F45" s="363"/>
      <c r="G45" s="363"/>
      <c r="H45" s="363"/>
    </row>
    <row r="46" spans="1:8">
      <c r="A46" s="363" t="s">
        <v>519</v>
      </c>
      <c r="B46" s="363"/>
      <c r="C46" s="363"/>
      <c r="D46" s="363"/>
      <c r="E46" s="363"/>
      <c r="F46" s="363"/>
      <c r="G46" s="363"/>
      <c r="H46" s="363"/>
    </row>
    <row r="47" spans="1:8">
      <c r="A47" s="363" t="s">
        <v>520</v>
      </c>
      <c r="B47" s="363"/>
      <c r="C47" s="363"/>
      <c r="D47" s="363"/>
      <c r="E47" s="363"/>
      <c r="F47" s="363"/>
      <c r="G47" s="363"/>
      <c r="H47" s="363"/>
    </row>
    <row r="48" spans="1:8">
      <c r="A48" s="363" t="s">
        <v>521</v>
      </c>
      <c r="B48" s="363"/>
      <c r="C48" s="363"/>
      <c r="D48" s="363"/>
      <c r="E48" s="363"/>
      <c r="F48" s="363"/>
      <c r="G48" s="363"/>
      <c r="H48" s="363"/>
    </row>
    <row r="49" spans="1:8">
      <c r="A49" s="363" t="s">
        <v>522</v>
      </c>
      <c r="B49" s="363"/>
      <c r="C49" s="363"/>
      <c r="D49" s="363"/>
      <c r="E49" s="363"/>
      <c r="F49" s="363"/>
      <c r="G49" s="363"/>
      <c r="H49" s="363"/>
    </row>
    <row r="50" spans="1:8">
      <c r="A50" s="363" t="s">
        <v>523</v>
      </c>
      <c r="B50" s="363"/>
      <c r="C50" s="363"/>
      <c r="D50" s="363"/>
      <c r="E50" s="363"/>
      <c r="F50" s="363"/>
      <c r="G50" s="363"/>
      <c r="H50" s="363"/>
    </row>
    <row r="51" spans="1:8">
      <c r="A51" s="363"/>
      <c r="B51" s="363"/>
      <c r="C51" s="363"/>
      <c r="D51" s="363"/>
      <c r="E51" s="363"/>
      <c r="F51" s="363"/>
      <c r="G51" s="363"/>
      <c r="H51" s="363"/>
    </row>
    <row r="52" spans="1:8">
      <c r="A52" s="364" t="s">
        <v>524</v>
      </c>
      <c r="B52" s="364"/>
      <c r="C52" s="364"/>
      <c r="D52" s="364"/>
      <c r="E52" s="364"/>
      <c r="F52" s="364"/>
      <c r="G52" s="364"/>
      <c r="H52" s="363"/>
    </row>
    <row r="53" spans="1:8">
      <c r="A53" s="364" t="s">
        <v>525</v>
      </c>
      <c r="B53" s="364"/>
      <c r="C53" s="364"/>
      <c r="D53" s="364"/>
      <c r="E53" s="364"/>
      <c r="F53" s="364"/>
      <c r="G53" s="364"/>
      <c r="H53" s="363"/>
    </row>
    <row r="54" spans="1:8">
      <c r="A54" s="363"/>
      <c r="B54" s="363"/>
      <c r="C54" s="363"/>
      <c r="D54" s="363"/>
      <c r="E54" s="363"/>
      <c r="F54" s="363"/>
      <c r="G54" s="363"/>
      <c r="H54" s="363"/>
    </row>
    <row r="55" spans="1:8">
      <c r="A55" s="363" t="s">
        <v>526</v>
      </c>
      <c r="B55" s="363"/>
      <c r="C55" s="363"/>
      <c r="D55" s="363"/>
      <c r="E55" s="363"/>
      <c r="F55" s="363"/>
      <c r="G55" s="363"/>
      <c r="H55" s="363"/>
    </row>
    <row r="56" spans="1:8">
      <c r="A56" s="363" t="s">
        <v>527</v>
      </c>
      <c r="B56" s="363"/>
      <c r="C56" s="363"/>
      <c r="D56" s="363"/>
      <c r="E56" s="363"/>
      <c r="F56" s="363"/>
      <c r="G56" s="363"/>
      <c r="H56" s="363"/>
    </row>
    <row r="57" spans="1:8">
      <c r="A57" s="363" t="s">
        <v>528</v>
      </c>
      <c r="B57" s="363"/>
      <c r="C57" s="363"/>
      <c r="D57" s="363"/>
      <c r="E57" s="363"/>
      <c r="F57" s="363"/>
      <c r="G57" s="363"/>
      <c r="H57" s="363"/>
    </row>
    <row r="58" spans="1:8">
      <c r="A58" s="363" t="s">
        <v>529</v>
      </c>
      <c r="B58" s="363"/>
      <c r="C58" s="363"/>
      <c r="D58" s="363"/>
      <c r="E58" s="363"/>
      <c r="F58" s="363"/>
      <c r="G58" s="363"/>
      <c r="H58" s="363"/>
    </row>
    <row r="59" spans="1:8">
      <c r="A59" s="363"/>
      <c r="B59" s="363"/>
      <c r="C59" s="363"/>
      <c r="D59" s="363"/>
      <c r="E59" s="363"/>
      <c r="F59" s="363"/>
      <c r="G59" s="363"/>
      <c r="H59" s="363"/>
    </row>
    <row r="60" spans="1:8">
      <c r="A60" s="363" t="s">
        <v>530</v>
      </c>
      <c r="B60" s="363"/>
      <c r="C60" s="363"/>
      <c r="D60" s="363"/>
      <c r="E60" s="363"/>
      <c r="F60" s="363"/>
      <c r="G60" s="363"/>
      <c r="H60" s="363"/>
    </row>
    <row r="61" spans="1:8">
      <c r="A61" s="363" t="s">
        <v>531</v>
      </c>
      <c r="B61" s="363"/>
      <c r="C61" s="363"/>
      <c r="D61" s="363"/>
      <c r="E61" s="363"/>
      <c r="F61" s="363"/>
      <c r="G61" s="363"/>
      <c r="H61" s="363"/>
    </row>
    <row r="62" spans="1:8">
      <c r="A62" s="363" t="s">
        <v>532</v>
      </c>
      <c r="B62" s="363"/>
      <c r="C62" s="363"/>
      <c r="D62" s="363"/>
      <c r="E62" s="363"/>
      <c r="F62" s="363"/>
      <c r="G62" s="363"/>
      <c r="H62" s="363"/>
    </row>
    <row r="63" spans="1:8">
      <c r="A63" s="363" t="s">
        <v>533</v>
      </c>
      <c r="B63" s="363"/>
      <c r="C63" s="363"/>
      <c r="D63" s="363"/>
      <c r="E63" s="363"/>
      <c r="F63" s="363"/>
      <c r="G63" s="363"/>
      <c r="H63" s="363"/>
    </row>
    <row r="64" spans="1:8">
      <c r="A64" s="363" t="s">
        <v>534</v>
      </c>
      <c r="B64" s="363"/>
      <c r="C64" s="363"/>
      <c r="D64" s="363"/>
      <c r="E64" s="363"/>
      <c r="F64" s="363"/>
      <c r="G64" s="363"/>
      <c r="H64" s="363"/>
    </row>
    <row r="65" spans="1:8">
      <c r="A65" s="363" t="s">
        <v>535</v>
      </c>
      <c r="B65" s="363"/>
      <c r="C65" s="363"/>
      <c r="D65" s="363"/>
      <c r="E65" s="363"/>
      <c r="F65" s="363"/>
      <c r="G65" s="363"/>
      <c r="H65" s="363"/>
    </row>
    <row r="66" spans="1:8">
      <c r="A66" s="363"/>
      <c r="B66" s="363"/>
      <c r="C66" s="363"/>
      <c r="D66" s="363"/>
      <c r="E66" s="363"/>
      <c r="F66" s="363"/>
      <c r="G66" s="363"/>
      <c r="H66" s="363"/>
    </row>
    <row r="67" spans="1:8">
      <c r="A67" s="363" t="s">
        <v>536</v>
      </c>
      <c r="B67" s="363"/>
      <c r="C67" s="363"/>
      <c r="D67" s="363"/>
      <c r="E67" s="363"/>
      <c r="F67" s="363"/>
      <c r="G67" s="363"/>
      <c r="H67" s="363"/>
    </row>
    <row r="68" spans="1:8">
      <c r="A68" s="363" t="s">
        <v>537</v>
      </c>
      <c r="B68" s="363"/>
      <c r="C68" s="363"/>
      <c r="D68" s="363"/>
      <c r="E68" s="363"/>
      <c r="F68" s="363"/>
      <c r="G68" s="363"/>
      <c r="H68" s="363"/>
    </row>
    <row r="69" spans="1:8">
      <c r="A69" s="363" t="s">
        <v>538</v>
      </c>
      <c r="B69" s="363"/>
      <c r="C69" s="363"/>
      <c r="D69" s="363"/>
      <c r="E69" s="363"/>
      <c r="F69" s="363"/>
      <c r="G69" s="363"/>
      <c r="H69" s="363"/>
    </row>
    <row r="70" spans="1:8">
      <c r="A70" s="363" t="s">
        <v>539</v>
      </c>
      <c r="B70" s="363"/>
      <c r="C70" s="363"/>
      <c r="D70" s="363"/>
      <c r="E70" s="363"/>
      <c r="F70" s="363"/>
      <c r="G70" s="363"/>
      <c r="H70" s="363"/>
    </row>
    <row r="71" spans="1:8">
      <c r="A71" s="363" t="s">
        <v>540</v>
      </c>
      <c r="B71" s="363"/>
      <c r="C71" s="363"/>
      <c r="D71" s="363"/>
      <c r="E71" s="363"/>
      <c r="F71" s="363"/>
      <c r="G71" s="363"/>
      <c r="H71" s="363"/>
    </row>
    <row r="72" spans="1:8">
      <c r="A72" s="363" t="s">
        <v>541</v>
      </c>
      <c r="B72" s="363"/>
      <c r="C72" s="363"/>
      <c r="D72" s="363"/>
      <c r="E72" s="363"/>
      <c r="F72" s="363"/>
      <c r="G72" s="363"/>
      <c r="H72" s="363"/>
    </row>
    <row r="73" spans="1:8">
      <c r="A73" s="363" t="s">
        <v>542</v>
      </c>
      <c r="B73" s="363"/>
      <c r="C73" s="363"/>
      <c r="D73" s="363"/>
      <c r="E73" s="363"/>
      <c r="F73" s="363"/>
      <c r="G73" s="363"/>
      <c r="H73" s="363"/>
    </row>
    <row r="74" spans="1:8">
      <c r="A74" s="363"/>
      <c r="B74" s="363"/>
      <c r="C74" s="363"/>
      <c r="D74" s="363"/>
      <c r="E74" s="363"/>
      <c r="F74" s="363"/>
      <c r="G74" s="363"/>
      <c r="H74" s="363"/>
    </row>
    <row r="75" spans="1:8">
      <c r="A75" s="363" t="s">
        <v>543</v>
      </c>
      <c r="B75" s="363"/>
      <c r="C75" s="363"/>
      <c r="D75" s="363"/>
      <c r="E75" s="363"/>
      <c r="F75" s="363"/>
      <c r="G75" s="363"/>
      <c r="H75" s="363"/>
    </row>
    <row r="76" spans="1:8">
      <c r="A76" s="363" t="s">
        <v>544</v>
      </c>
      <c r="B76" s="363"/>
      <c r="C76" s="363"/>
      <c r="D76" s="363"/>
      <c r="E76" s="363"/>
      <c r="F76" s="363"/>
      <c r="G76" s="363"/>
      <c r="H76" s="363"/>
    </row>
    <row r="77" spans="1:8">
      <c r="A77" s="363" t="s">
        <v>545</v>
      </c>
      <c r="B77" s="363"/>
      <c r="C77" s="363"/>
      <c r="D77" s="363"/>
      <c r="E77" s="363"/>
      <c r="F77" s="363"/>
      <c r="G77" s="363"/>
      <c r="H77" s="363"/>
    </row>
    <row r="78" spans="1:8">
      <c r="A78" s="363"/>
      <c r="B78" s="363"/>
      <c r="C78" s="363"/>
      <c r="D78" s="363"/>
      <c r="E78" s="363"/>
      <c r="F78" s="363"/>
      <c r="G78" s="363"/>
      <c r="H78" s="363"/>
    </row>
    <row r="79" spans="1:8">
      <c r="A79" s="363" t="s">
        <v>490</v>
      </c>
    </row>
    <row r="80" spans="1:8">
      <c r="A80" s="364"/>
    </row>
    <row r="81" spans="1:1">
      <c r="A81" s="363"/>
    </row>
    <row r="82" spans="1:1">
      <c r="A82" s="363"/>
    </row>
    <row r="83" spans="1:1">
      <c r="A83" s="363"/>
    </row>
    <row r="84" spans="1:1">
      <c r="A84" s="363"/>
    </row>
    <row r="85" spans="1:1">
      <c r="A85" s="363"/>
    </row>
    <row r="86" spans="1:1">
      <c r="A86" s="363"/>
    </row>
    <row r="87" spans="1:1">
      <c r="A87" s="363"/>
    </row>
    <row r="88" spans="1:1">
      <c r="A88" s="363"/>
    </row>
    <row r="89" spans="1:1">
      <c r="A89" s="363"/>
    </row>
    <row r="90" spans="1:1">
      <c r="A90" s="363"/>
    </row>
    <row r="91" spans="1:1">
      <c r="A91" s="363"/>
    </row>
    <row r="92" spans="1:1">
      <c r="A92" s="363"/>
    </row>
    <row r="93" spans="1:1">
      <c r="A93" s="363"/>
    </row>
    <row r="94" spans="1:1">
      <c r="A94" s="363"/>
    </row>
    <row r="95" spans="1:1">
      <c r="A95" s="363"/>
    </row>
    <row r="96" spans="1:1">
      <c r="A96" s="363"/>
    </row>
    <row r="97" spans="1:1">
      <c r="A97" s="363"/>
    </row>
    <row r="98" spans="1:1">
      <c r="A98" s="363"/>
    </row>
    <row r="99" spans="1:1">
      <c r="A99" s="363"/>
    </row>
    <row r="100" spans="1:1">
      <c r="A100" s="363"/>
    </row>
    <row r="101" spans="1:1">
      <c r="A101" s="363"/>
    </row>
    <row r="103" spans="1:1">
      <c r="A103" s="363"/>
    </row>
    <row r="104" spans="1:1">
      <c r="A104" s="363"/>
    </row>
    <row r="105" spans="1:1">
      <c r="A105" s="363"/>
    </row>
    <row r="107" spans="1:1">
      <c r="A107" s="364"/>
    </row>
    <row r="108" spans="1:1">
      <c r="A108" s="364"/>
    </row>
    <row r="109" spans="1:1">
      <c r="A109" s="364"/>
    </row>
  </sheetData>
  <sheetProtection sheet="1"/>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sheetPr>
    <tabColor rgb="FFFF0000"/>
  </sheetPr>
  <dimension ref="A3:L75"/>
  <sheetViews>
    <sheetView workbookViewId="0">
      <selection activeCell="A3" sqref="A3"/>
    </sheetView>
  </sheetViews>
  <sheetFormatPr defaultRowHeight="15"/>
  <cols>
    <col min="1" max="1" width="71.33203125" customWidth="1"/>
  </cols>
  <sheetData>
    <row r="3" spans="1:12">
      <c r="A3" s="362" t="s">
        <v>546</v>
      </c>
      <c r="B3" s="362"/>
      <c r="C3" s="362"/>
      <c r="D3" s="362"/>
      <c r="E3" s="362"/>
      <c r="F3" s="362"/>
      <c r="G3" s="362"/>
      <c r="H3" s="362"/>
      <c r="I3" s="362"/>
      <c r="J3" s="362"/>
      <c r="K3" s="362"/>
      <c r="L3" s="362"/>
    </row>
    <row r="4" spans="1:12">
      <c r="A4" s="362"/>
      <c r="B4" s="362"/>
      <c r="C4" s="362"/>
      <c r="D4" s="362"/>
      <c r="E4" s="362"/>
      <c r="F4" s="362"/>
      <c r="G4" s="362"/>
      <c r="H4" s="362"/>
      <c r="I4" s="362"/>
      <c r="J4" s="362"/>
      <c r="K4" s="362"/>
      <c r="L4" s="362"/>
    </row>
    <row r="5" spans="1:12">
      <c r="A5" s="363" t="s">
        <v>435</v>
      </c>
      <c r="I5" s="362"/>
      <c r="J5" s="362"/>
      <c r="K5" s="362"/>
      <c r="L5" s="362"/>
    </row>
    <row r="6" spans="1:12">
      <c r="A6" s="363" t="str">
        <f>CONCATENATE("estimated ",inputPrYr!C5-1," 'total expenditures' exceed your ",inputPrYr!C5-1,"")</f>
        <v>estimated 2013 'total expenditures' exceed your 2013</v>
      </c>
      <c r="I6" s="362"/>
      <c r="J6" s="362"/>
      <c r="K6" s="362"/>
      <c r="L6" s="362"/>
    </row>
    <row r="7" spans="1:12">
      <c r="A7" s="366" t="s">
        <v>547</v>
      </c>
      <c r="I7" s="362"/>
      <c r="J7" s="362"/>
      <c r="K7" s="362"/>
      <c r="L7" s="362"/>
    </row>
    <row r="8" spans="1:12">
      <c r="A8" s="363"/>
      <c r="I8" s="362"/>
      <c r="J8" s="362"/>
      <c r="K8" s="362"/>
      <c r="L8" s="362"/>
    </row>
    <row r="9" spans="1:12">
      <c r="A9" s="363" t="s">
        <v>548</v>
      </c>
      <c r="I9" s="362"/>
      <c r="J9" s="362"/>
      <c r="K9" s="362"/>
      <c r="L9" s="362"/>
    </row>
    <row r="10" spans="1:12">
      <c r="A10" s="363" t="s">
        <v>549</v>
      </c>
      <c r="I10" s="362"/>
      <c r="J10" s="362"/>
      <c r="K10" s="362"/>
      <c r="L10" s="362"/>
    </row>
    <row r="11" spans="1:12">
      <c r="A11" s="363" t="s">
        <v>550</v>
      </c>
      <c r="I11" s="362"/>
      <c r="J11" s="362"/>
      <c r="K11" s="362"/>
      <c r="L11" s="362"/>
    </row>
    <row r="12" spans="1:12">
      <c r="A12" s="363" t="s">
        <v>551</v>
      </c>
      <c r="I12" s="362"/>
      <c r="J12" s="362"/>
      <c r="K12" s="362"/>
      <c r="L12" s="362"/>
    </row>
    <row r="13" spans="1:12">
      <c r="A13" s="363" t="s">
        <v>552</v>
      </c>
      <c r="I13" s="362"/>
      <c r="J13" s="362"/>
      <c r="K13" s="362"/>
      <c r="L13" s="362"/>
    </row>
    <row r="14" spans="1:12">
      <c r="A14" s="362"/>
      <c r="B14" s="362"/>
      <c r="C14" s="362"/>
      <c r="D14" s="362"/>
      <c r="E14" s="362"/>
      <c r="F14" s="362"/>
      <c r="G14" s="362"/>
      <c r="H14" s="362"/>
      <c r="I14" s="362"/>
      <c r="J14" s="362"/>
      <c r="K14" s="362"/>
      <c r="L14" s="362"/>
    </row>
    <row r="15" spans="1:12">
      <c r="A15" s="364" t="s">
        <v>553</v>
      </c>
    </row>
    <row r="16" spans="1:12">
      <c r="A16" s="364" t="s">
        <v>554</v>
      </c>
    </row>
    <row r="17" spans="1:7">
      <c r="A17" s="364"/>
    </row>
    <row r="18" spans="1:7">
      <c r="A18" s="363" t="s">
        <v>555</v>
      </c>
      <c r="B18" s="363"/>
      <c r="C18" s="363"/>
      <c r="D18" s="363"/>
      <c r="E18" s="363"/>
      <c r="F18" s="363"/>
      <c r="G18" s="363"/>
    </row>
    <row r="19" spans="1:7">
      <c r="A19" s="363" t="str">
        <f>CONCATENATE("your ",inputPrYr!C5-1," numbers to see what steps might be necessary to")</f>
        <v>your 2013 numbers to see what steps might be necessary to</v>
      </c>
      <c r="B19" s="363"/>
      <c r="C19" s="363"/>
      <c r="D19" s="363"/>
      <c r="E19" s="363"/>
      <c r="F19" s="363"/>
      <c r="G19" s="363"/>
    </row>
    <row r="20" spans="1:7">
      <c r="A20" s="363" t="s">
        <v>556</v>
      </c>
      <c r="B20" s="363"/>
      <c r="C20" s="363"/>
      <c r="D20" s="363"/>
      <c r="E20" s="363"/>
      <c r="F20" s="363"/>
      <c r="G20" s="363"/>
    </row>
    <row r="21" spans="1:7">
      <c r="A21" s="363" t="s">
        <v>557</v>
      </c>
      <c r="B21" s="363"/>
      <c r="C21" s="363"/>
      <c r="D21" s="363"/>
      <c r="E21" s="363"/>
      <c r="F21" s="363"/>
      <c r="G21" s="363"/>
    </row>
    <row r="22" spans="1:7">
      <c r="A22" s="363"/>
    </row>
    <row r="23" spans="1:7">
      <c r="A23" s="364" t="s">
        <v>558</v>
      </c>
    </row>
    <row r="24" spans="1:7">
      <c r="A24" s="364"/>
    </row>
    <row r="25" spans="1:7">
      <c r="A25" s="363" t="s">
        <v>559</v>
      </c>
    </row>
    <row r="26" spans="1:7">
      <c r="A26" s="363" t="s">
        <v>560</v>
      </c>
      <c r="B26" s="363"/>
      <c r="C26" s="363"/>
      <c r="D26" s="363"/>
      <c r="E26" s="363"/>
      <c r="F26" s="363"/>
    </row>
    <row r="27" spans="1:7">
      <c r="A27" s="363" t="s">
        <v>561</v>
      </c>
      <c r="B27" s="363"/>
      <c r="C27" s="363"/>
      <c r="D27" s="363"/>
      <c r="E27" s="363"/>
      <c r="F27" s="363"/>
    </row>
    <row r="28" spans="1:7">
      <c r="A28" s="363" t="s">
        <v>562</v>
      </c>
      <c r="B28" s="363"/>
      <c r="C28" s="363"/>
      <c r="D28" s="363"/>
      <c r="E28" s="363"/>
      <c r="F28" s="363"/>
    </row>
    <row r="29" spans="1:7">
      <c r="A29" s="363"/>
      <c r="B29" s="363"/>
      <c r="C29" s="363"/>
      <c r="D29" s="363"/>
      <c r="E29" s="363"/>
      <c r="F29" s="363"/>
    </row>
    <row r="30" spans="1:7">
      <c r="A30" s="364" t="s">
        <v>563</v>
      </c>
      <c r="B30" s="364"/>
      <c r="C30" s="364"/>
      <c r="D30" s="364"/>
      <c r="E30" s="364"/>
      <c r="F30" s="364"/>
      <c r="G30" s="364"/>
    </row>
    <row r="31" spans="1:7">
      <c r="A31" s="364" t="s">
        <v>564</v>
      </c>
      <c r="B31" s="364"/>
      <c r="C31" s="364"/>
      <c r="D31" s="364"/>
      <c r="E31" s="364"/>
      <c r="F31" s="364"/>
      <c r="G31" s="364"/>
    </row>
    <row r="32" spans="1:7">
      <c r="A32" s="363"/>
      <c r="B32" s="363"/>
      <c r="C32" s="363"/>
      <c r="D32" s="363"/>
      <c r="E32" s="363"/>
      <c r="F32" s="363"/>
    </row>
    <row r="33" spans="1:6">
      <c r="A33" s="361" t="str">
        <f>CONCATENATE("Well, let's look to see if any of your ",inputPrYr!C5-1," expenditures can")</f>
        <v>Well, let's look to see if any of your 2013 expenditures can</v>
      </c>
      <c r="B33" s="363"/>
      <c r="C33" s="363"/>
      <c r="D33" s="363"/>
      <c r="E33" s="363"/>
      <c r="F33" s="363"/>
    </row>
    <row r="34" spans="1:6">
      <c r="A34" s="361" t="s">
        <v>565</v>
      </c>
      <c r="B34" s="363"/>
      <c r="C34" s="363"/>
      <c r="D34" s="363"/>
      <c r="E34" s="363"/>
      <c r="F34" s="363"/>
    </row>
    <row r="35" spans="1:6">
      <c r="A35" s="361" t="s">
        <v>449</v>
      </c>
      <c r="B35" s="363"/>
      <c r="C35" s="363"/>
      <c r="D35" s="363"/>
      <c r="E35" s="363"/>
      <c r="F35" s="363"/>
    </row>
    <row r="36" spans="1:6">
      <c r="A36" s="361" t="s">
        <v>450</v>
      </c>
      <c r="B36" s="363"/>
      <c r="C36" s="363"/>
      <c r="D36" s="363"/>
      <c r="E36" s="363"/>
      <c r="F36" s="363"/>
    </row>
    <row r="37" spans="1:6">
      <c r="A37" s="361"/>
      <c r="B37" s="363"/>
      <c r="C37" s="363"/>
      <c r="D37" s="363"/>
      <c r="E37" s="363"/>
      <c r="F37" s="363"/>
    </row>
    <row r="38" spans="1:6">
      <c r="A38" s="361" t="str">
        <f>CONCATENATE("Additionally, do your ",inputPrYr!C5-1," receipts contain a reimbursement")</f>
        <v>Additionally, do your 2013 receipts contain a reimbursement</v>
      </c>
      <c r="B38" s="363"/>
      <c r="C38" s="363"/>
      <c r="D38" s="363"/>
      <c r="E38" s="363"/>
      <c r="F38" s="363"/>
    </row>
    <row r="39" spans="1:6">
      <c r="A39" s="361" t="s">
        <v>451</v>
      </c>
      <c r="B39" s="363"/>
      <c r="C39" s="363"/>
      <c r="D39" s="363"/>
      <c r="E39" s="363"/>
      <c r="F39" s="363"/>
    </row>
    <row r="40" spans="1:6">
      <c r="A40" s="361" t="s">
        <v>452</v>
      </c>
      <c r="B40" s="363"/>
      <c r="C40" s="363"/>
      <c r="D40" s="363"/>
      <c r="E40" s="363"/>
      <c r="F40" s="363"/>
    </row>
    <row r="41" spans="1:6">
      <c r="A41" s="361"/>
      <c r="B41" s="363"/>
      <c r="C41" s="363"/>
      <c r="D41" s="363"/>
      <c r="E41" s="363"/>
      <c r="F41" s="363"/>
    </row>
    <row r="42" spans="1:6">
      <c r="A42" s="361" t="s">
        <v>453</v>
      </c>
      <c r="B42" s="363"/>
      <c r="C42" s="363"/>
      <c r="D42" s="363"/>
      <c r="E42" s="363"/>
      <c r="F42" s="363"/>
    </row>
    <row r="43" spans="1:6">
      <c r="A43" s="361" t="s">
        <v>454</v>
      </c>
      <c r="B43" s="363"/>
      <c r="C43" s="363"/>
      <c r="D43" s="363"/>
      <c r="E43" s="363"/>
      <c r="F43" s="363"/>
    </row>
    <row r="44" spans="1:6">
      <c r="A44" s="361" t="s">
        <v>455</v>
      </c>
      <c r="B44" s="363"/>
      <c r="C44" s="363"/>
      <c r="D44" s="363"/>
      <c r="E44" s="363"/>
      <c r="F44" s="363"/>
    </row>
    <row r="45" spans="1:6">
      <c r="A45" s="361" t="s">
        <v>566</v>
      </c>
      <c r="B45" s="363"/>
      <c r="C45" s="363"/>
      <c r="D45" s="363"/>
      <c r="E45" s="363"/>
      <c r="F45" s="363"/>
    </row>
    <row r="46" spans="1:6">
      <c r="A46" s="361" t="s">
        <v>457</v>
      </c>
      <c r="B46" s="363"/>
      <c r="C46" s="363"/>
      <c r="D46" s="363"/>
      <c r="E46" s="363"/>
      <c r="F46" s="363"/>
    </row>
    <row r="47" spans="1:6">
      <c r="A47" s="361" t="s">
        <v>567</v>
      </c>
      <c r="B47" s="363"/>
      <c r="C47" s="363"/>
      <c r="D47" s="363"/>
      <c r="E47" s="363"/>
      <c r="F47" s="363"/>
    </row>
    <row r="48" spans="1:6">
      <c r="A48" s="361" t="s">
        <v>568</v>
      </c>
      <c r="B48" s="363"/>
      <c r="C48" s="363"/>
      <c r="D48" s="363"/>
      <c r="E48" s="363"/>
      <c r="F48" s="363"/>
    </row>
    <row r="49" spans="1:6">
      <c r="A49" s="361" t="s">
        <v>460</v>
      </c>
      <c r="B49" s="363"/>
      <c r="C49" s="363"/>
      <c r="D49" s="363"/>
      <c r="E49" s="363"/>
      <c r="F49" s="363"/>
    </row>
    <row r="50" spans="1:6">
      <c r="A50" s="361"/>
      <c r="B50" s="363"/>
      <c r="C50" s="363"/>
      <c r="D50" s="363"/>
      <c r="E50" s="363"/>
      <c r="F50" s="363"/>
    </row>
    <row r="51" spans="1:6">
      <c r="A51" s="361" t="s">
        <v>461</v>
      </c>
      <c r="B51" s="363"/>
      <c r="C51" s="363"/>
      <c r="D51" s="363"/>
      <c r="E51" s="363"/>
      <c r="F51" s="363"/>
    </row>
    <row r="52" spans="1:6">
      <c r="A52" s="361" t="s">
        <v>462</v>
      </c>
      <c r="B52" s="363"/>
      <c r="C52" s="363"/>
      <c r="D52" s="363"/>
      <c r="E52" s="363"/>
      <c r="F52" s="363"/>
    </row>
    <row r="53" spans="1:6">
      <c r="A53" s="361" t="s">
        <v>463</v>
      </c>
      <c r="B53" s="363"/>
      <c r="C53" s="363"/>
      <c r="D53" s="363"/>
      <c r="E53" s="363"/>
      <c r="F53" s="363"/>
    </row>
    <row r="54" spans="1:6">
      <c r="A54" s="361"/>
      <c r="B54" s="363"/>
      <c r="C54" s="363"/>
      <c r="D54" s="363"/>
      <c r="E54" s="363"/>
      <c r="F54" s="363"/>
    </row>
    <row r="55" spans="1:6">
      <c r="A55" s="361" t="s">
        <v>569</v>
      </c>
      <c r="B55" s="363"/>
      <c r="C55" s="363"/>
      <c r="D55" s="363"/>
      <c r="E55" s="363"/>
      <c r="F55" s="363"/>
    </row>
    <row r="56" spans="1:6">
      <c r="A56" s="361" t="s">
        <v>570</v>
      </c>
      <c r="B56" s="363"/>
      <c r="C56" s="363"/>
      <c r="D56" s="363"/>
      <c r="E56" s="363"/>
      <c r="F56" s="363"/>
    </row>
    <row r="57" spans="1:6">
      <c r="A57" s="361" t="s">
        <v>571</v>
      </c>
      <c r="B57" s="363"/>
      <c r="C57" s="363"/>
      <c r="D57" s="363"/>
      <c r="E57" s="363"/>
      <c r="F57" s="363"/>
    </row>
    <row r="58" spans="1:6">
      <c r="A58" s="361" t="s">
        <v>572</v>
      </c>
      <c r="B58" s="363"/>
      <c r="C58" s="363"/>
      <c r="D58" s="363"/>
      <c r="E58" s="363"/>
      <c r="F58" s="363"/>
    </row>
    <row r="59" spans="1:6">
      <c r="A59" s="361" t="s">
        <v>573</v>
      </c>
      <c r="B59" s="363"/>
      <c r="C59" s="363"/>
      <c r="D59" s="363"/>
      <c r="E59" s="363"/>
      <c r="F59" s="363"/>
    </row>
    <row r="60" spans="1:6">
      <c r="A60" s="361"/>
      <c r="B60" s="363"/>
      <c r="C60" s="363"/>
      <c r="D60" s="363"/>
      <c r="E60" s="363"/>
      <c r="F60" s="363"/>
    </row>
    <row r="61" spans="1:6">
      <c r="A61" s="360" t="s">
        <v>574</v>
      </c>
      <c r="B61" s="363"/>
      <c r="C61" s="363"/>
      <c r="D61" s="363"/>
      <c r="E61" s="363"/>
      <c r="F61" s="363"/>
    </row>
    <row r="62" spans="1:6">
      <c r="A62" s="360" t="s">
        <v>575</v>
      </c>
      <c r="B62" s="363"/>
      <c r="C62" s="363"/>
      <c r="D62" s="363"/>
      <c r="E62" s="363"/>
      <c r="F62" s="363"/>
    </row>
    <row r="63" spans="1:6">
      <c r="A63" s="360" t="s">
        <v>576</v>
      </c>
      <c r="B63" s="363"/>
      <c r="C63" s="363"/>
      <c r="D63" s="363"/>
      <c r="E63" s="363"/>
      <c r="F63" s="363"/>
    </row>
    <row r="64" spans="1:6">
      <c r="A64" s="360" t="s">
        <v>577</v>
      </c>
    </row>
    <row r="65" spans="1:1">
      <c r="A65" s="360" t="s">
        <v>578</v>
      </c>
    </row>
    <row r="66" spans="1:1">
      <c r="A66" s="360" t="s">
        <v>579</v>
      </c>
    </row>
    <row r="68" spans="1:1">
      <c r="A68" s="363" t="s">
        <v>580</v>
      </c>
    </row>
    <row r="69" spans="1:1">
      <c r="A69" s="363" t="s">
        <v>581</v>
      </c>
    </row>
    <row r="70" spans="1:1">
      <c r="A70" s="363" t="s">
        <v>582</v>
      </c>
    </row>
    <row r="71" spans="1:1">
      <c r="A71" s="363" t="s">
        <v>583</v>
      </c>
    </row>
    <row r="72" spans="1:1">
      <c r="A72" s="363" t="s">
        <v>584</v>
      </c>
    </row>
    <row r="73" spans="1:1">
      <c r="A73" s="363" t="s">
        <v>585</v>
      </c>
    </row>
    <row r="75" spans="1:1">
      <c r="A75" s="363" t="s">
        <v>490</v>
      </c>
    </row>
  </sheetData>
  <sheetProtection sheet="1"/>
  <pageMargins left="0.7" right="0.7" top="0.75" bottom="0.75" header="0.3" footer="0.3"/>
  <pageSetup orientation="portrait" r:id="rId1"/>
  <headerFooter>
    <oddFooter>&amp;Lrevised 10/2/09</oddFooter>
  </headerFooter>
</worksheet>
</file>

<file path=xl/worksheets/sheet42.xml><?xml version="1.0" encoding="utf-8"?>
<worksheet xmlns="http://schemas.openxmlformats.org/spreadsheetml/2006/main" xmlns:r="http://schemas.openxmlformats.org/officeDocument/2006/relationships">
  <sheetPr>
    <tabColor rgb="FFFF0000"/>
  </sheetPr>
  <dimension ref="A3:G106"/>
  <sheetViews>
    <sheetView workbookViewId="0">
      <selection activeCell="A3" sqref="A3"/>
    </sheetView>
  </sheetViews>
  <sheetFormatPr defaultRowHeight="15"/>
  <cols>
    <col min="1" max="1" width="71.33203125" customWidth="1"/>
  </cols>
  <sheetData>
    <row r="3" spans="1:7">
      <c r="A3" s="362" t="s">
        <v>586</v>
      </c>
      <c r="B3" s="362"/>
      <c r="C3" s="362"/>
      <c r="D3" s="362"/>
      <c r="E3" s="362"/>
      <c r="F3" s="362"/>
      <c r="G3" s="362"/>
    </row>
    <row r="4" spans="1:7">
      <c r="A4" s="362"/>
      <c r="B4" s="362"/>
      <c r="C4" s="362"/>
      <c r="D4" s="362"/>
      <c r="E4" s="362"/>
      <c r="F4" s="362"/>
      <c r="G4" s="362"/>
    </row>
    <row r="5" spans="1:7">
      <c r="A5" s="363" t="s">
        <v>492</v>
      </c>
    </row>
    <row r="6" spans="1:7">
      <c r="A6" s="363" t="str">
        <f>CONCATENATE(inputPrYr!C5," estimated expenditures show that at the end of this year")</f>
        <v>2014 estimated expenditures show that at the end of this year</v>
      </c>
    </row>
    <row r="7" spans="1:7">
      <c r="A7" s="363" t="s">
        <v>587</v>
      </c>
    </row>
    <row r="8" spans="1:7">
      <c r="A8" s="363" t="s">
        <v>588</v>
      </c>
    </row>
    <row r="10" spans="1:7">
      <c r="A10" t="s">
        <v>494</v>
      </c>
    </row>
    <row r="11" spans="1:7">
      <c r="A11" t="s">
        <v>495</v>
      </c>
    </row>
    <row r="12" spans="1:7">
      <c r="A12" t="s">
        <v>496</v>
      </c>
    </row>
    <row r="13" spans="1:7">
      <c r="A13" s="362"/>
      <c r="B13" s="362"/>
      <c r="C13" s="362"/>
      <c r="D13" s="362"/>
      <c r="E13" s="362"/>
      <c r="F13" s="362"/>
      <c r="G13" s="362"/>
    </row>
    <row r="14" spans="1:7">
      <c r="A14" s="364" t="s">
        <v>589</v>
      </c>
    </row>
    <row r="15" spans="1:7">
      <c r="A15" s="363"/>
    </row>
    <row r="16" spans="1:7">
      <c r="A16" s="363" t="s">
        <v>590</v>
      </c>
    </row>
    <row r="17" spans="1:7">
      <c r="A17" s="363" t="s">
        <v>591</v>
      </c>
    </row>
    <row r="18" spans="1:7">
      <c r="A18" s="363" t="s">
        <v>592</v>
      </c>
    </row>
    <row r="19" spans="1:7">
      <c r="A19" s="363"/>
    </row>
    <row r="20" spans="1:7">
      <c r="A20" s="363" t="s">
        <v>593</v>
      </c>
    </row>
    <row r="21" spans="1:7">
      <c r="A21" s="363" t="s">
        <v>594</v>
      </c>
    </row>
    <row r="22" spans="1:7">
      <c r="A22" s="363" t="s">
        <v>595</v>
      </c>
    </row>
    <row r="23" spans="1:7">
      <c r="A23" s="363" t="s">
        <v>596</v>
      </c>
    </row>
    <row r="24" spans="1:7">
      <c r="A24" s="363"/>
    </row>
    <row r="25" spans="1:7">
      <c r="A25" s="364" t="s">
        <v>558</v>
      </c>
    </row>
    <row r="26" spans="1:7">
      <c r="A26" s="364"/>
    </row>
    <row r="27" spans="1:7">
      <c r="A27" s="363" t="s">
        <v>559</v>
      </c>
    </row>
    <row r="28" spans="1:7">
      <c r="A28" s="363" t="s">
        <v>560</v>
      </c>
      <c r="B28" s="363"/>
      <c r="C28" s="363"/>
      <c r="D28" s="363"/>
      <c r="E28" s="363"/>
      <c r="F28" s="363"/>
    </row>
    <row r="29" spans="1:7">
      <c r="A29" s="363" t="s">
        <v>561</v>
      </c>
      <c r="B29" s="363"/>
      <c r="C29" s="363"/>
      <c r="D29" s="363"/>
      <c r="E29" s="363"/>
      <c r="F29" s="363"/>
    </row>
    <row r="30" spans="1:7">
      <c r="A30" s="363" t="s">
        <v>562</v>
      </c>
      <c r="B30" s="363"/>
      <c r="C30" s="363"/>
      <c r="D30" s="363"/>
      <c r="E30" s="363"/>
      <c r="F30" s="363"/>
    </row>
    <row r="31" spans="1:7">
      <c r="A31" s="363"/>
    </row>
    <row r="32" spans="1:7">
      <c r="A32" s="364" t="s">
        <v>563</v>
      </c>
      <c r="B32" s="364"/>
      <c r="C32" s="364"/>
      <c r="D32" s="364"/>
      <c r="E32" s="364"/>
      <c r="F32" s="364"/>
      <c r="G32" s="364"/>
    </row>
    <row r="33" spans="1:7">
      <c r="A33" s="364" t="s">
        <v>564</v>
      </c>
      <c r="B33" s="364"/>
      <c r="C33" s="364"/>
      <c r="D33" s="364"/>
      <c r="E33" s="364"/>
      <c r="F33" s="364"/>
      <c r="G33" s="364"/>
    </row>
    <row r="34" spans="1:7">
      <c r="A34" s="364"/>
      <c r="B34" s="364"/>
      <c r="C34" s="364"/>
      <c r="D34" s="364"/>
      <c r="E34" s="364"/>
      <c r="F34" s="364"/>
      <c r="G34" s="364"/>
    </row>
    <row r="35" spans="1:7">
      <c r="A35" s="363" t="s">
        <v>597</v>
      </c>
      <c r="B35" s="363"/>
      <c r="C35" s="363"/>
      <c r="D35" s="363"/>
      <c r="E35" s="363"/>
      <c r="F35" s="363"/>
      <c r="G35" s="363"/>
    </row>
    <row r="36" spans="1:7">
      <c r="A36" s="363" t="s">
        <v>598</v>
      </c>
      <c r="B36" s="363"/>
      <c r="C36" s="363"/>
      <c r="D36" s="363"/>
      <c r="E36" s="363"/>
      <c r="F36" s="363"/>
      <c r="G36" s="363"/>
    </row>
    <row r="37" spans="1:7">
      <c r="A37" s="363" t="s">
        <v>599</v>
      </c>
      <c r="B37" s="363"/>
      <c r="C37" s="363"/>
      <c r="D37" s="363"/>
      <c r="E37" s="363"/>
      <c r="F37" s="363"/>
      <c r="G37" s="363"/>
    </row>
    <row r="38" spans="1:7">
      <c r="A38" s="363" t="s">
        <v>600</v>
      </c>
      <c r="B38" s="363"/>
      <c r="C38" s="363"/>
      <c r="D38" s="363"/>
      <c r="E38" s="363"/>
      <c r="F38" s="363"/>
      <c r="G38" s="363"/>
    </row>
    <row r="39" spans="1:7">
      <c r="A39" s="363" t="s">
        <v>601</v>
      </c>
      <c r="B39" s="363"/>
      <c r="C39" s="363"/>
      <c r="D39" s="363"/>
      <c r="E39" s="363"/>
      <c r="F39" s="363"/>
      <c r="G39" s="363"/>
    </row>
    <row r="40" spans="1:7">
      <c r="A40" s="364"/>
      <c r="B40" s="364"/>
      <c r="C40" s="364"/>
      <c r="D40" s="364"/>
      <c r="E40" s="364"/>
      <c r="F40" s="364"/>
      <c r="G40" s="364"/>
    </row>
    <row r="41" spans="1:7">
      <c r="A41" s="361" t="str">
        <f>CONCATENATE("So, let's look to see if any of your ",inputPrYr!C5-1," expenditures can")</f>
        <v>So, let's look to see if any of your 2013 expenditures can</v>
      </c>
      <c r="B41" s="363"/>
      <c r="C41" s="363"/>
      <c r="D41" s="363"/>
      <c r="E41" s="363"/>
      <c r="F41" s="363"/>
    </row>
    <row r="42" spans="1:7">
      <c r="A42" s="361" t="s">
        <v>565</v>
      </c>
      <c r="B42" s="363"/>
      <c r="C42" s="363"/>
      <c r="D42" s="363"/>
      <c r="E42" s="363"/>
      <c r="F42" s="363"/>
    </row>
    <row r="43" spans="1:7">
      <c r="A43" s="361" t="s">
        <v>449</v>
      </c>
      <c r="B43" s="363"/>
      <c r="C43" s="363"/>
      <c r="D43" s="363"/>
      <c r="E43" s="363"/>
      <c r="F43" s="363"/>
    </row>
    <row r="44" spans="1:7">
      <c r="A44" s="361" t="s">
        <v>450</v>
      </c>
      <c r="B44" s="363"/>
      <c r="C44" s="363"/>
      <c r="D44" s="363"/>
      <c r="E44" s="363"/>
      <c r="F44" s="363"/>
    </row>
    <row r="45" spans="1:7">
      <c r="A45" s="363"/>
    </row>
    <row r="46" spans="1:7">
      <c r="A46" s="361" t="str">
        <f>CONCATENATE("Additionally, do your ",inputPrYr!C5-1," receipts contain a reimbursement")</f>
        <v>Additionally, do your 2013 receipts contain a reimbursement</v>
      </c>
      <c r="B46" s="363"/>
      <c r="C46" s="363"/>
      <c r="D46" s="363"/>
      <c r="E46" s="363"/>
      <c r="F46" s="363"/>
    </row>
    <row r="47" spans="1:7">
      <c r="A47" s="361" t="s">
        <v>451</v>
      </c>
      <c r="B47" s="363"/>
      <c r="C47" s="363"/>
      <c r="D47" s="363"/>
      <c r="E47" s="363"/>
      <c r="F47" s="363"/>
    </row>
    <row r="48" spans="1:7">
      <c r="A48" s="361" t="s">
        <v>452</v>
      </c>
      <c r="B48" s="363"/>
      <c r="C48" s="363"/>
      <c r="D48" s="363"/>
      <c r="E48" s="363"/>
      <c r="F48" s="363"/>
    </row>
    <row r="49" spans="1:7">
      <c r="A49" s="363"/>
      <c r="B49" s="363"/>
      <c r="C49" s="363"/>
      <c r="D49" s="363"/>
      <c r="E49" s="363"/>
      <c r="F49" s="363"/>
      <c r="G49" s="363"/>
    </row>
    <row r="50" spans="1:7">
      <c r="A50" s="363" t="s">
        <v>519</v>
      </c>
      <c r="B50" s="363"/>
      <c r="C50" s="363"/>
      <c r="D50" s="363"/>
      <c r="E50" s="363"/>
      <c r="F50" s="363"/>
      <c r="G50" s="363"/>
    </row>
    <row r="51" spans="1:7">
      <c r="A51" s="363" t="s">
        <v>520</v>
      </c>
      <c r="B51" s="363"/>
      <c r="C51" s="363"/>
      <c r="D51" s="363"/>
      <c r="E51" s="363"/>
      <c r="F51" s="363"/>
      <c r="G51" s="363"/>
    </row>
    <row r="52" spans="1:7">
      <c r="A52" s="363" t="s">
        <v>521</v>
      </c>
      <c r="B52" s="363"/>
      <c r="C52" s="363"/>
      <c r="D52" s="363"/>
      <c r="E52" s="363"/>
      <c r="F52" s="363"/>
      <c r="G52" s="363"/>
    </row>
    <row r="53" spans="1:7">
      <c r="A53" s="363" t="s">
        <v>522</v>
      </c>
      <c r="B53" s="363"/>
      <c r="C53" s="363"/>
      <c r="D53" s="363"/>
      <c r="E53" s="363"/>
      <c r="F53" s="363"/>
      <c r="G53" s="363"/>
    </row>
    <row r="54" spans="1:7">
      <c r="A54" s="363" t="s">
        <v>523</v>
      </c>
      <c r="B54" s="363"/>
      <c r="C54" s="363"/>
      <c r="D54" s="363"/>
      <c r="E54" s="363"/>
      <c r="F54" s="363"/>
      <c r="G54" s="363"/>
    </row>
    <row r="55" spans="1:7">
      <c r="A55" s="363"/>
      <c r="B55" s="363"/>
      <c r="C55" s="363"/>
      <c r="D55" s="363"/>
      <c r="E55" s="363"/>
      <c r="F55" s="363"/>
      <c r="G55" s="363"/>
    </row>
    <row r="56" spans="1:7">
      <c r="A56" s="361" t="s">
        <v>461</v>
      </c>
      <c r="B56" s="363"/>
      <c r="C56" s="363"/>
      <c r="D56" s="363"/>
      <c r="E56" s="363"/>
      <c r="F56" s="363"/>
    </row>
    <row r="57" spans="1:7">
      <c r="A57" s="361" t="s">
        <v>462</v>
      </c>
      <c r="B57" s="363"/>
      <c r="C57" s="363"/>
      <c r="D57" s="363"/>
      <c r="E57" s="363"/>
      <c r="F57" s="363"/>
    </row>
    <row r="58" spans="1:7">
      <c r="A58" s="361" t="s">
        <v>463</v>
      </c>
      <c r="B58" s="363"/>
      <c r="C58" s="363"/>
      <c r="D58" s="363"/>
      <c r="E58" s="363"/>
      <c r="F58" s="363"/>
    </row>
    <row r="59" spans="1:7">
      <c r="A59" s="361"/>
      <c r="B59" s="363"/>
      <c r="C59" s="363"/>
      <c r="D59" s="363"/>
      <c r="E59" s="363"/>
      <c r="F59" s="363"/>
    </row>
    <row r="60" spans="1:7">
      <c r="A60" s="363" t="s">
        <v>602</v>
      </c>
      <c r="B60" s="363"/>
      <c r="C60" s="363"/>
      <c r="D60" s="363"/>
      <c r="E60" s="363"/>
      <c r="F60" s="363"/>
      <c r="G60" s="363"/>
    </row>
    <row r="61" spans="1:7">
      <c r="A61" s="363" t="s">
        <v>603</v>
      </c>
      <c r="B61" s="363"/>
      <c r="C61" s="363"/>
      <c r="D61" s="363"/>
      <c r="E61" s="363"/>
      <c r="F61" s="363"/>
      <c r="G61" s="363"/>
    </row>
    <row r="62" spans="1:7">
      <c r="A62" s="363" t="s">
        <v>604</v>
      </c>
      <c r="B62" s="363"/>
      <c r="C62" s="363"/>
      <c r="D62" s="363"/>
      <c r="E62" s="363"/>
      <c r="F62" s="363"/>
      <c r="G62" s="363"/>
    </row>
    <row r="63" spans="1:7">
      <c r="A63" s="363" t="s">
        <v>605</v>
      </c>
      <c r="B63" s="363"/>
      <c r="C63" s="363"/>
      <c r="D63" s="363"/>
      <c r="E63" s="363"/>
      <c r="F63" s="363"/>
      <c r="G63" s="363"/>
    </row>
    <row r="64" spans="1:7">
      <c r="A64" s="363" t="s">
        <v>606</v>
      </c>
      <c r="B64" s="363"/>
      <c r="C64" s="363"/>
      <c r="D64" s="363"/>
      <c r="E64" s="363"/>
      <c r="F64" s="363"/>
      <c r="G64" s="363"/>
    </row>
    <row r="66" spans="1:6">
      <c r="A66" s="361" t="s">
        <v>569</v>
      </c>
      <c r="B66" s="363"/>
      <c r="C66" s="363"/>
      <c r="D66" s="363"/>
      <c r="E66" s="363"/>
      <c r="F66" s="363"/>
    </row>
    <row r="67" spans="1:6">
      <c r="A67" s="361" t="s">
        <v>570</v>
      </c>
      <c r="B67" s="363"/>
      <c r="C67" s="363"/>
      <c r="D67" s="363"/>
      <c r="E67" s="363"/>
      <c r="F67" s="363"/>
    </row>
    <row r="68" spans="1:6">
      <c r="A68" s="361" t="s">
        <v>571</v>
      </c>
      <c r="B68" s="363"/>
      <c r="C68" s="363"/>
      <c r="D68" s="363"/>
      <c r="E68" s="363"/>
      <c r="F68" s="363"/>
    </row>
    <row r="69" spans="1:6">
      <c r="A69" s="361" t="s">
        <v>572</v>
      </c>
      <c r="B69" s="363"/>
      <c r="C69" s="363"/>
      <c r="D69" s="363"/>
      <c r="E69" s="363"/>
      <c r="F69" s="363"/>
    </row>
    <row r="70" spans="1:6">
      <c r="A70" s="361" t="s">
        <v>573</v>
      </c>
      <c r="B70" s="363"/>
      <c r="C70" s="363"/>
      <c r="D70" s="363"/>
      <c r="E70" s="363"/>
      <c r="F70" s="363"/>
    </row>
    <row r="71" spans="1:6">
      <c r="A71" s="363"/>
    </row>
    <row r="72" spans="1:6">
      <c r="A72" s="363" t="s">
        <v>490</v>
      </c>
    </row>
    <row r="73" spans="1:6">
      <c r="A73" s="363"/>
    </row>
    <row r="74" spans="1:6">
      <c r="A74" s="363"/>
    </row>
    <row r="75" spans="1:6">
      <c r="A75" s="363"/>
    </row>
    <row r="78" spans="1:6">
      <c r="A78" s="364"/>
    </row>
    <row r="80" spans="1:6">
      <c r="A80" s="363"/>
    </row>
    <row r="81" spans="1:1">
      <c r="A81" s="363"/>
    </row>
    <row r="82" spans="1:1">
      <c r="A82" s="363"/>
    </row>
    <row r="83" spans="1:1">
      <c r="A83" s="363"/>
    </row>
    <row r="84" spans="1:1">
      <c r="A84" s="363"/>
    </row>
    <row r="85" spans="1:1">
      <c r="A85" s="363"/>
    </row>
    <row r="86" spans="1:1">
      <c r="A86" s="363"/>
    </row>
    <row r="87" spans="1:1">
      <c r="A87" s="363"/>
    </row>
    <row r="88" spans="1:1">
      <c r="A88" s="363"/>
    </row>
    <row r="89" spans="1:1">
      <c r="A89" s="363"/>
    </row>
    <row r="90" spans="1:1">
      <c r="A90" s="363"/>
    </row>
    <row r="92" spans="1:1">
      <c r="A92" s="363"/>
    </row>
    <row r="93" spans="1:1">
      <c r="A93" s="363"/>
    </row>
    <row r="94" spans="1:1">
      <c r="A94" s="363"/>
    </row>
    <row r="95" spans="1:1">
      <c r="A95" s="363"/>
    </row>
    <row r="96" spans="1:1">
      <c r="A96" s="363"/>
    </row>
    <row r="97" spans="1:1">
      <c r="A97" s="363"/>
    </row>
    <row r="98" spans="1:1">
      <c r="A98" s="363"/>
    </row>
    <row r="99" spans="1:1">
      <c r="A99" s="363"/>
    </row>
    <row r="100" spans="1:1">
      <c r="A100" s="363"/>
    </row>
    <row r="101" spans="1:1">
      <c r="A101" s="363"/>
    </row>
    <row r="102" spans="1:1">
      <c r="A102" s="363"/>
    </row>
    <row r="103" spans="1:1">
      <c r="A103" s="363"/>
    </row>
    <row r="104" spans="1:1">
      <c r="A104" s="363"/>
    </row>
    <row r="105" spans="1:1">
      <c r="A105" s="363"/>
    </row>
    <row r="106" spans="1:1">
      <c r="A106" s="363"/>
    </row>
  </sheetData>
  <sheetProtection sheet="1"/>
  <pageMargins left="0.7" right="0.7" top="0.75" bottom="0.75" header="0.3" footer="0.3"/>
  <pageSetup orientation="portrait" r:id="rId1"/>
  <headerFooter>
    <oddFooter>&amp;Lrevised 10/2/09</oddFooter>
  </headerFooter>
</worksheet>
</file>

<file path=xl/worksheets/sheet43.xml><?xml version="1.0" encoding="utf-8"?>
<worksheet xmlns="http://schemas.openxmlformats.org/spreadsheetml/2006/main" xmlns:r="http://schemas.openxmlformats.org/officeDocument/2006/relationships">
  <sheetPr>
    <tabColor rgb="FFFF0000"/>
  </sheetPr>
  <dimension ref="A3:H52"/>
  <sheetViews>
    <sheetView workbookViewId="0">
      <selection activeCell="A3" sqref="A3"/>
    </sheetView>
  </sheetViews>
  <sheetFormatPr defaultRowHeight="15"/>
  <cols>
    <col min="1" max="1" width="71.33203125" customWidth="1"/>
  </cols>
  <sheetData>
    <row r="3" spans="1:7">
      <c r="A3" s="362" t="s">
        <v>607</v>
      </c>
      <c r="B3" s="362"/>
      <c r="C3" s="362"/>
      <c r="D3" s="362"/>
      <c r="E3" s="362"/>
      <c r="F3" s="362"/>
      <c r="G3" s="362"/>
    </row>
    <row r="4" spans="1:7">
      <c r="A4" s="362" t="s">
        <v>608</v>
      </c>
      <c r="B4" s="362"/>
      <c r="C4" s="362"/>
      <c r="D4" s="362"/>
      <c r="E4" s="362"/>
      <c r="F4" s="362"/>
      <c r="G4" s="362"/>
    </row>
    <row r="5" spans="1:7">
      <c r="A5" s="362"/>
      <c r="B5" s="362"/>
      <c r="C5" s="362"/>
      <c r="D5" s="362"/>
      <c r="E5" s="362"/>
      <c r="F5" s="362"/>
      <c r="G5" s="362"/>
    </row>
    <row r="6" spans="1:7">
      <c r="A6" s="362"/>
      <c r="B6" s="362"/>
      <c r="C6" s="362"/>
      <c r="D6" s="362"/>
      <c r="E6" s="362"/>
      <c r="F6" s="362"/>
      <c r="G6" s="362"/>
    </row>
    <row r="7" spans="1:7">
      <c r="A7" s="363" t="s">
        <v>435</v>
      </c>
    </row>
    <row r="8" spans="1:7">
      <c r="A8" s="363" t="str">
        <f>CONCATENATE("estimated ",inputPrYr!C5," 'total expenditures' exceed your ",inputPrYr!C5,"")</f>
        <v>estimated 2014 'total expenditures' exceed your 2014</v>
      </c>
    </row>
    <row r="9" spans="1:7">
      <c r="A9" s="366" t="s">
        <v>609</v>
      </c>
    </row>
    <row r="10" spans="1:7">
      <c r="A10" s="363"/>
    </row>
    <row r="11" spans="1:7">
      <c r="A11" s="363" t="s">
        <v>610</v>
      </c>
    </row>
    <row r="12" spans="1:7">
      <c r="A12" s="363" t="s">
        <v>611</v>
      </c>
    </row>
    <row r="13" spans="1:7">
      <c r="A13" s="363" t="s">
        <v>612</v>
      </c>
    </row>
    <row r="14" spans="1:7">
      <c r="A14" s="363"/>
    </row>
    <row r="15" spans="1:7">
      <c r="A15" s="364" t="s">
        <v>613</v>
      </c>
    </row>
    <row r="16" spans="1:7">
      <c r="A16" s="362"/>
      <c r="B16" s="362"/>
      <c r="C16" s="362"/>
      <c r="D16" s="362"/>
      <c r="E16" s="362"/>
      <c r="F16" s="362"/>
      <c r="G16" s="362"/>
    </row>
    <row r="17" spans="1:8">
      <c r="A17" s="367" t="s">
        <v>614</v>
      </c>
      <c r="B17" s="368"/>
      <c r="C17" s="368"/>
      <c r="D17" s="368"/>
      <c r="E17" s="368"/>
      <c r="F17" s="368"/>
      <c r="G17" s="368"/>
      <c r="H17" s="368"/>
    </row>
    <row r="18" spans="1:8">
      <c r="A18" s="363" t="s">
        <v>615</v>
      </c>
      <c r="B18" s="369"/>
      <c r="C18" s="369"/>
      <c r="D18" s="369"/>
      <c r="E18" s="369"/>
      <c r="F18" s="369"/>
      <c r="G18" s="369"/>
    </row>
    <row r="19" spans="1:8">
      <c r="A19" s="363" t="s">
        <v>616</v>
      </c>
    </row>
    <row r="20" spans="1:8">
      <c r="A20" s="363" t="s">
        <v>617</v>
      </c>
    </row>
    <row r="22" spans="1:8">
      <c r="A22" s="364" t="s">
        <v>618</v>
      </c>
    </row>
    <row r="24" spans="1:8">
      <c r="A24" s="363" t="s">
        <v>619</v>
      </c>
    </row>
    <row r="25" spans="1:8">
      <c r="A25" s="363" t="s">
        <v>620</v>
      </c>
    </row>
    <row r="26" spans="1:8">
      <c r="A26" s="363" t="s">
        <v>621</v>
      </c>
    </row>
    <row r="28" spans="1:8">
      <c r="A28" s="364" t="s">
        <v>622</v>
      </c>
    </row>
    <row r="30" spans="1:8">
      <c r="A30" t="s">
        <v>623</v>
      </c>
    </row>
    <row r="31" spans="1:8">
      <c r="A31" t="s">
        <v>624</v>
      </c>
    </row>
    <row r="32" spans="1:8">
      <c r="A32" t="s">
        <v>625</v>
      </c>
    </row>
    <row r="33" spans="1:1">
      <c r="A33" s="363" t="s">
        <v>626</v>
      </c>
    </row>
    <row r="35" spans="1:1">
      <c r="A35" t="s">
        <v>627</v>
      </c>
    </row>
    <row r="36" spans="1:1">
      <c r="A36" t="s">
        <v>628</v>
      </c>
    </row>
    <row r="37" spans="1:1">
      <c r="A37" t="s">
        <v>629</v>
      </c>
    </row>
    <row r="38" spans="1:1">
      <c r="A38" t="s">
        <v>630</v>
      </c>
    </row>
    <row r="40" spans="1:1">
      <c r="A40" t="s">
        <v>631</v>
      </c>
    </row>
    <row r="41" spans="1:1">
      <c r="A41" t="s">
        <v>632</v>
      </c>
    </row>
    <row r="42" spans="1:1">
      <c r="A42" t="s">
        <v>633</v>
      </c>
    </row>
    <row r="43" spans="1:1">
      <c r="A43" t="s">
        <v>634</v>
      </c>
    </row>
    <row r="44" spans="1:1">
      <c r="A44" t="s">
        <v>635</v>
      </c>
    </row>
    <row r="45" spans="1:1">
      <c r="A45" t="s">
        <v>636</v>
      </c>
    </row>
    <row r="47" spans="1:1">
      <c r="A47" t="s">
        <v>637</v>
      </c>
    </row>
    <row r="48" spans="1:1">
      <c r="A48" t="s">
        <v>638</v>
      </c>
    </row>
    <row r="49" spans="1:1">
      <c r="A49" s="363" t="s">
        <v>639</v>
      </c>
    </row>
    <row r="50" spans="1:1">
      <c r="A50" s="363" t="s">
        <v>640</v>
      </c>
    </row>
    <row r="52" spans="1:1">
      <c r="A52" t="s">
        <v>490</v>
      </c>
    </row>
  </sheetData>
  <sheetProtection sheet="1"/>
  <pageMargins left="0.7" right="0.7" top="0.75" bottom="0.75" header="0.3" footer="0.3"/>
  <pageSetup orientation="portrait" r:id="rId1"/>
  <headerFooter>
    <oddFooter>&amp;Lrevised 10/2/09</oddFooter>
  </headerFooter>
</worksheet>
</file>

<file path=xl/worksheets/sheet44.xml><?xml version="1.0" encoding="utf-8"?>
<worksheet xmlns="http://schemas.openxmlformats.org/spreadsheetml/2006/main" xmlns:r="http://schemas.openxmlformats.org/officeDocument/2006/relationships">
  <dimension ref="A1:X354"/>
  <sheetViews>
    <sheetView zoomScaleNormal="100" zoomScaleSheetLayoutView="100" workbookViewId="0">
      <selection activeCell="F23" sqref="F23:G23"/>
    </sheetView>
  </sheetViews>
  <sheetFormatPr defaultRowHeight="14.25"/>
  <cols>
    <col min="1" max="1" width="7.5546875" style="440" customWidth="1"/>
    <col min="2" max="2" width="11.21875" style="442" customWidth="1"/>
    <col min="3" max="3" width="7.44140625" style="442" customWidth="1"/>
    <col min="4" max="4" width="8.88671875" style="442"/>
    <col min="5" max="5" width="1.5546875" style="442" customWidth="1"/>
    <col min="6" max="6" width="14.33203125" style="442" customWidth="1"/>
    <col min="7" max="7" width="2.5546875" style="442" customWidth="1"/>
    <col min="8" max="8" width="9.77734375" style="442" customWidth="1"/>
    <col min="9" max="9" width="2" style="442" customWidth="1"/>
    <col min="10" max="10" width="8.5546875" style="442" customWidth="1"/>
    <col min="11" max="11" width="11.6640625" style="442" customWidth="1"/>
    <col min="12" max="12" width="7.5546875" style="440" customWidth="1"/>
    <col min="13" max="14" width="8.88671875" style="440"/>
    <col min="15" max="15" width="9.88671875" style="440" bestFit="1" customWidth="1"/>
    <col min="16" max="16384" width="8.88671875" style="440"/>
  </cols>
  <sheetData>
    <row r="1" spans="1:12">
      <c r="A1" s="441"/>
      <c r="B1" s="441"/>
      <c r="C1" s="441"/>
      <c r="D1" s="441"/>
      <c r="E1" s="441"/>
      <c r="F1" s="441"/>
      <c r="G1" s="441"/>
      <c r="H1" s="441"/>
      <c r="I1" s="441"/>
      <c r="J1" s="441"/>
      <c r="K1" s="441"/>
      <c r="L1" s="441"/>
    </row>
    <row r="2" spans="1:12">
      <c r="A2" s="441"/>
      <c r="B2" s="441"/>
      <c r="C2" s="441"/>
      <c r="D2" s="441"/>
      <c r="E2" s="441"/>
      <c r="F2" s="441"/>
      <c r="G2" s="441"/>
      <c r="H2" s="441"/>
      <c r="I2" s="441"/>
      <c r="J2" s="441"/>
      <c r="K2" s="441"/>
      <c r="L2" s="441"/>
    </row>
    <row r="3" spans="1:12">
      <c r="A3" s="441"/>
      <c r="B3" s="441"/>
      <c r="C3" s="441"/>
      <c r="D3" s="441"/>
      <c r="E3" s="441"/>
      <c r="F3" s="441"/>
      <c r="G3" s="441"/>
      <c r="H3" s="441"/>
      <c r="I3" s="441"/>
      <c r="J3" s="441"/>
      <c r="K3" s="441"/>
      <c r="L3" s="441"/>
    </row>
    <row r="4" spans="1:12">
      <c r="A4" s="441"/>
      <c r="L4" s="441"/>
    </row>
    <row r="5" spans="1:12" ht="15" customHeight="1">
      <c r="A5" s="441"/>
      <c r="L5" s="441"/>
    </row>
    <row r="6" spans="1:12" ht="33" customHeight="1">
      <c r="A6" s="441"/>
      <c r="B6" s="838" t="s">
        <v>676</v>
      </c>
      <c r="C6" s="851"/>
      <c r="D6" s="851"/>
      <c r="E6" s="851"/>
      <c r="F6" s="851"/>
      <c r="G6" s="851"/>
      <c r="H6" s="851"/>
      <c r="I6" s="851"/>
      <c r="J6" s="851"/>
      <c r="K6" s="851"/>
      <c r="L6" s="443"/>
    </row>
    <row r="7" spans="1:12" ht="40.5" customHeight="1">
      <c r="A7" s="441"/>
      <c r="B7" s="852" t="s">
        <v>677</v>
      </c>
      <c r="C7" s="853"/>
      <c r="D7" s="853"/>
      <c r="E7" s="853"/>
      <c r="F7" s="853"/>
      <c r="G7" s="853"/>
      <c r="H7" s="853"/>
      <c r="I7" s="853"/>
      <c r="J7" s="853"/>
      <c r="K7" s="853"/>
      <c r="L7" s="441"/>
    </row>
    <row r="8" spans="1:12">
      <c r="A8" s="441"/>
      <c r="B8" s="847" t="s">
        <v>678</v>
      </c>
      <c r="C8" s="847"/>
      <c r="D8" s="847"/>
      <c r="E8" s="847"/>
      <c r="F8" s="847"/>
      <c r="G8" s="847"/>
      <c r="H8" s="847"/>
      <c r="I8" s="847"/>
      <c r="J8" s="847"/>
      <c r="K8" s="847"/>
      <c r="L8" s="441"/>
    </row>
    <row r="9" spans="1:12">
      <c r="A9" s="441"/>
      <c r="L9" s="441"/>
    </row>
    <row r="10" spans="1:12">
      <c r="A10" s="441"/>
      <c r="B10" s="847" t="s">
        <v>679</v>
      </c>
      <c r="C10" s="847"/>
      <c r="D10" s="847"/>
      <c r="E10" s="847"/>
      <c r="F10" s="847"/>
      <c r="G10" s="847"/>
      <c r="H10" s="847"/>
      <c r="I10" s="847"/>
      <c r="J10" s="847"/>
      <c r="K10" s="847"/>
      <c r="L10" s="441"/>
    </row>
    <row r="11" spans="1:12">
      <c r="A11" s="441"/>
      <c r="B11" s="603"/>
      <c r="C11" s="603"/>
      <c r="D11" s="603"/>
      <c r="E11" s="603"/>
      <c r="F11" s="603"/>
      <c r="G11" s="603"/>
      <c r="H11" s="603"/>
      <c r="I11" s="603"/>
      <c r="J11" s="603"/>
      <c r="K11" s="603"/>
      <c r="L11" s="441"/>
    </row>
    <row r="12" spans="1:12" ht="32.25" customHeight="1">
      <c r="A12" s="441"/>
      <c r="B12" s="840" t="s">
        <v>680</v>
      </c>
      <c r="C12" s="840"/>
      <c r="D12" s="840"/>
      <c r="E12" s="840"/>
      <c r="F12" s="840"/>
      <c r="G12" s="840"/>
      <c r="H12" s="840"/>
      <c r="I12" s="840"/>
      <c r="J12" s="840"/>
      <c r="K12" s="840"/>
      <c r="L12" s="441"/>
    </row>
    <row r="13" spans="1:12">
      <c r="A13" s="441"/>
      <c r="L13" s="441"/>
    </row>
    <row r="14" spans="1:12">
      <c r="A14" s="441"/>
      <c r="B14" s="444" t="s">
        <v>681</v>
      </c>
      <c r="L14" s="441"/>
    </row>
    <row r="15" spans="1:12">
      <c r="A15" s="441"/>
      <c r="L15" s="441"/>
    </row>
    <row r="16" spans="1:12">
      <c r="A16" s="441"/>
      <c r="B16" s="442" t="s">
        <v>682</v>
      </c>
      <c r="L16" s="441"/>
    </row>
    <row r="17" spans="1:12">
      <c r="A17" s="441"/>
      <c r="B17" s="442" t="s">
        <v>683</v>
      </c>
      <c r="L17" s="441"/>
    </row>
    <row r="18" spans="1:12">
      <c r="A18" s="441"/>
      <c r="L18" s="441"/>
    </row>
    <row r="19" spans="1:12">
      <c r="A19" s="441"/>
      <c r="B19" s="444" t="s">
        <v>861</v>
      </c>
      <c r="L19" s="441"/>
    </row>
    <row r="20" spans="1:12">
      <c r="A20" s="441"/>
      <c r="B20" s="444"/>
      <c r="L20" s="441"/>
    </row>
    <row r="21" spans="1:12">
      <c r="A21" s="441"/>
      <c r="B21" s="442" t="s">
        <v>862</v>
      </c>
      <c r="L21" s="441"/>
    </row>
    <row r="22" spans="1:12">
      <c r="A22" s="441"/>
      <c r="L22" s="441"/>
    </row>
    <row r="23" spans="1:12">
      <c r="A23" s="441"/>
      <c r="B23" s="442" t="s">
        <v>684</v>
      </c>
      <c r="E23" s="442" t="s">
        <v>685</v>
      </c>
      <c r="F23" s="842">
        <v>312000000</v>
      </c>
      <c r="G23" s="842"/>
      <c r="L23" s="441"/>
    </row>
    <row r="24" spans="1:12">
      <c r="A24" s="441"/>
      <c r="L24" s="441"/>
    </row>
    <row r="25" spans="1:12">
      <c r="A25" s="441"/>
      <c r="C25" s="849">
        <f>F23</f>
        <v>312000000</v>
      </c>
      <c r="D25" s="849"/>
      <c r="E25" s="442" t="s">
        <v>686</v>
      </c>
      <c r="F25" s="445">
        <v>1000</v>
      </c>
      <c r="G25" s="445" t="s">
        <v>685</v>
      </c>
      <c r="H25" s="604">
        <f>F23/F25</f>
        <v>312000</v>
      </c>
      <c r="L25" s="441"/>
    </row>
    <row r="26" spans="1:12" ht="15" thickBot="1">
      <c r="A26" s="441"/>
      <c r="L26" s="441"/>
    </row>
    <row r="27" spans="1:12">
      <c r="A27" s="441"/>
      <c r="B27" s="446" t="s">
        <v>681</v>
      </c>
      <c r="C27" s="447"/>
      <c r="D27" s="447"/>
      <c r="E27" s="447"/>
      <c r="F27" s="447"/>
      <c r="G27" s="447"/>
      <c r="H27" s="447"/>
      <c r="I27" s="447"/>
      <c r="J27" s="447"/>
      <c r="K27" s="448"/>
      <c r="L27" s="441"/>
    </row>
    <row r="28" spans="1:12">
      <c r="A28" s="441"/>
      <c r="B28" s="449">
        <f>F23</f>
        <v>312000000</v>
      </c>
      <c r="C28" s="450" t="s">
        <v>687</v>
      </c>
      <c r="D28" s="450"/>
      <c r="E28" s="450" t="s">
        <v>686</v>
      </c>
      <c r="F28" s="601">
        <v>1000</v>
      </c>
      <c r="G28" s="601" t="s">
        <v>685</v>
      </c>
      <c r="H28" s="451">
        <f>B28/F28</f>
        <v>312000</v>
      </c>
      <c r="I28" s="450" t="s">
        <v>688</v>
      </c>
      <c r="J28" s="450"/>
      <c r="K28" s="452"/>
      <c r="L28" s="441"/>
    </row>
    <row r="29" spans="1:12" ht="15" thickBot="1">
      <c r="A29" s="441"/>
      <c r="B29" s="453"/>
      <c r="C29" s="454"/>
      <c r="D29" s="454"/>
      <c r="E29" s="454"/>
      <c r="F29" s="454"/>
      <c r="G29" s="454"/>
      <c r="H29" s="454"/>
      <c r="I29" s="454"/>
      <c r="J29" s="454"/>
      <c r="K29" s="455"/>
      <c r="L29" s="441"/>
    </row>
    <row r="30" spans="1:12" ht="40.5" customHeight="1">
      <c r="A30" s="441"/>
      <c r="B30" s="837" t="s">
        <v>677</v>
      </c>
      <c r="C30" s="837"/>
      <c r="D30" s="837"/>
      <c r="E30" s="837"/>
      <c r="F30" s="837"/>
      <c r="G30" s="837"/>
      <c r="H30" s="837"/>
      <c r="I30" s="837"/>
      <c r="J30" s="837"/>
      <c r="K30" s="837"/>
      <c r="L30" s="441"/>
    </row>
    <row r="31" spans="1:12">
      <c r="A31" s="441"/>
      <c r="B31" s="847" t="s">
        <v>689</v>
      </c>
      <c r="C31" s="847"/>
      <c r="D31" s="847"/>
      <c r="E31" s="847"/>
      <c r="F31" s="847"/>
      <c r="G31" s="847"/>
      <c r="H31" s="847"/>
      <c r="I31" s="847"/>
      <c r="J31" s="847"/>
      <c r="K31" s="847"/>
      <c r="L31" s="441"/>
    </row>
    <row r="32" spans="1:12">
      <c r="A32" s="441"/>
      <c r="L32" s="441"/>
    </row>
    <row r="33" spans="1:12">
      <c r="A33" s="441"/>
      <c r="B33" s="847" t="s">
        <v>690</v>
      </c>
      <c r="C33" s="847"/>
      <c r="D33" s="847"/>
      <c r="E33" s="847"/>
      <c r="F33" s="847"/>
      <c r="G33" s="847"/>
      <c r="H33" s="847"/>
      <c r="I33" s="847"/>
      <c r="J33" s="847"/>
      <c r="K33" s="847"/>
      <c r="L33" s="441"/>
    </row>
    <row r="34" spans="1:12">
      <c r="A34" s="441"/>
      <c r="L34" s="441"/>
    </row>
    <row r="35" spans="1:12" ht="89.25" customHeight="1">
      <c r="A35" s="441"/>
      <c r="B35" s="840" t="s">
        <v>691</v>
      </c>
      <c r="C35" s="848"/>
      <c r="D35" s="848"/>
      <c r="E35" s="848"/>
      <c r="F35" s="848"/>
      <c r="G35" s="848"/>
      <c r="H35" s="848"/>
      <c r="I35" s="848"/>
      <c r="J35" s="848"/>
      <c r="K35" s="848"/>
      <c r="L35" s="441"/>
    </row>
    <row r="36" spans="1:12">
      <c r="A36" s="441"/>
      <c r="L36" s="441"/>
    </row>
    <row r="37" spans="1:12">
      <c r="A37" s="441"/>
      <c r="B37" s="444" t="s">
        <v>692</v>
      </c>
      <c r="L37" s="441"/>
    </row>
    <row r="38" spans="1:12">
      <c r="A38" s="441"/>
      <c r="L38" s="441"/>
    </row>
    <row r="39" spans="1:12">
      <c r="A39" s="441"/>
      <c r="B39" s="442" t="s">
        <v>693</v>
      </c>
      <c r="L39" s="441"/>
    </row>
    <row r="40" spans="1:12">
      <c r="A40" s="441"/>
      <c r="L40" s="441"/>
    </row>
    <row r="41" spans="1:12">
      <c r="A41" s="441"/>
      <c r="C41" s="850">
        <v>312000000</v>
      </c>
      <c r="D41" s="850"/>
      <c r="E41" s="442" t="s">
        <v>686</v>
      </c>
      <c r="F41" s="445">
        <v>1000</v>
      </c>
      <c r="G41" s="445" t="s">
        <v>685</v>
      </c>
      <c r="H41" s="456">
        <f>C41/F41</f>
        <v>312000</v>
      </c>
      <c r="L41" s="441"/>
    </row>
    <row r="42" spans="1:12">
      <c r="A42" s="441"/>
      <c r="L42" s="441"/>
    </row>
    <row r="43" spans="1:12">
      <c r="A43" s="441"/>
      <c r="B43" s="442" t="s">
        <v>694</v>
      </c>
      <c r="L43" s="441"/>
    </row>
    <row r="44" spans="1:12">
      <c r="A44" s="441"/>
      <c r="L44" s="441"/>
    </row>
    <row r="45" spans="1:12">
      <c r="A45" s="441"/>
      <c r="B45" s="442" t="s">
        <v>695</v>
      </c>
      <c r="L45" s="441"/>
    </row>
    <row r="46" spans="1:12" ht="15" thickBot="1">
      <c r="A46" s="441"/>
      <c r="L46" s="441"/>
    </row>
    <row r="47" spans="1:12">
      <c r="A47" s="441"/>
      <c r="B47" s="457" t="s">
        <v>681</v>
      </c>
      <c r="C47" s="447"/>
      <c r="D47" s="447"/>
      <c r="E47" s="447"/>
      <c r="F47" s="447"/>
      <c r="G47" s="447"/>
      <c r="H47" s="447"/>
      <c r="I47" s="447"/>
      <c r="J47" s="447"/>
      <c r="K47" s="448"/>
      <c r="L47" s="441"/>
    </row>
    <row r="48" spans="1:12">
      <c r="A48" s="441"/>
      <c r="B48" s="841">
        <v>312000000</v>
      </c>
      <c r="C48" s="842"/>
      <c r="D48" s="450" t="s">
        <v>696</v>
      </c>
      <c r="E48" s="450" t="s">
        <v>686</v>
      </c>
      <c r="F48" s="601">
        <v>1000</v>
      </c>
      <c r="G48" s="601" t="s">
        <v>685</v>
      </c>
      <c r="H48" s="451">
        <f>B48/F48</f>
        <v>312000</v>
      </c>
      <c r="I48" s="450" t="s">
        <v>697</v>
      </c>
      <c r="J48" s="450"/>
      <c r="K48" s="452"/>
      <c r="L48" s="441"/>
    </row>
    <row r="49" spans="1:24">
      <c r="A49" s="441"/>
      <c r="B49" s="458"/>
      <c r="C49" s="450"/>
      <c r="D49" s="450"/>
      <c r="E49" s="450"/>
      <c r="F49" s="450"/>
      <c r="G49" s="450"/>
      <c r="H49" s="450"/>
      <c r="I49" s="450"/>
      <c r="J49" s="450"/>
      <c r="K49" s="452"/>
      <c r="L49" s="441"/>
    </row>
    <row r="50" spans="1:24">
      <c r="A50" s="441"/>
      <c r="B50" s="459">
        <v>50000</v>
      </c>
      <c r="C50" s="450" t="s">
        <v>698</v>
      </c>
      <c r="D50" s="450"/>
      <c r="E50" s="450" t="s">
        <v>686</v>
      </c>
      <c r="F50" s="451">
        <f>H48</f>
        <v>312000</v>
      </c>
      <c r="G50" s="843" t="s">
        <v>699</v>
      </c>
      <c r="H50" s="844"/>
      <c r="I50" s="601" t="s">
        <v>685</v>
      </c>
      <c r="J50" s="460">
        <f>B50/F50</f>
        <v>0.16025641025641027</v>
      </c>
      <c r="K50" s="452"/>
      <c r="L50" s="441"/>
    </row>
    <row r="51" spans="1:24" ht="15" thickBot="1">
      <c r="A51" s="441"/>
      <c r="B51" s="453"/>
      <c r="C51" s="454"/>
      <c r="D51" s="454"/>
      <c r="E51" s="454"/>
      <c r="F51" s="454"/>
      <c r="G51" s="454"/>
      <c r="H51" s="454"/>
      <c r="I51" s="845" t="s">
        <v>700</v>
      </c>
      <c r="J51" s="845"/>
      <c r="K51" s="846"/>
      <c r="L51" s="441"/>
      <c r="O51" s="584"/>
    </row>
    <row r="52" spans="1:24" ht="40.5" customHeight="1">
      <c r="A52" s="441"/>
      <c r="B52" s="837" t="s">
        <v>677</v>
      </c>
      <c r="C52" s="837"/>
      <c r="D52" s="837"/>
      <c r="E52" s="837"/>
      <c r="F52" s="837"/>
      <c r="G52" s="837"/>
      <c r="H52" s="837"/>
      <c r="I52" s="837"/>
      <c r="J52" s="837"/>
      <c r="K52" s="837"/>
      <c r="L52" s="441"/>
    </row>
    <row r="53" spans="1:24">
      <c r="A53" s="441"/>
      <c r="B53" s="847" t="s">
        <v>701</v>
      </c>
      <c r="C53" s="847"/>
      <c r="D53" s="847"/>
      <c r="E53" s="847"/>
      <c r="F53" s="847"/>
      <c r="G53" s="847"/>
      <c r="H53" s="847"/>
      <c r="I53" s="847"/>
      <c r="J53" s="847"/>
      <c r="K53" s="847"/>
      <c r="L53" s="441"/>
    </row>
    <row r="54" spans="1:24">
      <c r="A54" s="441"/>
      <c r="B54" s="603"/>
      <c r="C54" s="603"/>
      <c r="D54" s="603"/>
      <c r="E54" s="603"/>
      <c r="F54" s="603"/>
      <c r="G54" s="603"/>
      <c r="H54" s="603"/>
      <c r="I54" s="603"/>
      <c r="J54" s="603"/>
      <c r="K54" s="603"/>
      <c r="L54" s="441"/>
    </row>
    <row r="55" spans="1:24">
      <c r="A55" s="441"/>
      <c r="B55" s="838" t="s">
        <v>702</v>
      </c>
      <c r="C55" s="838"/>
      <c r="D55" s="838"/>
      <c r="E55" s="838"/>
      <c r="F55" s="838"/>
      <c r="G55" s="838"/>
      <c r="H55" s="838"/>
      <c r="I55" s="838"/>
      <c r="J55" s="838"/>
      <c r="K55" s="838"/>
      <c r="L55" s="441"/>
    </row>
    <row r="56" spans="1:24" ht="15" customHeight="1">
      <c r="A56" s="441"/>
      <c r="L56" s="441"/>
    </row>
    <row r="57" spans="1:24" ht="74.25" customHeight="1">
      <c r="A57" s="441"/>
      <c r="B57" s="840" t="s">
        <v>703</v>
      </c>
      <c r="C57" s="848"/>
      <c r="D57" s="848"/>
      <c r="E57" s="848"/>
      <c r="F57" s="848"/>
      <c r="G57" s="848"/>
      <c r="H57" s="848"/>
      <c r="I57" s="848"/>
      <c r="J57" s="848"/>
      <c r="K57" s="848"/>
      <c r="L57" s="441"/>
      <c r="M57" s="461"/>
      <c r="N57" s="462"/>
      <c r="O57" s="462"/>
      <c r="P57" s="462"/>
      <c r="Q57" s="462"/>
      <c r="R57" s="462"/>
      <c r="S57" s="462"/>
      <c r="T57" s="462"/>
      <c r="U57" s="462"/>
      <c r="V57" s="462"/>
      <c r="W57" s="462"/>
      <c r="X57" s="462"/>
    </row>
    <row r="58" spans="1:24" ht="15" customHeight="1">
      <c r="A58" s="441"/>
      <c r="B58" s="840"/>
      <c r="C58" s="848"/>
      <c r="D58" s="848"/>
      <c r="E58" s="848"/>
      <c r="F58" s="848"/>
      <c r="G58" s="848"/>
      <c r="H58" s="848"/>
      <c r="I58" s="848"/>
      <c r="J58" s="848"/>
      <c r="K58" s="848"/>
      <c r="L58" s="441"/>
      <c r="M58" s="461"/>
      <c r="N58" s="462"/>
      <c r="O58" s="462"/>
      <c r="P58" s="462"/>
      <c r="Q58" s="462"/>
      <c r="R58" s="462"/>
      <c r="S58" s="462"/>
      <c r="T58" s="462"/>
      <c r="U58" s="462"/>
      <c r="V58" s="462"/>
      <c r="W58" s="462"/>
      <c r="X58" s="462"/>
    </row>
    <row r="59" spans="1:24">
      <c r="A59" s="441"/>
      <c r="B59" s="444" t="s">
        <v>692</v>
      </c>
      <c r="L59" s="441"/>
      <c r="M59" s="462"/>
      <c r="N59" s="462"/>
      <c r="O59" s="462"/>
      <c r="P59" s="462"/>
      <c r="Q59" s="462"/>
      <c r="R59" s="462"/>
      <c r="S59" s="462"/>
      <c r="T59" s="462"/>
      <c r="U59" s="462"/>
      <c r="V59" s="462"/>
      <c r="W59" s="462"/>
      <c r="X59" s="462"/>
    </row>
    <row r="60" spans="1:24">
      <c r="A60" s="441"/>
      <c r="L60" s="441"/>
      <c r="M60" s="462"/>
      <c r="N60" s="462"/>
      <c r="O60" s="462"/>
      <c r="P60" s="462"/>
      <c r="Q60" s="462"/>
      <c r="R60" s="462"/>
      <c r="S60" s="462"/>
      <c r="T60" s="462"/>
      <c r="U60" s="462"/>
      <c r="V60" s="462"/>
      <c r="W60" s="462"/>
      <c r="X60" s="462"/>
    </row>
    <row r="61" spans="1:24">
      <c r="A61" s="441"/>
      <c r="B61" s="442" t="s">
        <v>704</v>
      </c>
      <c r="L61" s="441"/>
      <c r="M61" s="462"/>
      <c r="N61" s="462"/>
      <c r="O61" s="462"/>
      <c r="P61" s="462"/>
      <c r="Q61" s="462"/>
      <c r="R61" s="462"/>
      <c r="S61" s="462"/>
      <c r="T61" s="462"/>
      <c r="U61" s="462"/>
      <c r="V61" s="462"/>
      <c r="W61" s="462"/>
      <c r="X61" s="462"/>
    </row>
    <row r="62" spans="1:24">
      <c r="A62" s="441"/>
      <c r="B62" s="442" t="s">
        <v>863</v>
      </c>
      <c r="L62" s="441"/>
      <c r="M62" s="462"/>
      <c r="N62" s="462"/>
      <c r="O62" s="462"/>
      <c r="P62" s="462"/>
      <c r="Q62" s="462"/>
      <c r="R62" s="462"/>
      <c r="S62" s="462"/>
      <c r="T62" s="462"/>
      <c r="U62" s="462"/>
      <c r="V62" s="462"/>
      <c r="W62" s="462"/>
      <c r="X62" s="462"/>
    </row>
    <row r="63" spans="1:24">
      <c r="A63" s="441"/>
      <c r="B63" s="442" t="s">
        <v>864</v>
      </c>
      <c r="L63" s="441"/>
      <c r="M63" s="462"/>
      <c r="N63" s="462"/>
      <c r="O63" s="462"/>
      <c r="P63" s="462"/>
      <c r="Q63" s="462"/>
      <c r="R63" s="462"/>
      <c r="S63" s="462"/>
      <c r="T63" s="462"/>
      <c r="U63" s="462"/>
      <c r="V63" s="462"/>
      <c r="W63" s="462"/>
      <c r="X63" s="462"/>
    </row>
    <row r="64" spans="1:24">
      <c r="A64" s="441"/>
      <c r="L64" s="441"/>
      <c r="M64" s="462"/>
      <c r="N64" s="462"/>
      <c r="O64" s="462"/>
      <c r="P64" s="462"/>
      <c r="Q64" s="462"/>
      <c r="R64" s="462"/>
      <c r="S64" s="462"/>
      <c r="T64" s="462"/>
      <c r="U64" s="462"/>
      <c r="V64" s="462"/>
      <c r="W64" s="462"/>
      <c r="X64" s="462"/>
    </row>
    <row r="65" spans="1:24">
      <c r="A65" s="441"/>
      <c r="B65" s="442" t="s">
        <v>705</v>
      </c>
      <c r="L65" s="441"/>
      <c r="M65" s="462"/>
      <c r="N65" s="462"/>
      <c r="O65" s="462"/>
      <c r="P65" s="462"/>
      <c r="Q65" s="462"/>
      <c r="R65" s="462"/>
      <c r="S65" s="462"/>
      <c r="T65" s="462"/>
      <c r="U65" s="462"/>
      <c r="V65" s="462"/>
      <c r="W65" s="462"/>
      <c r="X65" s="462"/>
    </row>
    <row r="66" spans="1:24">
      <c r="A66" s="441"/>
      <c r="B66" s="442" t="s">
        <v>706</v>
      </c>
      <c r="L66" s="441"/>
      <c r="M66" s="462"/>
      <c r="N66" s="462"/>
      <c r="O66" s="462"/>
      <c r="P66" s="462"/>
      <c r="Q66" s="462"/>
      <c r="R66" s="462"/>
      <c r="S66" s="462"/>
      <c r="T66" s="462"/>
      <c r="U66" s="462"/>
      <c r="V66" s="462"/>
      <c r="W66" s="462"/>
      <c r="X66" s="462"/>
    </row>
    <row r="67" spans="1:24">
      <c r="A67" s="441"/>
      <c r="L67" s="441"/>
      <c r="M67" s="462"/>
      <c r="N67" s="462"/>
      <c r="O67" s="462"/>
      <c r="P67" s="462"/>
      <c r="Q67" s="462"/>
      <c r="R67" s="462"/>
      <c r="S67" s="462"/>
      <c r="T67" s="462"/>
      <c r="U67" s="462"/>
      <c r="V67" s="462"/>
      <c r="W67" s="462"/>
      <c r="X67" s="462"/>
    </row>
    <row r="68" spans="1:24">
      <c r="A68" s="441"/>
      <c r="B68" s="442" t="s">
        <v>707</v>
      </c>
      <c r="L68" s="441"/>
      <c r="M68" s="463"/>
      <c r="N68" s="464"/>
      <c r="O68" s="464"/>
      <c r="P68" s="464"/>
      <c r="Q68" s="464"/>
      <c r="R68" s="464"/>
      <c r="S68" s="464"/>
      <c r="T68" s="464"/>
      <c r="U68" s="464"/>
      <c r="V68" s="464"/>
      <c r="W68" s="464"/>
      <c r="X68" s="462"/>
    </row>
    <row r="69" spans="1:24">
      <c r="A69" s="441"/>
      <c r="B69" s="442" t="s">
        <v>865</v>
      </c>
      <c r="L69" s="441"/>
      <c r="M69" s="462"/>
      <c r="N69" s="462"/>
      <c r="O69" s="462"/>
      <c r="P69" s="462"/>
      <c r="Q69" s="462"/>
      <c r="R69" s="462"/>
      <c r="S69" s="462"/>
      <c r="T69" s="462"/>
      <c r="U69" s="462"/>
      <c r="V69" s="462"/>
      <c r="W69" s="462"/>
      <c r="X69" s="462"/>
    </row>
    <row r="70" spans="1:24">
      <c r="A70" s="441"/>
      <c r="B70" s="442" t="s">
        <v>866</v>
      </c>
      <c r="L70" s="441"/>
      <c r="M70" s="462"/>
      <c r="N70" s="462"/>
      <c r="O70" s="462"/>
      <c r="P70" s="462"/>
      <c r="Q70" s="462"/>
      <c r="R70" s="462"/>
      <c r="S70" s="462"/>
      <c r="T70" s="462"/>
      <c r="U70" s="462"/>
      <c r="V70" s="462"/>
      <c r="W70" s="462"/>
      <c r="X70" s="462"/>
    </row>
    <row r="71" spans="1:24" ht="15" thickBot="1">
      <c r="A71" s="441"/>
      <c r="B71" s="450"/>
      <c r="C71" s="450"/>
      <c r="D71" s="450"/>
      <c r="E71" s="450"/>
      <c r="F71" s="450"/>
      <c r="G71" s="450"/>
      <c r="H71" s="450"/>
      <c r="I71" s="450"/>
      <c r="J71" s="450"/>
      <c r="K71" s="450"/>
      <c r="L71" s="441"/>
    </row>
    <row r="72" spans="1:24">
      <c r="A72" s="441"/>
      <c r="B72" s="446" t="s">
        <v>681</v>
      </c>
      <c r="C72" s="447"/>
      <c r="D72" s="447"/>
      <c r="E72" s="447"/>
      <c r="F72" s="447"/>
      <c r="G72" s="447"/>
      <c r="H72" s="447"/>
      <c r="I72" s="447"/>
      <c r="J72" s="447"/>
      <c r="K72" s="448"/>
      <c r="L72" s="465"/>
    </row>
    <row r="73" spans="1:24">
      <c r="A73" s="441"/>
      <c r="B73" s="458"/>
      <c r="C73" s="450" t="s">
        <v>687</v>
      </c>
      <c r="D73" s="450"/>
      <c r="E73" s="450"/>
      <c r="F73" s="450"/>
      <c r="G73" s="450"/>
      <c r="H73" s="450"/>
      <c r="I73" s="450"/>
      <c r="J73" s="450"/>
      <c r="K73" s="452"/>
      <c r="L73" s="465"/>
    </row>
    <row r="74" spans="1:24">
      <c r="A74" s="441"/>
      <c r="B74" s="458" t="s">
        <v>708</v>
      </c>
      <c r="C74" s="842">
        <v>312000000</v>
      </c>
      <c r="D74" s="842"/>
      <c r="E74" s="601" t="s">
        <v>686</v>
      </c>
      <c r="F74" s="601">
        <v>1000</v>
      </c>
      <c r="G74" s="601" t="s">
        <v>685</v>
      </c>
      <c r="H74" s="598">
        <f>C74/F74</f>
        <v>312000</v>
      </c>
      <c r="I74" s="450" t="s">
        <v>709</v>
      </c>
      <c r="J74" s="450"/>
      <c r="K74" s="452"/>
      <c r="L74" s="465"/>
    </row>
    <row r="75" spans="1:24">
      <c r="A75" s="441"/>
      <c r="B75" s="458"/>
      <c r="C75" s="450"/>
      <c r="D75" s="450"/>
      <c r="E75" s="601"/>
      <c r="F75" s="450"/>
      <c r="G75" s="450"/>
      <c r="H75" s="450"/>
      <c r="I75" s="450"/>
      <c r="J75" s="450"/>
      <c r="K75" s="452"/>
      <c r="L75" s="465"/>
    </row>
    <row r="76" spans="1:24">
      <c r="A76" s="441"/>
      <c r="B76" s="458"/>
      <c r="C76" s="450" t="s">
        <v>710</v>
      </c>
      <c r="D76" s="450"/>
      <c r="E76" s="601"/>
      <c r="F76" s="450" t="s">
        <v>709</v>
      </c>
      <c r="G76" s="450"/>
      <c r="H76" s="450"/>
      <c r="I76" s="450"/>
      <c r="J76" s="450"/>
      <c r="K76" s="452"/>
      <c r="L76" s="465"/>
    </row>
    <row r="77" spans="1:24">
      <c r="A77" s="441"/>
      <c r="B77" s="458" t="s">
        <v>713</v>
      </c>
      <c r="C77" s="842">
        <v>50000</v>
      </c>
      <c r="D77" s="842"/>
      <c r="E77" s="601" t="s">
        <v>686</v>
      </c>
      <c r="F77" s="598">
        <f>H74</f>
        <v>312000</v>
      </c>
      <c r="G77" s="601" t="s">
        <v>685</v>
      </c>
      <c r="H77" s="460">
        <f>C77/F77</f>
        <v>0.16025641025641027</v>
      </c>
      <c r="I77" s="450" t="s">
        <v>711</v>
      </c>
      <c r="J77" s="450"/>
      <c r="K77" s="452"/>
      <c r="L77" s="465"/>
    </row>
    <row r="78" spans="1:24">
      <c r="A78" s="441"/>
      <c r="B78" s="458"/>
      <c r="C78" s="450"/>
      <c r="D78" s="450"/>
      <c r="E78" s="601"/>
      <c r="F78" s="450"/>
      <c r="G78" s="450"/>
      <c r="H78" s="450"/>
      <c r="I78" s="450"/>
      <c r="J78" s="450"/>
      <c r="K78" s="452"/>
      <c r="L78" s="465"/>
    </row>
    <row r="79" spans="1:24">
      <c r="A79" s="441"/>
      <c r="B79" s="466"/>
      <c r="C79" s="467" t="s">
        <v>712</v>
      </c>
      <c r="D79" s="467"/>
      <c r="E79" s="607"/>
      <c r="F79" s="467"/>
      <c r="G79" s="467"/>
      <c r="H79" s="467"/>
      <c r="I79" s="467"/>
      <c r="J79" s="467"/>
      <c r="K79" s="468"/>
      <c r="L79" s="465"/>
    </row>
    <row r="80" spans="1:24">
      <c r="A80" s="441"/>
      <c r="B80" s="458" t="s">
        <v>775</v>
      </c>
      <c r="C80" s="842">
        <v>100000</v>
      </c>
      <c r="D80" s="842"/>
      <c r="E80" s="601" t="s">
        <v>95</v>
      </c>
      <c r="F80" s="601">
        <v>0.115</v>
      </c>
      <c r="G80" s="601" t="s">
        <v>685</v>
      </c>
      <c r="H80" s="598">
        <f>C80*F80</f>
        <v>11500</v>
      </c>
      <c r="I80" s="450" t="s">
        <v>714</v>
      </c>
      <c r="J80" s="450"/>
      <c r="K80" s="452"/>
      <c r="L80" s="465"/>
    </row>
    <row r="81" spans="1:12">
      <c r="A81" s="441"/>
      <c r="B81" s="458"/>
      <c r="C81" s="450"/>
      <c r="D81" s="450"/>
      <c r="E81" s="601"/>
      <c r="F81" s="450"/>
      <c r="G81" s="450"/>
      <c r="H81" s="450"/>
      <c r="I81" s="450"/>
      <c r="J81" s="450"/>
      <c r="K81" s="452"/>
      <c r="L81" s="465"/>
    </row>
    <row r="82" spans="1:12">
      <c r="A82" s="441"/>
      <c r="B82" s="466"/>
      <c r="C82" s="467" t="s">
        <v>715</v>
      </c>
      <c r="D82" s="467"/>
      <c r="E82" s="607"/>
      <c r="F82" s="467" t="s">
        <v>711</v>
      </c>
      <c r="G82" s="467"/>
      <c r="H82" s="467"/>
      <c r="I82" s="467"/>
      <c r="J82" s="467" t="s">
        <v>716</v>
      </c>
      <c r="K82" s="468"/>
      <c r="L82" s="465"/>
    </row>
    <row r="83" spans="1:12">
      <c r="A83" s="441"/>
      <c r="B83" s="458" t="s">
        <v>776</v>
      </c>
      <c r="C83" s="854">
        <f>H80</f>
        <v>11500</v>
      </c>
      <c r="D83" s="854"/>
      <c r="E83" s="601" t="s">
        <v>95</v>
      </c>
      <c r="F83" s="460">
        <f>H77</f>
        <v>0.16025641025641027</v>
      </c>
      <c r="G83" s="601" t="s">
        <v>686</v>
      </c>
      <c r="H83" s="601">
        <v>1000</v>
      </c>
      <c r="I83" s="601" t="s">
        <v>685</v>
      </c>
      <c r="J83" s="599">
        <f>C83*F83/H83</f>
        <v>1.8429487179487181</v>
      </c>
      <c r="K83" s="452"/>
      <c r="L83" s="465"/>
    </row>
    <row r="84" spans="1:12" ht="15" thickBot="1">
      <c r="A84" s="441"/>
      <c r="B84" s="453"/>
      <c r="C84" s="469"/>
      <c r="D84" s="469"/>
      <c r="E84" s="470"/>
      <c r="F84" s="471"/>
      <c r="G84" s="470"/>
      <c r="H84" s="470"/>
      <c r="I84" s="470"/>
      <c r="J84" s="472"/>
      <c r="K84" s="455"/>
      <c r="L84" s="465"/>
    </row>
    <row r="85" spans="1:12" ht="40.5" customHeight="1">
      <c r="A85" s="441"/>
      <c r="B85" s="837" t="s">
        <v>677</v>
      </c>
      <c r="C85" s="837"/>
      <c r="D85" s="837"/>
      <c r="E85" s="837"/>
      <c r="F85" s="837"/>
      <c r="G85" s="837"/>
      <c r="H85" s="837"/>
      <c r="I85" s="837"/>
      <c r="J85" s="837"/>
      <c r="K85" s="837"/>
      <c r="L85" s="441"/>
    </row>
    <row r="86" spans="1:12">
      <c r="A86" s="441"/>
      <c r="B86" s="838" t="s">
        <v>717</v>
      </c>
      <c r="C86" s="838"/>
      <c r="D86" s="838"/>
      <c r="E86" s="838"/>
      <c r="F86" s="838"/>
      <c r="G86" s="838"/>
      <c r="H86" s="838"/>
      <c r="I86" s="838"/>
      <c r="J86" s="838"/>
      <c r="K86" s="838"/>
      <c r="L86" s="441"/>
    </row>
    <row r="87" spans="1:12">
      <c r="A87" s="441"/>
      <c r="B87" s="473"/>
      <c r="C87" s="473"/>
      <c r="D87" s="473"/>
      <c r="E87" s="473"/>
      <c r="F87" s="473"/>
      <c r="G87" s="473"/>
      <c r="H87" s="473"/>
      <c r="I87" s="473"/>
      <c r="J87" s="473"/>
      <c r="K87" s="473"/>
      <c r="L87" s="441"/>
    </row>
    <row r="88" spans="1:12">
      <c r="A88" s="441"/>
      <c r="B88" s="838" t="s">
        <v>718</v>
      </c>
      <c r="C88" s="838"/>
      <c r="D88" s="838"/>
      <c r="E88" s="838"/>
      <c r="F88" s="838"/>
      <c r="G88" s="838"/>
      <c r="H88" s="838"/>
      <c r="I88" s="838"/>
      <c r="J88" s="838"/>
      <c r="K88" s="838"/>
      <c r="L88" s="441"/>
    </row>
    <row r="89" spans="1:12">
      <c r="A89" s="441"/>
      <c r="B89" s="600"/>
      <c r="C89" s="600"/>
      <c r="D89" s="600"/>
      <c r="E89" s="600"/>
      <c r="F89" s="600"/>
      <c r="G89" s="600"/>
      <c r="H89" s="600"/>
      <c r="I89" s="600"/>
      <c r="J89" s="600"/>
      <c r="K89" s="600"/>
      <c r="L89" s="441"/>
    </row>
    <row r="90" spans="1:12" ht="45" customHeight="1">
      <c r="A90" s="441"/>
      <c r="B90" s="840" t="s">
        <v>719</v>
      </c>
      <c r="C90" s="840"/>
      <c r="D90" s="840"/>
      <c r="E90" s="840"/>
      <c r="F90" s="840"/>
      <c r="G90" s="840"/>
      <c r="H90" s="840"/>
      <c r="I90" s="840"/>
      <c r="J90" s="840"/>
      <c r="K90" s="840"/>
      <c r="L90" s="441"/>
    </row>
    <row r="91" spans="1:12" ht="15" customHeight="1" thickBot="1">
      <c r="A91" s="441"/>
      <c r="L91" s="441"/>
    </row>
    <row r="92" spans="1:12" ht="15" customHeight="1">
      <c r="A92" s="441"/>
      <c r="B92" s="474" t="s">
        <v>681</v>
      </c>
      <c r="C92" s="475"/>
      <c r="D92" s="475"/>
      <c r="E92" s="475"/>
      <c r="F92" s="475"/>
      <c r="G92" s="475"/>
      <c r="H92" s="475"/>
      <c r="I92" s="475"/>
      <c r="J92" s="475"/>
      <c r="K92" s="476"/>
      <c r="L92" s="441"/>
    </row>
    <row r="93" spans="1:12" ht="15" customHeight="1">
      <c r="A93" s="441"/>
      <c r="B93" s="477"/>
      <c r="C93" s="605" t="s">
        <v>687</v>
      </c>
      <c r="D93" s="605"/>
      <c r="E93" s="605"/>
      <c r="F93" s="605"/>
      <c r="G93" s="605"/>
      <c r="H93" s="605"/>
      <c r="I93" s="605"/>
      <c r="J93" s="605"/>
      <c r="K93" s="478"/>
      <c r="L93" s="441"/>
    </row>
    <row r="94" spans="1:12" ht="15" customHeight="1">
      <c r="A94" s="441"/>
      <c r="B94" s="477" t="s">
        <v>708</v>
      </c>
      <c r="C94" s="842">
        <v>312000000</v>
      </c>
      <c r="D94" s="842"/>
      <c r="E94" s="601" t="s">
        <v>686</v>
      </c>
      <c r="F94" s="601">
        <v>1000</v>
      </c>
      <c r="G94" s="601" t="s">
        <v>685</v>
      </c>
      <c r="H94" s="598">
        <f>C94/F94</f>
        <v>312000</v>
      </c>
      <c r="I94" s="605" t="s">
        <v>709</v>
      </c>
      <c r="J94" s="605"/>
      <c r="K94" s="478"/>
      <c r="L94" s="441"/>
    </row>
    <row r="95" spans="1:12" ht="15" customHeight="1">
      <c r="A95" s="441"/>
      <c r="B95" s="477"/>
      <c r="C95" s="605"/>
      <c r="D95" s="605"/>
      <c r="E95" s="601"/>
      <c r="F95" s="605"/>
      <c r="G95" s="605"/>
      <c r="H95" s="605"/>
      <c r="I95" s="605"/>
      <c r="J95" s="605"/>
      <c r="K95" s="478"/>
      <c r="L95" s="441"/>
    </row>
    <row r="96" spans="1:12" ht="15" customHeight="1">
      <c r="A96" s="441"/>
      <c r="B96" s="477"/>
      <c r="C96" s="605" t="s">
        <v>710</v>
      </c>
      <c r="D96" s="605"/>
      <c r="E96" s="601"/>
      <c r="F96" s="605" t="s">
        <v>709</v>
      </c>
      <c r="G96" s="605"/>
      <c r="H96" s="605"/>
      <c r="I96" s="605"/>
      <c r="J96" s="605"/>
      <c r="K96" s="478"/>
      <c r="L96" s="441"/>
    </row>
    <row r="97" spans="1:12" ht="15" customHeight="1">
      <c r="A97" s="441"/>
      <c r="B97" s="477" t="s">
        <v>713</v>
      </c>
      <c r="C97" s="842">
        <v>50000</v>
      </c>
      <c r="D97" s="842"/>
      <c r="E97" s="601" t="s">
        <v>686</v>
      </c>
      <c r="F97" s="598">
        <f>H94</f>
        <v>312000</v>
      </c>
      <c r="G97" s="601" t="s">
        <v>685</v>
      </c>
      <c r="H97" s="460">
        <f>C97/F97</f>
        <v>0.16025641025641027</v>
      </c>
      <c r="I97" s="605" t="s">
        <v>711</v>
      </c>
      <c r="J97" s="605"/>
      <c r="K97" s="478"/>
      <c r="L97" s="441"/>
    </row>
    <row r="98" spans="1:12" ht="15" customHeight="1">
      <c r="A98" s="441"/>
      <c r="B98" s="477"/>
      <c r="C98" s="605"/>
      <c r="D98" s="605"/>
      <c r="E98" s="601"/>
      <c r="F98" s="605"/>
      <c r="G98" s="605"/>
      <c r="H98" s="605"/>
      <c r="I98" s="605"/>
      <c r="J98" s="605"/>
      <c r="K98" s="478"/>
      <c r="L98" s="441"/>
    </row>
    <row r="99" spans="1:12" ht="15" customHeight="1">
      <c r="A99" s="441"/>
      <c r="B99" s="479"/>
      <c r="C99" s="480" t="s">
        <v>720</v>
      </c>
      <c r="D99" s="480"/>
      <c r="E99" s="607"/>
      <c r="F99" s="480"/>
      <c r="G99" s="480"/>
      <c r="H99" s="480"/>
      <c r="I99" s="480"/>
      <c r="J99" s="480"/>
      <c r="K99" s="481"/>
      <c r="L99" s="441"/>
    </row>
    <row r="100" spans="1:12" ht="15" customHeight="1">
      <c r="A100" s="441"/>
      <c r="B100" s="477" t="s">
        <v>775</v>
      </c>
      <c r="C100" s="842">
        <v>2500000</v>
      </c>
      <c r="D100" s="842"/>
      <c r="E100" s="601" t="s">
        <v>95</v>
      </c>
      <c r="F100" s="482">
        <v>0.3</v>
      </c>
      <c r="G100" s="601" t="s">
        <v>685</v>
      </c>
      <c r="H100" s="598">
        <f>C100*F100</f>
        <v>750000</v>
      </c>
      <c r="I100" s="605" t="s">
        <v>714</v>
      </c>
      <c r="J100" s="605"/>
      <c r="K100" s="478"/>
      <c r="L100" s="441"/>
    </row>
    <row r="101" spans="1:12" ht="15" customHeight="1">
      <c r="A101" s="441"/>
      <c r="B101" s="477"/>
      <c r="C101" s="605"/>
      <c r="D101" s="605"/>
      <c r="E101" s="601"/>
      <c r="F101" s="605"/>
      <c r="G101" s="605"/>
      <c r="H101" s="605"/>
      <c r="I101" s="605"/>
      <c r="J101" s="605"/>
      <c r="K101" s="478"/>
      <c r="L101" s="441"/>
    </row>
    <row r="102" spans="1:12" ht="15" customHeight="1">
      <c r="A102" s="441"/>
      <c r="B102" s="479"/>
      <c r="C102" s="480" t="s">
        <v>715</v>
      </c>
      <c r="D102" s="480"/>
      <c r="E102" s="607"/>
      <c r="F102" s="480" t="s">
        <v>711</v>
      </c>
      <c r="G102" s="480"/>
      <c r="H102" s="480"/>
      <c r="I102" s="480"/>
      <c r="J102" s="480" t="s">
        <v>716</v>
      </c>
      <c r="K102" s="481"/>
      <c r="L102" s="441"/>
    </row>
    <row r="103" spans="1:12" ht="15" customHeight="1">
      <c r="A103" s="441"/>
      <c r="B103" s="477" t="s">
        <v>776</v>
      </c>
      <c r="C103" s="854">
        <f>H100</f>
        <v>750000</v>
      </c>
      <c r="D103" s="854"/>
      <c r="E103" s="601" t="s">
        <v>95</v>
      </c>
      <c r="F103" s="460">
        <f>H97</f>
        <v>0.16025641025641027</v>
      </c>
      <c r="G103" s="601" t="s">
        <v>686</v>
      </c>
      <c r="H103" s="601">
        <v>1000</v>
      </c>
      <c r="I103" s="601" t="s">
        <v>685</v>
      </c>
      <c r="J103" s="599">
        <f>C103*F103/H103</f>
        <v>120.19230769230771</v>
      </c>
      <c r="K103" s="478"/>
      <c r="L103" s="441"/>
    </row>
    <row r="104" spans="1:12" ht="15" customHeight="1" thickBot="1">
      <c r="A104" s="441"/>
      <c r="B104" s="483"/>
      <c r="C104" s="469"/>
      <c r="D104" s="469"/>
      <c r="E104" s="470"/>
      <c r="F104" s="471"/>
      <c r="G104" s="470"/>
      <c r="H104" s="470"/>
      <c r="I104" s="470"/>
      <c r="J104" s="472"/>
      <c r="K104" s="606"/>
      <c r="L104" s="441"/>
    </row>
    <row r="105" spans="1:12" ht="40.5" customHeight="1">
      <c r="A105" s="441"/>
      <c r="B105" s="837" t="s">
        <v>677</v>
      </c>
      <c r="C105" s="856"/>
      <c r="D105" s="856"/>
      <c r="E105" s="856"/>
      <c r="F105" s="856"/>
      <c r="G105" s="856"/>
      <c r="H105" s="856"/>
      <c r="I105" s="856"/>
      <c r="J105" s="856"/>
      <c r="K105" s="856"/>
      <c r="L105" s="441"/>
    </row>
    <row r="106" spans="1:12" ht="15" customHeight="1">
      <c r="A106" s="441"/>
      <c r="B106" s="857" t="s">
        <v>721</v>
      </c>
      <c r="C106" s="851"/>
      <c r="D106" s="851"/>
      <c r="E106" s="851"/>
      <c r="F106" s="851"/>
      <c r="G106" s="851"/>
      <c r="H106" s="851"/>
      <c r="I106" s="851"/>
      <c r="J106" s="851"/>
      <c r="K106" s="851"/>
      <c r="L106" s="441"/>
    </row>
    <row r="107" spans="1:12" ht="15" customHeight="1">
      <c r="A107" s="441"/>
      <c r="B107" s="605"/>
      <c r="C107" s="484"/>
      <c r="D107" s="484"/>
      <c r="E107" s="601"/>
      <c r="F107" s="460"/>
      <c r="G107" s="601"/>
      <c r="H107" s="601"/>
      <c r="I107" s="601"/>
      <c r="J107" s="599"/>
      <c r="K107" s="605"/>
      <c r="L107" s="441"/>
    </row>
    <row r="108" spans="1:12" ht="15" customHeight="1">
      <c r="A108" s="441"/>
      <c r="B108" s="857" t="s">
        <v>722</v>
      </c>
      <c r="C108" s="858"/>
      <c r="D108" s="858"/>
      <c r="E108" s="858"/>
      <c r="F108" s="858"/>
      <c r="G108" s="858"/>
      <c r="H108" s="858"/>
      <c r="I108" s="858"/>
      <c r="J108" s="858"/>
      <c r="K108" s="858"/>
      <c r="L108" s="441"/>
    </row>
    <row r="109" spans="1:12" ht="15" customHeight="1">
      <c r="A109" s="441"/>
      <c r="B109" s="605"/>
      <c r="C109" s="484"/>
      <c r="D109" s="484"/>
      <c r="E109" s="601"/>
      <c r="F109" s="460"/>
      <c r="G109" s="601"/>
      <c r="H109" s="601"/>
      <c r="I109" s="601"/>
      <c r="J109" s="599"/>
      <c r="K109" s="605"/>
      <c r="L109" s="441"/>
    </row>
    <row r="110" spans="1:12" ht="59.25" customHeight="1">
      <c r="A110" s="441"/>
      <c r="B110" s="859" t="s">
        <v>723</v>
      </c>
      <c r="C110" s="848"/>
      <c r="D110" s="848"/>
      <c r="E110" s="848"/>
      <c r="F110" s="848"/>
      <c r="G110" s="848"/>
      <c r="H110" s="848"/>
      <c r="I110" s="848"/>
      <c r="J110" s="848"/>
      <c r="K110" s="848"/>
      <c r="L110" s="441"/>
    </row>
    <row r="111" spans="1:12" ht="15" thickBot="1">
      <c r="A111" s="441"/>
      <c r="B111" s="603"/>
      <c r="C111" s="603"/>
      <c r="D111" s="603"/>
      <c r="E111" s="603"/>
      <c r="F111" s="603"/>
      <c r="G111" s="603"/>
      <c r="H111" s="603"/>
      <c r="I111" s="603"/>
      <c r="J111" s="603"/>
      <c r="K111" s="603"/>
      <c r="L111" s="485"/>
    </row>
    <row r="112" spans="1:12">
      <c r="A112" s="441"/>
      <c r="B112" s="446" t="s">
        <v>681</v>
      </c>
      <c r="C112" s="447"/>
      <c r="D112" s="447"/>
      <c r="E112" s="447"/>
      <c r="F112" s="447"/>
      <c r="G112" s="447"/>
      <c r="H112" s="447"/>
      <c r="I112" s="447"/>
      <c r="J112" s="447"/>
      <c r="K112" s="448"/>
      <c r="L112" s="441"/>
    </row>
    <row r="113" spans="1:12">
      <c r="A113" s="441"/>
      <c r="B113" s="458"/>
      <c r="C113" s="450" t="s">
        <v>687</v>
      </c>
      <c r="D113" s="450"/>
      <c r="E113" s="450"/>
      <c r="F113" s="450"/>
      <c r="G113" s="450"/>
      <c r="H113" s="450"/>
      <c r="I113" s="450"/>
      <c r="J113" s="450"/>
      <c r="K113" s="452"/>
      <c r="L113" s="441"/>
    </row>
    <row r="114" spans="1:12">
      <c r="A114" s="441"/>
      <c r="B114" s="458" t="s">
        <v>708</v>
      </c>
      <c r="C114" s="842">
        <v>312000000</v>
      </c>
      <c r="D114" s="842"/>
      <c r="E114" s="601" t="s">
        <v>686</v>
      </c>
      <c r="F114" s="601">
        <v>1000</v>
      </c>
      <c r="G114" s="601" t="s">
        <v>685</v>
      </c>
      <c r="H114" s="598">
        <f>C114/F114</f>
        <v>312000</v>
      </c>
      <c r="I114" s="450" t="s">
        <v>709</v>
      </c>
      <c r="J114" s="450"/>
      <c r="K114" s="452"/>
      <c r="L114" s="441"/>
    </row>
    <row r="115" spans="1:12">
      <c r="A115" s="441"/>
      <c r="B115" s="458"/>
      <c r="C115" s="450"/>
      <c r="D115" s="450"/>
      <c r="E115" s="601"/>
      <c r="F115" s="450"/>
      <c r="G115" s="450"/>
      <c r="H115" s="450"/>
      <c r="I115" s="450"/>
      <c r="J115" s="450"/>
      <c r="K115" s="452"/>
      <c r="L115" s="441"/>
    </row>
    <row r="116" spans="1:12">
      <c r="A116" s="441"/>
      <c r="B116" s="458"/>
      <c r="C116" s="450" t="s">
        <v>710</v>
      </c>
      <c r="D116" s="450"/>
      <c r="E116" s="601"/>
      <c r="F116" s="450" t="s">
        <v>709</v>
      </c>
      <c r="G116" s="450"/>
      <c r="H116" s="450"/>
      <c r="I116" s="450"/>
      <c r="J116" s="450"/>
      <c r="K116" s="452"/>
      <c r="L116" s="441"/>
    </row>
    <row r="117" spans="1:12">
      <c r="A117" s="441"/>
      <c r="B117" s="458" t="s">
        <v>713</v>
      </c>
      <c r="C117" s="842">
        <v>50000</v>
      </c>
      <c r="D117" s="842"/>
      <c r="E117" s="601" t="s">
        <v>686</v>
      </c>
      <c r="F117" s="598">
        <f>H114</f>
        <v>312000</v>
      </c>
      <c r="G117" s="601" t="s">
        <v>685</v>
      </c>
      <c r="H117" s="460">
        <f>C117/F117</f>
        <v>0.16025641025641027</v>
      </c>
      <c r="I117" s="450" t="s">
        <v>711</v>
      </c>
      <c r="J117" s="450"/>
      <c r="K117" s="452"/>
      <c r="L117" s="441"/>
    </row>
    <row r="118" spans="1:12">
      <c r="A118" s="441"/>
      <c r="B118" s="458"/>
      <c r="C118" s="450"/>
      <c r="D118" s="450"/>
      <c r="E118" s="601"/>
      <c r="F118" s="450"/>
      <c r="G118" s="450"/>
      <c r="H118" s="450"/>
      <c r="I118" s="450"/>
      <c r="J118" s="450"/>
      <c r="K118" s="452"/>
      <c r="L118" s="441"/>
    </row>
    <row r="119" spans="1:12">
      <c r="A119" s="441"/>
      <c r="B119" s="466"/>
      <c r="C119" s="467" t="s">
        <v>720</v>
      </c>
      <c r="D119" s="467"/>
      <c r="E119" s="607"/>
      <c r="F119" s="467"/>
      <c r="G119" s="467"/>
      <c r="H119" s="467"/>
      <c r="I119" s="467"/>
      <c r="J119" s="467"/>
      <c r="K119" s="468"/>
      <c r="L119" s="441"/>
    </row>
    <row r="120" spans="1:12">
      <c r="A120" s="441"/>
      <c r="B120" s="458" t="s">
        <v>775</v>
      </c>
      <c r="C120" s="842">
        <v>2500000</v>
      </c>
      <c r="D120" s="842"/>
      <c r="E120" s="601" t="s">
        <v>95</v>
      </c>
      <c r="F120" s="482">
        <v>0.25</v>
      </c>
      <c r="G120" s="601" t="s">
        <v>685</v>
      </c>
      <c r="H120" s="598">
        <f>C120*F120</f>
        <v>625000</v>
      </c>
      <c r="I120" s="450" t="s">
        <v>714</v>
      </c>
      <c r="J120" s="450"/>
      <c r="K120" s="452"/>
      <c r="L120" s="441"/>
    </row>
    <row r="121" spans="1:12">
      <c r="A121" s="441"/>
      <c r="B121" s="458"/>
      <c r="C121" s="450"/>
      <c r="D121" s="450"/>
      <c r="E121" s="601"/>
      <c r="F121" s="450"/>
      <c r="G121" s="450"/>
      <c r="H121" s="450"/>
      <c r="I121" s="450"/>
      <c r="J121" s="450"/>
      <c r="K121" s="452"/>
      <c r="L121" s="441"/>
    </row>
    <row r="122" spans="1:12">
      <c r="A122" s="441"/>
      <c r="B122" s="466"/>
      <c r="C122" s="467" t="s">
        <v>715</v>
      </c>
      <c r="D122" s="467"/>
      <c r="E122" s="607"/>
      <c r="F122" s="467" t="s">
        <v>711</v>
      </c>
      <c r="G122" s="467"/>
      <c r="H122" s="467"/>
      <c r="I122" s="467"/>
      <c r="J122" s="467" t="s">
        <v>716</v>
      </c>
      <c r="K122" s="468"/>
      <c r="L122" s="441"/>
    </row>
    <row r="123" spans="1:12">
      <c r="A123" s="441"/>
      <c r="B123" s="458" t="s">
        <v>776</v>
      </c>
      <c r="C123" s="854">
        <f>H120</f>
        <v>625000</v>
      </c>
      <c r="D123" s="854"/>
      <c r="E123" s="601" t="s">
        <v>95</v>
      </c>
      <c r="F123" s="460">
        <f>H117</f>
        <v>0.16025641025641027</v>
      </c>
      <c r="G123" s="601" t="s">
        <v>686</v>
      </c>
      <c r="H123" s="601">
        <v>1000</v>
      </c>
      <c r="I123" s="601" t="s">
        <v>685</v>
      </c>
      <c r="J123" s="599">
        <f>C123*F123/H123</f>
        <v>100.16025641025642</v>
      </c>
      <c r="K123" s="452"/>
      <c r="L123" s="441"/>
    </row>
    <row r="124" spans="1:12" ht="15" thickBot="1">
      <c r="A124" s="441"/>
      <c r="B124" s="453"/>
      <c r="C124" s="469"/>
      <c r="D124" s="469"/>
      <c r="E124" s="470"/>
      <c r="F124" s="471"/>
      <c r="G124" s="470"/>
      <c r="H124" s="470"/>
      <c r="I124" s="470"/>
      <c r="J124" s="472"/>
      <c r="K124" s="455"/>
      <c r="L124" s="441"/>
    </row>
    <row r="125" spans="1:12" ht="40.5" customHeight="1">
      <c r="A125" s="441"/>
      <c r="B125" s="837" t="s">
        <v>677</v>
      </c>
      <c r="C125" s="837"/>
      <c r="D125" s="837"/>
      <c r="E125" s="837"/>
      <c r="F125" s="837"/>
      <c r="G125" s="837"/>
      <c r="H125" s="837"/>
      <c r="I125" s="837"/>
      <c r="J125" s="837"/>
      <c r="K125" s="837"/>
      <c r="L125" s="485"/>
    </row>
    <row r="126" spans="1:12">
      <c r="A126" s="441"/>
      <c r="B126" s="838" t="s">
        <v>724</v>
      </c>
      <c r="C126" s="838"/>
      <c r="D126" s="838"/>
      <c r="E126" s="838"/>
      <c r="F126" s="838"/>
      <c r="G126" s="838"/>
      <c r="H126" s="838"/>
      <c r="I126" s="838"/>
      <c r="J126" s="838"/>
      <c r="K126" s="838"/>
      <c r="L126" s="485"/>
    </row>
    <row r="127" spans="1:12">
      <c r="A127" s="441"/>
      <c r="B127" s="603"/>
      <c r="C127" s="603"/>
      <c r="D127" s="603"/>
      <c r="E127" s="603"/>
      <c r="F127" s="603"/>
      <c r="G127" s="603"/>
      <c r="H127" s="603"/>
      <c r="I127" s="603"/>
      <c r="J127" s="603"/>
      <c r="K127" s="603"/>
      <c r="L127" s="485"/>
    </row>
    <row r="128" spans="1:12">
      <c r="A128" s="441"/>
      <c r="B128" s="838" t="s">
        <v>725</v>
      </c>
      <c r="C128" s="838"/>
      <c r="D128" s="838"/>
      <c r="E128" s="838"/>
      <c r="F128" s="838"/>
      <c r="G128" s="838"/>
      <c r="H128" s="838"/>
      <c r="I128" s="838"/>
      <c r="J128" s="838"/>
      <c r="K128" s="838"/>
      <c r="L128" s="485"/>
    </row>
    <row r="129" spans="1:12">
      <c r="A129" s="441"/>
      <c r="B129" s="600"/>
      <c r="C129" s="600"/>
      <c r="D129" s="600"/>
      <c r="E129" s="600"/>
      <c r="F129" s="600"/>
      <c r="G129" s="600"/>
      <c r="H129" s="600"/>
      <c r="I129" s="600"/>
      <c r="J129" s="600"/>
      <c r="K129" s="600"/>
      <c r="L129" s="485"/>
    </row>
    <row r="130" spans="1:12" ht="74.25" customHeight="1">
      <c r="A130" s="441"/>
      <c r="B130" s="840" t="s">
        <v>777</v>
      </c>
      <c r="C130" s="840"/>
      <c r="D130" s="840"/>
      <c r="E130" s="840"/>
      <c r="F130" s="840"/>
      <c r="G130" s="840"/>
      <c r="H130" s="840"/>
      <c r="I130" s="840"/>
      <c r="J130" s="840"/>
      <c r="K130" s="840"/>
      <c r="L130" s="485"/>
    </row>
    <row r="131" spans="1:12" ht="15" thickBot="1">
      <c r="A131" s="441"/>
      <c r="L131" s="441"/>
    </row>
    <row r="132" spans="1:12">
      <c r="A132" s="441"/>
      <c r="B132" s="446" t="s">
        <v>681</v>
      </c>
      <c r="C132" s="447"/>
      <c r="D132" s="447"/>
      <c r="E132" s="447"/>
      <c r="F132" s="447"/>
      <c r="G132" s="447"/>
      <c r="H132" s="447"/>
      <c r="I132" s="447"/>
      <c r="J132" s="447"/>
      <c r="K132" s="448"/>
      <c r="L132" s="441"/>
    </row>
    <row r="133" spans="1:12">
      <c r="A133" s="441"/>
      <c r="B133" s="458"/>
      <c r="C133" s="839" t="s">
        <v>726</v>
      </c>
      <c r="D133" s="839"/>
      <c r="E133" s="450"/>
      <c r="F133" s="601" t="s">
        <v>727</v>
      </c>
      <c r="G133" s="450"/>
      <c r="H133" s="839" t="s">
        <v>714</v>
      </c>
      <c r="I133" s="839"/>
      <c r="J133" s="450"/>
      <c r="K133" s="452"/>
      <c r="L133" s="441"/>
    </row>
    <row r="134" spans="1:12">
      <c r="A134" s="441"/>
      <c r="B134" s="458" t="s">
        <v>708</v>
      </c>
      <c r="C134" s="842">
        <v>100000</v>
      </c>
      <c r="D134" s="842"/>
      <c r="E134" s="601" t="s">
        <v>95</v>
      </c>
      <c r="F134" s="601">
        <v>0.115</v>
      </c>
      <c r="G134" s="601" t="s">
        <v>685</v>
      </c>
      <c r="H134" s="829">
        <f>C134*F134</f>
        <v>11500</v>
      </c>
      <c r="I134" s="829"/>
      <c r="J134" s="450"/>
      <c r="K134" s="452"/>
      <c r="L134" s="441"/>
    </row>
    <row r="135" spans="1:12">
      <c r="A135" s="441"/>
      <c r="B135" s="458"/>
      <c r="C135" s="450"/>
      <c r="D135" s="450"/>
      <c r="E135" s="450"/>
      <c r="F135" s="450"/>
      <c r="G135" s="450"/>
      <c r="H135" s="450"/>
      <c r="I135" s="450"/>
      <c r="J135" s="450"/>
      <c r="K135" s="452"/>
      <c r="L135" s="441"/>
    </row>
    <row r="136" spans="1:12">
      <c r="A136" s="441"/>
      <c r="B136" s="466"/>
      <c r="C136" s="855" t="s">
        <v>714</v>
      </c>
      <c r="D136" s="855"/>
      <c r="E136" s="467"/>
      <c r="F136" s="607" t="s">
        <v>728</v>
      </c>
      <c r="G136" s="607"/>
      <c r="H136" s="467"/>
      <c r="I136" s="467"/>
      <c r="J136" s="467" t="s">
        <v>729</v>
      </c>
      <c r="K136" s="468"/>
      <c r="L136" s="441"/>
    </row>
    <row r="137" spans="1:12">
      <c r="A137" s="441"/>
      <c r="B137" s="458" t="s">
        <v>713</v>
      </c>
      <c r="C137" s="829">
        <f>H134</f>
        <v>11500</v>
      </c>
      <c r="D137" s="829"/>
      <c r="E137" s="601" t="s">
        <v>95</v>
      </c>
      <c r="F137" s="486">
        <v>52.869</v>
      </c>
      <c r="G137" s="601" t="s">
        <v>686</v>
      </c>
      <c r="H137" s="601">
        <v>1000</v>
      </c>
      <c r="I137" s="601" t="s">
        <v>685</v>
      </c>
      <c r="J137" s="487">
        <f>C137*F137/H137</f>
        <v>607.99350000000004</v>
      </c>
      <c r="K137" s="452"/>
      <c r="L137" s="441"/>
    </row>
    <row r="138" spans="1:12" ht="15" thickBot="1">
      <c r="A138" s="441"/>
      <c r="B138" s="453"/>
      <c r="C138" s="585"/>
      <c r="D138" s="585"/>
      <c r="E138" s="470"/>
      <c r="F138" s="586"/>
      <c r="G138" s="470"/>
      <c r="H138" s="470"/>
      <c r="I138" s="470"/>
      <c r="J138" s="587"/>
      <c r="K138" s="455"/>
      <c r="L138" s="441"/>
    </row>
    <row r="139" spans="1:12" ht="40.5" customHeight="1">
      <c r="A139" s="441"/>
      <c r="B139" s="572" t="s">
        <v>677</v>
      </c>
      <c r="C139" s="573"/>
      <c r="D139" s="573"/>
      <c r="E139" s="574"/>
      <c r="F139" s="575"/>
      <c r="G139" s="574"/>
      <c r="H139" s="574"/>
      <c r="I139" s="574"/>
      <c r="J139" s="576"/>
      <c r="K139" s="577"/>
      <c r="L139" s="441"/>
    </row>
    <row r="140" spans="1:12">
      <c r="A140" s="441"/>
      <c r="B140" s="578" t="s">
        <v>778</v>
      </c>
      <c r="C140" s="579"/>
      <c r="D140" s="579"/>
      <c r="E140" s="580"/>
      <c r="F140" s="581"/>
      <c r="G140" s="580"/>
      <c r="H140" s="580"/>
      <c r="I140" s="580"/>
      <c r="J140" s="582"/>
      <c r="K140" s="583"/>
      <c r="L140" s="441"/>
    </row>
    <row r="141" spans="1:12">
      <c r="A141" s="441"/>
      <c r="B141" s="458"/>
      <c r="C141" s="598"/>
      <c r="D141" s="598"/>
      <c r="E141" s="601"/>
      <c r="F141" s="588"/>
      <c r="G141" s="601"/>
      <c r="H141" s="601"/>
      <c r="I141" s="601"/>
      <c r="J141" s="487"/>
      <c r="K141" s="452"/>
      <c r="L141" s="441"/>
    </row>
    <row r="142" spans="1:12">
      <c r="A142" s="441"/>
      <c r="B142" s="578" t="s">
        <v>779</v>
      </c>
      <c r="C142" s="579"/>
      <c r="D142" s="579"/>
      <c r="E142" s="580"/>
      <c r="F142" s="581"/>
      <c r="G142" s="580"/>
      <c r="H142" s="580"/>
      <c r="I142" s="580"/>
      <c r="J142" s="582"/>
      <c r="K142" s="583"/>
      <c r="L142" s="441"/>
    </row>
    <row r="143" spans="1:12">
      <c r="A143" s="441"/>
      <c r="B143" s="458"/>
      <c r="C143" s="598"/>
      <c r="D143" s="598"/>
      <c r="E143" s="601"/>
      <c r="F143" s="588"/>
      <c r="G143" s="601"/>
      <c r="H143" s="601"/>
      <c r="I143" s="601"/>
      <c r="J143" s="487"/>
      <c r="K143" s="452"/>
      <c r="L143" s="441"/>
    </row>
    <row r="144" spans="1:12" ht="76.5" customHeight="1">
      <c r="A144" s="441"/>
      <c r="B144" s="830" t="s">
        <v>780</v>
      </c>
      <c r="C144" s="831"/>
      <c r="D144" s="831"/>
      <c r="E144" s="831"/>
      <c r="F144" s="831"/>
      <c r="G144" s="831"/>
      <c r="H144" s="831"/>
      <c r="I144" s="831"/>
      <c r="J144" s="831"/>
      <c r="K144" s="832"/>
      <c r="L144" s="441"/>
    </row>
    <row r="145" spans="1:12" ht="15" thickBot="1">
      <c r="A145" s="441"/>
      <c r="B145" s="458"/>
      <c r="C145" s="598"/>
      <c r="D145" s="598"/>
      <c r="E145" s="601"/>
      <c r="F145" s="588"/>
      <c r="G145" s="601"/>
      <c r="H145" s="601"/>
      <c r="I145" s="601"/>
      <c r="J145" s="487"/>
      <c r="K145" s="452"/>
      <c r="L145" s="441"/>
    </row>
    <row r="146" spans="1:12">
      <c r="A146" s="441"/>
      <c r="B146" s="446" t="s">
        <v>681</v>
      </c>
      <c r="C146" s="589"/>
      <c r="D146" s="589"/>
      <c r="E146" s="590"/>
      <c r="F146" s="591"/>
      <c r="G146" s="590"/>
      <c r="H146" s="590"/>
      <c r="I146" s="590"/>
      <c r="J146" s="592"/>
      <c r="K146" s="448"/>
      <c r="L146" s="441"/>
    </row>
    <row r="147" spans="1:12">
      <c r="A147" s="441"/>
      <c r="B147" s="458"/>
      <c r="C147" s="829" t="s">
        <v>781</v>
      </c>
      <c r="D147" s="829"/>
      <c r="E147" s="601"/>
      <c r="F147" s="588" t="s">
        <v>782</v>
      </c>
      <c r="G147" s="601"/>
      <c r="H147" s="601"/>
      <c r="I147" s="601"/>
      <c r="J147" s="833" t="s">
        <v>783</v>
      </c>
      <c r="K147" s="834"/>
      <c r="L147" s="441"/>
    </row>
    <row r="148" spans="1:12">
      <c r="A148" s="441"/>
      <c r="B148" s="458"/>
      <c r="C148" s="835">
        <v>52.869</v>
      </c>
      <c r="D148" s="835"/>
      <c r="E148" s="601" t="s">
        <v>95</v>
      </c>
      <c r="F148" s="602">
        <v>312000000</v>
      </c>
      <c r="G148" s="593" t="s">
        <v>686</v>
      </c>
      <c r="H148" s="601">
        <v>1000</v>
      </c>
      <c r="I148" s="601" t="s">
        <v>685</v>
      </c>
      <c r="J148" s="833">
        <f>C148*(F148/1000)</f>
        <v>16495128</v>
      </c>
      <c r="K148" s="836"/>
      <c r="L148" s="441"/>
    </row>
    <row r="149" spans="1:12" ht="15" thickBot="1">
      <c r="A149" s="441"/>
      <c r="B149" s="453"/>
      <c r="C149" s="585"/>
      <c r="D149" s="585"/>
      <c r="E149" s="470"/>
      <c r="F149" s="586"/>
      <c r="G149" s="470"/>
      <c r="H149" s="470"/>
      <c r="I149" s="470"/>
      <c r="J149" s="587"/>
      <c r="K149" s="455"/>
      <c r="L149" s="441"/>
    </row>
    <row r="150" spans="1:12" ht="15" thickBot="1">
      <c r="A150" s="441"/>
      <c r="B150" s="453"/>
      <c r="C150" s="454"/>
      <c r="D150" s="454"/>
      <c r="E150" s="454"/>
      <c r="F150" s="454"/>
      <c r="G150" s="454"/>
      <c r="H150" s="454"/>
      <c r="I150" s="454"/>
      <c r="J150" s="454"/>
      <c r="K150" s="455"/>
      <c r="L150" s="441"/>
    </row>
    <row r="151" spans="1:12">
      <c r="A151" s="441"/>
      <c r="B151" s="441"/>
      <c r="C151" s="441"/>
      <c r="D151" s="441"/>
      <c r="E151" s="441"/>
      <c r="F151" s="441"/>
      <c r="G151" s="441"/>
      <c r="H151" s="441"/>
      <c r="I151" s="441"/>
      <c r="J151" s="441"/>
      <c r="K151" s="441"/>
      <c r="L151" s="441"/>
    </row>
    <row r="152" spans="1:12">
      <c r="A152" s="441"/>
      <c r="B152" s="441"/>
      <c r="C152" s="441"/>
      <c r="D152" s="441"/>
      <c r="E152" s="441"/>
      <c r="F152" s="441"/>
      <c r="G152" s="441"/>
      <c r="H152" s="441"/>
      <c r="I152" s="441"/>
      <c r="J152" s="441"/>
      <c r="K152" s="441"/>
      <c r="L152" s="441"/>
    </row>
    <row r="153" spans="1:12">
      <c r="A153" s="441"/>
      <c r="B153" s="441"/>
      <c r="C153" s="441"/>
      <c r="D153" s="441"/>
      <c r="E153" s="441"/>
      <c r="F153" s="441"/>
      <c r="G153" s="441"/>
      <c r="H153" s="441"/>
      <c r="I153" s="441"/>
      <c r="J153" s="441"/>
      <c r="K153" s="441"/>
      <c r="L153" s="441"/>
    </row>
    <row r="154" spans="1:12">
      <c r="A154" s="488"/>
      <c r="B154" s="488"/>
      <c r="C154" s="488"/>
      <c r="D154" s="488"/>
      <c r="E154" s="488"/>
      <c r="F154" s="488"/>
      <c r="G154" s="488"/>
      <c r="H154" s="488"/>
      <c r="I154" s="488"/>
      <c r="J154" s="488"/>
      <c r="K154" s="488"/>
      <c r="L154" s="488"/>
    </row>
    <row r="155" spans="1:12">
      <c r="A155" s="488"/>
      <c r="B155" s="488"/>
      <c r="C155" s="488"/>
      <c r="D155" s="488"/>
      <c r="E155" s="488"/>
      <c r="F155" s="488"/>
      <c r="G155" s="488"/>
      <c r="H155" s="488"/>
      <c r="I155" s="488"/>
      <c r="J155" s="488"/>
      <c r="K155" s="488"/>
      <c r="L155" s="488"/>
    </row>
    <row r="156" spans="1:12">
      <c r="A156" s="488"/>
      <c r="B156" s="488"/>
      <c r="C156" s="488"/>
      <c r="D156" s="488"/>
      <c r="E156" s="488"/>
      <c r="F156" s="488"/>
      <c r="G156" s="488"/>
      <c r="H156" s="488"/>
      <c r="I156" s="488"/>
      <c r="J156" s="488"/>
      <c r="K156" s="488"/>
      <c r="L156" s="488"/>
    </row>
    <row r="157" spans="1:12">
      <c r="A157" s="488"/>
      <c r="B157" s="488"/>
      <c r="C157" s="488"/>
      <c r="D157" s="488"/>
      <c r="E157" s="488"/>
      <c r="F157" s="488"/>
      <c r="G157" s="488"/>
      <c r="H157" s="488"/>
      <c r="I157" s="488"/>
      <c r="J157" s="488"/>
      <c r="K157" s="488"/>
      <c r="L157" s="488"/>
    </row>
    <row r="158" spans="1:12">
      <c r="A158" s="488"/>
      <c r="B158" s="488"/>
      <c r="C158" s="488"/>
      <c r="D158" s="488"/>
      <c r="E158" s="488"/>
      <c r="F158" s="488"/>
      <c r="G158" s="488"/>
      <c r="H158" s="488"/>
      <c r="I158" s="488"/>
      <c r="J158" s="488"/>
      <c r="K158" s="488"/>
      <c r="L158" s="488"/>
    </row>
    <row r="159" spans="1:12">
      <c r="A159" s="488"/>
      <c r="B159" s="488"/>
      <c r="C159" s="488"/>
      <c r="D159" s="488"/>
      <c r="E159" s="488"/>
      <c r="F159" s="488"/>
      <c r="G159" s="488"/>
      <c r="H159" s="488"/>
      <c r="I159" s="488"/>
      <c r="J159" s="488"/>
      <c r="K159" s="488"/>
      <c r="L159" s="488"/>
    </row>
    <row r="160" spans="1:12">
      <c r="A160" s="488"/>
      <c r="B160" s="488"/>
      <c r="C160" s="488"/>
      <c r="D160" s="488"/>
      <c r="E160" s="488"/>
      <c r="F160" s="488"/>
      <c r="G160" s="488"/>
      <c r="H160" s="488"/>
      <c r="I160" s="488"/>
      <c r="J160" s="488"/>
      <c r="K160" s="488"/>
      <c r="L160" s="488"/>
    </row>
    <row r="161" spans="1:12">
      <c r="A161" s="488"/>
      <c r="B161" s="488"/>
      <c r="C161" s="488"/>
      <c r="D161" s="488"/>
      <c r="E161" s="488"/>
      <c r="F161" s="488"/>
      <c r="G161" s="488"/>
      <c r="H161" s="488"/>
      <c r="I161" s="488"/>
      <c r="J161" s="488"/>
      <c r="K161" s="488"/>
      <c r="L161" s="488"/>
    </row>
    <row r="162" spans="1:12">
      <c r="A162" s="488"/>
      <c r="B162" s="488"/>
      <c r="C162" s="488"/>
      <c r="D162" s="488"/>
      <c r="E162" s="488"/>
      <c r="F162" s="488"/>
      <c r="G162" s="488"/>
      <c r="H162" s="488"/>
      <c r="I162" s="488"/>
      <c r="J162" s="488"/>
      <c r="K162" s="488"/>
      <c r="L162" s="488"/>
    </row>
    <row r="163" spans="1:12">
      <c r="A163" s="488"/>
      <c r="B163" s="488"/>
      <c r="C163" s="488"/>
      <c r="D163" s="488"/>
      <c r="E163" s="488"/>
      <c r="F163" s="488"/>
      <c r="G163" s="488"/>
      <c r="H163" s="488"/>
      <c r="I163" s="488"/>
      <c r="J163" s="488"/>
      <c r="K163" s="488"/>
      <c r="L163" s="488"/>
    </row>
    <row r="164" spans="1:12">
      <c r="A164" s="488"/>
      <c r="B164" s="488"/>
      <c r="C164" s="488"/>
      <c r="D164" s="488"/>
      <c r="E164" s="488"/>
      <c r="F164" s="488"/>
      <c r="G164" s="488"/>
      <c r="H164" s="488"/>
      <c r="I164" s="488"/>
      <c r="J164" s="488"/>
      <c r="K164" s="488"/>
      <c r="L164" s="488"/>
    </row>
    <row r="165" spans="1:12">
      <c r="A165" s="488"/>
      <c r="B165" s="488"/>
      <c r="C165" s="488"/>
      <c r="D165" s="488"/>
      <c r="E165" s="488"/>
      <c r="F165" s="488"/>
      <c r="G165" s="488"/>
      <c r="H165" s="488"/>
      <c r="I165" s="488"/>
      <c r="J165" s="488"/>
      <c r="K165" s="488"/>
      <c r="L165" s="488"/>
    </row>
    <row r="166" spans="1:12">
      <c r="A166" s="488"/>
      <c r="B166" s="488"/>
      <c r="C166" s="488"/>
      <c r="D166" s="488"/>
      <c r="E166" s="488"/>
      <c r="F166" s="488"/>
      <c r="G166" s="488"/>
      <c r="H166" s="488"/>
      <c r="I166" s="488"/>
      <c r="J166" s="488"/>
      <c r="K166" s="488"/>
      <c r="L166" s="488"/>
    </row>
    <row r="167" spans="1:12">
      <c r="A167" s="488"/>
      <c r="B167" s="488"/>
      <c r="C167" s="488"/>
      <c r="D167" s="488"/>
      <c r="E167" s="488"/>
      <c r="F167" s="488"/>
      <c r="G167" s="488"/>
      <c r="H167" s="488"/>
      <c r="I167" s="488"/>
      <c r="J167" s="488"/>
      <c r="K167" s="488"/>
      <c r="L167" s="488"/>
    </row>
    <row r="168" spans="1:12">
      <c r="A168" s="488"/>
      <c r="B168" s="488"/>
      <c r="C168" s="488"/>
      <c r="D168" s="488"/>
      <c r="E168" s="488"/>
      <c r="F168" s="488"/>
      <c r="G168" s="488"/>
      <c r="H168" s="488"/>
      <c r="I168" s="488"/>
      <c r="J168" s="488"/>
      <c r="K168" s="488"/>
      <c r="L168" s="488"/>
    </row>
    <row r="169" spans="1:12">
      <c r="A169" s="488"/>
      <c r="B169" s="488"/>
      <c r="C169" s="488"/>
      <c r="D169" s="488"/>
      <c r="E169" s="488"/>
      <c r="F169" s="488"/>
      <c r="G169" s="488"/>
      <c r="H169" s="488"/>
      <c r="I169" s="488"/>
      <c r="J169" s="488"/>
      <c r="K169" s="488"/>
      <c r="L169" s="488"/>
    </row>
    <row r="170" spans="1:12">
      <c r="A170" s="488"/>
      <c r="B170" s="488"/>
      <c r="C170" s="488"/>
      <c r="D170" s="488"/>
      <c r="E170" s="488"/>
      <c r="F170" s="488"/>
      <c r="G170" s="488"/>
      <c r="H170" s="488"/>
      <c r="I170" s="488"/>
      <c r="J170" s="488"/>
      <c r="K170" s="488"/>
      <c r="L170" s="488"/>
    </row>
    <row r="171" spans="1:12">
      <c r="A171" s="488"/>
      <c r="B171" s="488"/>
      <c r="C171" s="488"/>
      <c r="D171" s="488"/>
      <c r="E171" s="488"/>
      <c r="F171" s="488"/>
      <c r="G171" s="488"/>
      <c r="H171" s="488"/>
      <c r="I171" s="488"/>
      <c r="J171" s="488"/>
      <c r="K171" s="488"/>
      <c r="L171" s="488"/>
    </row>
    <row r="172" spans="1:12">
      <c r="A172" s="488"/>
      <c r="B172" s="488"/>
      <c r="C172" s="488"/>
      <c r="D172" s="488"/>
      <c r="E172" s="488"/>
      <c r="F172" s="488"/>
      <c r="G172" s="488"/>
      <c r="H172" s="488"/>
      <c r="I172" s="488"/>
      <c r="J172" s="488"/>
      <c r="K172" s="488"/>
      <c r="L172" s="488"/>
    </row>
    <row r="173" spans="1:12">
      <c r="A173" s="488"/>
      <c r="B173" s="488"/>
      <c r="C173" s="488"/>
      <c r="D173" s="488"/>
      <c r="E173" s="488"/>
      <c r="F173" s="488"/>
      <c r="G173" s="488"/>
      <c r="H173" s="488"/>
      <c r="I173" s="488"/>
      <c r="J173" s="488"/>
      <c r="K173" s="488"/>
      <c r="L173" s="488"/>
    </row>
    <row r="174" spans="1:12">
      <c r="A174" s="488"/>
      <c r="B174" s="488"/>
      <c r="C174" s="488"/>
      <c r="D174" s="488"/>
      <c r="E174" s="488"/>
      <c r="F174" s="488"/>
      <c r="G174" s="488"/>
      <c r="H174" s="488"/>
      <c r="I174" s="488"/>
      <c r="J174" s="488"/>
      <c r="K174" s="488"/>
      <c r="L174" s="488"/>
    </row>
    <row r="175" spans="1:12">
      <c r="A175" s="488"/>
      <c r="B175" s="488"/>
      <c r="C175" s="488"/>
      <c r="D175" s="488"/>
      <c r="E175" s="488"/>
      <c r="F175" s="488"/>
      <c r="G175" s="488"/>
      <c r="H175" s="488"/>
      <c r="I175" s="488"/>
      <c r="J175" s="488"/>
      <c r="K175" s="488"/>
      <c r="L175" s="488"/>
    </row>
    <row r="176" spans="1:12">
      <c r="A176" s="488"/>
      <c r="B176" s="488"/>
      <c r="C176" s="488"/>
      <c r="D176" s="488"/>
      <c r="E176" s="488"/>
      <c r="F176" s="488"/>
      <c r="G176" s="488"/>
      <c r="H176" s="488"/>
      <c r="I176" s="488"/>
      <c r="J176" s="488"/>
      <c r="K176" s="488"/>
      <c r="L176" s="488"/>
    </row>
    <row r="177" spans="1:12">
      <c r="A177" s="488"/>
      <c r="B177" s="488"/>
      <c r="C177" s="488"/>
      <c r="D177" s="488"/>
      <c r="E177" s="488"/>
      <c r="F177" s="488"/>
      <c r="G177" s="488"/>
      <c r="H177" s="488"/>
      <c r="I177" s="488"/>
      <c r="J177" s="488"/>
      <c r="K177" s="488"/>
      <c r="L177" s="488"/>
    </row>
    <row r="178" spans="1:12">
      <c r="A178" s="488"/>
      <c r="B178" s="488"/>
      <c r="C178" s="488"/>
      <c r="D178" s="488"/>
      <c r="E178" s="488"/>
      <c r="F178" s="488"/>
      <c r="G178" s="488"/>
      <c r="H178" s="488"/>
      <c r="I178" s="488"/>
      <c r="J178" s="488"/>
      <c r="K178" s="488"/>
      <c r="L178" s="488"/>
    </row>
    <row r="179" spans="1:12">
      <c r="A179" s="488"/>
      <c r="B179" s="488"/>
      <c r="C179" s="488"/>
      <c r="D179" s="488"/>
      <c r="E179" s="488"/>
      <c r="F179" s="488"/>
      <c r="G179" s="488"/>
      <c r="H179" s="488"/>
      <c r="I179" s="488"/>
      <c r="J179" s="488"/>
      <c r="K179" s="488"/>
      <c r="L179" s="488"/>
    </row>
    <row r="180" spans="1:12">
      <c r="A180" s="488"/>
      <c r="B180" s="488"/>
      <c r="C180" s="488"/>
      <c r="D180" s="488"/>
      <c r="E180" s="488"/>
      <c r="F180" s="488"/>
      <c r="G180" s="488"/>
      <c r="H180" s="488"/>
      <c r="I180" s="488"/>
      <c r="J180" s="488"/>
      <c r="K180" s="488"/>
      <c r="L180" s="488"/>
    </row>
    <row r="181" spans="1:12">
      <c r="A181" s="488"/>
      <c r="B181" s="488"/>
      <c r="C181" s="488"/>
      <c r="D181" s="488"/>
      <c r="E181" s="488"/>
      <c r="F181" s="488"/>
      <c r="G181" s="488"/>
      <c r="H181" s="488"/>
      <c r="I181" s="488"/>
      <c r="J181" s="488"/>
      <c r="K181" s="488"/>
      <c r="L181" s="488"/>
    </row>
    <row r="182" spans="1:12">
      <c r="A182" s="488"/>
      <c r="B182" s="488"/>
      <c r="C182" s="488"/>
      <c r="D182" s="488"/>
      <c r="E182" s="488"/>
      <c r="F182" s="488"/>
      <c r="G182" s="488"/>
      <c r="H182" s="488"/>
      <c r="I182" s="488"/>
      <c r="J182" s="488"/>
      <c r="K182" s="488"/>
      <c r="L182" s="488"/>
    </row>
    <row r="183" spans="1:12">
      <c r="A183" s="488"/>
      <c r="B183" s="488"/>
      <c r="C183" s="488"/>
      <c r="D183" s="488"/>
      <c r="E183" s="488"/>
      <c r="F183" s="488"/>
      <c r="G183" s="488"/>
      <c r="H183" s="488"/>
      <c r="I183" s="488"/>
      <c r="J183" s="488"/>
      <c r="K183" s="488"/>
      <c r="L183" s="488"/>
    </row>
    <row r="184" spans="1:12">
      <c r="A184" s="488"/>
      <c r="B184" s="488"/>
      <c r="C184" s="488"/>
      <c r="D184" s="488"/>
      <c r="E184" s="488"/>
      <c r="F184" s="488"/>
      <c r="G184" s="488"/>
      <c r="H184" s="488"/>
      <c r="I184" s="488"/>
      <c r="J184" s="488"/>
      <c r="K184" s="488"/>
      <c r="L184" s="488"/>
    </row>
    <row r="185" spans="1:12">
      <c r="A185" s="488"/>
      <c r="B185" s="488"/>
      <c r="C185" s="488"/>
      <c r="D185" s="488"/>
      <c r="E185" s="488"/>
      <c r="F185" s="488"/>
      <c r="G185" s="488"/>
      <c r="H185" s="488"/>
      <c r="I185" s="488"/>
      <c r="J185" s="488"/>
      <c r="K185" s="488"/>
      <c r="L185" s="488"/>
    </row>
    <row r="186" spans="1:12">
      <c r="A186" s="488"/>
      <c r="B186" s="488"/>
      <c r="C186" s="488"/>
      <c r="D186" s="488"/>
      <c r="E186" s="488"/>
      <c r="F186" s="488"/>
      <c r="G186" s="488"/>
      <c r="H186" s="488"/>
      <c r="I186" s="488"/>
      <c r="J186" s="488"/>
      <c r="K186" s="488"/>
      <c r="L186" s="488"/>
    </row>
    <row r="187" spans="1:12">
      <c r="A187" s="488"/>
      <c r="B187" s="488"/>
      <c r="C187" s="488"/>
      <c r="D187" s="488"/>
      <c r="E187" s="488"/>
      <c r="F187" s="488"/>
      <c r="G187" s="488"/>
      <c r="H187" s="488"/>
      <c r="I187" s="488"/>
      <c r="J187" s="488"/>
      <c r="K187" s="488"/>
      <c r="L187" s="488"/>
    </row>
    <row r="188" spans="1:12">
      <c r="A188" s="488"/>
      <c r="B188" s="488"/>
      <c r="C188" s="488"/>
      <c r="D188" s="488"/>
      <c r="E188" s="488"/>
      <c r="F188" s="488"/>
      <c r="G188" s="488"/>
      <c r="H188" s="488"/>
      <c r="I188" s="488"/>
      <c r="J188" s="488"/>
      <c r="K188" s="488"/>
      <c r="L188" s="488"/>
    </row>
    <row r="189" spans="1:12">
      <c r="A189" s="488"/>
      <c r="B189" s="488"/>
      <c r="C189" s="488"/>
      <c r="D189" s="488"/>
      <c r="E189" s="488"/>
      <c r="F189" s="488"/>
      <c r="G189" s="488"/>
      <c r="H189" s="488"/>
      <c r="I189" s="488"/>
      <c r="J189" s="488"/>
      <c r="K189" s="488"/>
      <c r="L189" s="488"/>
    </row>
    <row r="190" spans="1:12">
      <c r="A190" s="488"/>
      <c r="B190" s="488"/>
      <c r="C190" s="488"/>
      <c r="D190" s="488"/>
      <c r="E190" s="488"/>
      <c r="F190" s="488"/>
      <c r="G190" s="488"/>
      <c r="H190" s="488"/>
      <c r="I190" s="488"/>
      <c r="J190" s="488"/>
      <c r="K190" s="488"/>
      <c r="L190" s="488"/>
    </row>
    <row r="191" spans="1:12">
      <c r="A191" s="488"/>
      <c r="B191" s="488"/>
      <c r="C191" s="488"/>
      <c r="D191" s="488"/>
      <c r="E191" s="488"/>
      <c r="F191" s="488"/>
      <c r="G191" s="488"/>
      <c r="H191" s="488"/>
      <c r="I191" s="488"/>
      <c r="J191" s="488"/>
      <c r="K191" s="488"/>
      <c r="L191" s="488"/>
    </row>
    <row r="192" spans="1:12">
      <c r="A192" s="488"/>
      <c r="B192" s="488"/>
      <c r="C192" s="488"/>
      <c r="D192" s="488"/>
      <c r="E192" s="488"/>
      <c r="F192" s="488"/>
      <c r="G192" s="488"/>
      <c r="H192" s="488"/>
      <c r="I192" s="488"/>
      <c r="J192" s="488"/>
      <c r="K192" s="488"/>
      <c r="L192" s="488"/>
    </row>
    <row r="193" spans="1:12">
      <c r="A193" s="488"/>
      <c r="B193" s="488"/>
      <c r="C193" s="488"/>
      <c r="D193" s="488"/>
      <c r="E193" s="488"/>
      <c r="F193" s="488"/>
      <c r="G193" s="488"/>
      <c r="H193" s="488"/>
      <c r="I193" s="488"/>
      <c r="J193" s="488"/>
      <c r="K193" s="488"/>
      <c r="L193" s="488"/>
    </row>
    <row r="194" spans="1:12">
      <c r="A194" s="488"/>
      <c r="B194" s="488"/>
      <c r="C194" s="488"/>
      <c r="D194" s="488"/>
      <c r="E194" s="488"/>
      <c r="F194" s="488"/>
      <c r="G194" s="488"/>
      <c r="H194" s="488"/>
      <c r="I194" s="488"/>
      <c r="J194" s="488"/>
      <c r="K194" s="488"/>
      <c r="L194" s="488"/>
    </row>
    <row r="195" spans="1:12">
      <c r="A195" s="488"/>
      <c r="B195" s="488"/>
      <c r="C195" s="488"/>
      <c r="D195" s="488"/>
      <c r="E195" s="488"/>
      <c r="F195" s="488"/>
      <c r="G195" s="488"/>
      <c r="H195" s="488"/>
      <c r="I195" s="488"/>
      <c r="J195" s="488"/>
      <c r="K195" s="488"/>
      <c r="L195" s="488"/>
    </row>
    <row r="196" spans="1:12">
      <c r="A196" s="488"/>
      <c r="B196" s="488"/>
      <c r="C196" s="488"/>
      <c r="D196" s="488"/>
      <c r="E196" s="488"/>
      <c r="F196" s="488"/>
      <c r="G196" s="488"/>
      <c r="H196" s="488"/>
      <c r="I196" s="488"/>
      <c r="J196" s="488"/>
      <c r="K196" s="488"/>
      <c r="L196" s="488"/>
    </row>
    <row r="197" spans="1:12">
      <c r="A197" s="488"/>
      <c r="B197" s="488"/>
      <c r="C197" s="488"/>
      <c r="D197" s="488"/>
      <c r="E197" s="488"/>
      <c r="F197" s="488"/>
      <c r="G197" s="488"/>
      <c r="H197" s="488"/>
      <c r="I197" s="488"/>
      <c r="J197" s="488"/>
      <c r="K197" s="488"/>
      <c r="L197" s="488"/>
    </row>
    <row r="198" spans="1:12">
      <c r="A198" s="488"/>
      <c r="B198" s="488"/>
      <c r="C198" s="488"/>
      <c r="D198" s="488"/>
      <c r="E198" s="488"/>
      <c r="F198" s="488"/>
      <c r="G198" s="488"/>
      <c r="H198" s="488"/>
      <c r="I198" s="488"/>
      <c r="J198" s="488"/>
      <c r="K198" s="488"/>
      <c r="L198" s="488"/>
    </row>
    <row r="199" spans="1:12">
      <c r="A199" s="488"/>
      <c r="B199" s="488"/>
      <c r="C199" s="488"/>
      <c r="D199" s="488"/>
      <c r="E199" s="488"/>
      <c r="F199" s="488"/>
      <c r="G199" s="488"/>
      <c r="H199" s="488"/>
      <c r="I199" s="488"/>
      <c r="J199" s="488"/>
      <c r="K199" s="488"/>
      <c r="L199" s="488"/>
    </row>
    <row r="200" spans="1:12">
      <c r="A200" s="488"/>
      <c r="B200" s="488"/>
      <c r="C200" s="488"/>
      <c r="D200" s="488"/>
      <c r="E200" s="488"/>
      <c r="F200" s="488"/>
      <c r="G200" s="488"/>
      <c r="H200" s="488"/>
      <c r="I200" s="488"/>
      <c r="J200" s="488"/>
      <c r="K200" s="488"/>
      <c r="L200" s="488"/>
    </row>
    <row r="201" spans="1:12">
      <c r="A201" s="488"/>
      <c r="B201" s="488"/>
      <c r="C201" s="488"/>
      <c r="D201" s="488"/>
      <c r="E201" s="488"/>
      <c r="F201" s="488"/>
      <c r="G201" s="488"/>
      <c r="H201" s="488"/>
      <c r="I201" s="488"/>
      <c r="J201" s="488"/>
      <c r="K201" s="488"/>
      <c r="L201" s="488"/>
    </row>
    <row r="202" spans="1:12">
      <c r="A202" s="488"/>
      <c r="B202" s="488"/>
      <c r="C202" s="488"/>
      <c r="D202" s="488"/>
      <c r="E202" s="488"/>
      <c r="F202" s="488"/>
      <c r="G202" s="488"/>
      <c r="H202" s="488"/>
      <c r="I202" s="488"/>
      <c r="J202" s="488"/>
      <c r="K202" s="488"/>
      <c r="L202" s="488"/>
    </row>
    <row r="203" spans="1:12">
      <c r="A203" s="488"/>
      <c r="B203" s="488"/>
      <c r="C203" s="488"/>
      <c r="D203" s="488"/>
      <c r="E203" s="488"/>
      <c r="F203" s="488"/>
      <c r="G203" s="488"/>
      <c r="H203" s="488"/>
      <c r="I203" s="488"/>
      <c r="J203" s="488"/>
      <c r="K203" s="488"/>
      <c r="L203" s="488"/>
    </row>
    <row r="204" spans="1:12">
      <c r="A204" s="488"/>
      <c r="B204" s="488"/>
      <c r="C204" s="488"/>
      <c r="D204" s="488"/>
      <c r="E204" s="488"/>
      <c r="F204" s="488"/>
      <c r="G204" s="488"/>
      <c r="H204" s="488"/>
      <c r="I204" s="488"/>
      <c r="J204" s="488"/>
      <c r="K204" s="488"/>
      <c r="L204" s="488"/>
    </row>
    <row r="205" spans="1:12">
      <c r="A205" s="488"/>
      <c r="B205" s="488"/>
      <c r="C205" s="488"/>
      <c r="D205" s="488"/>
      <c r="E205" s="488"/>
      <c r="F205" s="488"/>
      <c r="G205" s="488"/>
      <c r="H205" s="488"/>
      <c r="I205" s="488"/>
      <c r="J205" s="488"/>
      <c r="K205" s="488"/>
      <c r="L205" s="488"/>
    </row>
    <row r="206" spans="1:12">
      <c r="A206" s="488"/>
      <c r="B206" s="488"/>
      <c r="C206" s="488"/>
      <c r="D206" s="488"/>
      <c r="E206" s="488"/>
      <c r="F206" s="488"/>
      <c r="G206" s="488"/>
      <c r="H206" s="488"/>
      <c r="I206" s="488"/>
      <c r="J206" s="488"/>
      <c r="K206" s="488"/>
      <c r="L206" s="488"/>
    </row>
    <row r="207" spans="1:12">
      <c r="A207" s="488"/>
      <c r="B207" s="488"/>
      <c r="C207" s="488"/>
      <c r="D207" s="488"/>
      <c r="E207" s="488"/>
      <c r="F207" s="488"/>
      <c r="G207" s="488"/>
      <c r="H207" s="488"/>
      <c r="I207" s="488"/>
      <c r="J207" s="488"/>
      <c r="K207" s="488"/>
      <c r="L207" s="488"/>
    </row>
    <row r="208" spans="1:12">
      <c r="A208" s="488"/>
      <c r="B208" s="488"/>
      <c r="C208" s="488"/>
      <c r="D208" s="488"/>
      <c r="E208" s="488"/>
      <c r="F208" s="488"/>
      <c r="G208" s="488"/>
      <c r="H208" s="488"/>
      <c r="I208" s="488"/>
      <c r="J208" s="488"/>
      <c r="K208" s="488"/>
      <c r="L208" s="488"/>
    </row>
    <row r="209" spans="1:12">
      <c r="A209" s="488"/>
      <c r="B209" s="488"/>
      <c r="C209" s="488"/>
      <c r="D209" s="488"/>
      <c r="E209" s="488"/>
      <c r="F209" s="488"/>
      <c r="G209" s="488"/>
      <c r="H209" s="488"/>
      <c r="I209" s="488"/>
      <c r="J209" s="488"/>
      <c r="K209" s="488"/>
      <c r="L209" s="488"/>
    </row>
    <row r="210" spans="1:12">
      <c r="A210" s="488"/>
      <c r="B210" s="488"/>
      <c r="C210" s="488"/>
      <c r="D210" s="488"/>
      <c r="E210" s="488"/>
      <c r="F210" s="488"/>
      <c r="G210" s="488"/>
      <c r="H210" s="488"/>
      <c r="I210" s="488"/>
      <c r="J210" s="488"/>
      <c r="K210" s="488"/>
      <c r="L210" s="488"/>
    </row>
    <row r="211" spans="1:12">
      <c r="A211" s="488"/>
      <c r="B211" s="488"/>
      <c r="C211" s="488"/>
      <c r="D211" s="488"/>
      <c r="E211" s="488"/>
      <c r="F211" s="488"/>
      <c r="G211" s="488"/>
      <c r="H211" s="488"/>
      <c r="I211" s="488"/>
      <c r="J211" s="488"/>
      <c r="K211" s="488"/>
      <c r="L211" s="488"/>
    </row>
    <row r="212" spans="1:12">
      <c r="A212" s="488"/>
      <c r="B212" s="488"/>
      <c r="C212" s="488"/>
      <c r="D212" s="488"/>
      <c r="E212" s="488"/>
      <c r="F212" s="488"/>
      <c r="G212" s="488"/>
      <c r="H212" s="488"/>
      <c r="I212" s="488"/>
      <c r="J212" s="488"/>
      <c r="K212" s="488"/>
      <c r="L212" s="488"/>
    </row>
    <row r="213" spans="1:12">
      <c r="A213" s="488"/>
      <c r="B213" s="488"/>
      <c r="C213" s="488"/>
      <c r="D213" s="488"/>
      <c r="E213" s="488"/>
      <c r="F213" s="488"/>
      <c r="G213" s="488"/>
      <c r="H213" s="488"/>
      <c r="I213" s="488"/>
      <c r="J213" s="488"/>
      <c r="K213" s="488"/>
      <c r="L213" s="488"/>
    </row>
    <row r="214" spans="1:12">
      <c r="A214" s="488"/>
      <c r="B214" s="488"/>
      <c r="C214" s="488"/>
      <c r="D214" s="488"/>
      <c r="E214" s="488"/>
      <c r="F214" s="488"/>
      <c r="G214" s="488"/>
      <c r="H214" s="488"/>
      <c r="I214" s="488"/>
      <c r="J214" s="488"/>
      <c r="K214" s="488"/>
      <c r="L214" s="488"/>
    </row>
    <row r="215" spans="1:12">
      <c r="A215" s="488"/>
      <c r="B215" s="488"/>
      <c r="C215" s="488"/>
      <c r="D215" s="488"/>
      <c r="E215" s="488"/>
      <c r="F215" s="488"/>
      <c r="G215" s="488"/>
      <c r="H215" s="488"/>
      <c r="I215" s="488"/>
      <c r="J215" s="488"/>
      <c r="K215" s="488"/>
      <c r="L215" s="488"/>
    </row>
    <row r="216" spans="1:12">
      <c r="A216" s="488"/>
      <c r="B216" s="488"/>
      <c r="C216" s="488"/>
      <c r="D216" s="488"/>
      <c r="E216" s="488"/>
      <c r="F216" s="488"/>
      <c r="G216" s="488"/>
      <c r="H216" s="488"/>
      <c r="I216" s="488"/>
      <c r="J216" s="488"/>
      <c r="K216" s="488"/>
      <c r="L216" s="488"/>
    </row>
    <row r="217" spans="1:12">
      <c r="A217" s="488"/>
      <c r="B217" s="488"/>
      <c r="C217" s="488"/>
      <c r="D217" s="488"/>
      <c r="E217" s="488"/>
      <c r="F217" s="488"/>
      <c r="G217" s="488"/>
      <c r="H217" s="488"/>
      <c r="I217" s="488"/>
      <c r="J217" s="488"/>
      <c r="K217" s="488"/>
      <c r="L217" s="488"/>
    </row>
    <row r="218" spans="1:12">
      <c r="A218" s="488"/>
      <c r="B218" s="488"/>
      <c r="C218" s="488"/>
      <c r="D218" s="488"/>
      <c r="E218" s="488"/>
      <c r="F218" s="488"/>
      <c r="G218" s="488"/>
      <c r="H218" s="488"/>
      <c r="I218" s="488"/>
      <c r="J218" s="488"/>
      <c r="K218" s="488"/>
      <c r="L218" s="488"/>
    </row>
    <row r="219" spans="1:12">
      <c r="A219" s="488"/>
      <c r="B219" s="488"/>
      <c r="C219" s="488"/>
      <c r="D219" s="488"/>
      <c r="E219" s="488"/>
      <c r="F219" s="488"/>
      <c r="G219" s="488"/>
      <c r="H219" s="488"/>
      <c r="I219" s="488"/>
      <c r="J219" s="488"/>
      <c r="K219" s="488"/>
      <c r="L219" s="488"/>
    </row>
    <row r="220" spans="1:12">
      <c r="A220" s="488"/>
      <c r="B220" s="488"/>
      <c r="C220" s="488"/>
      <c r="D220" s="488"/>
      <c r="E220" s="488"/>
      <c r="F220" s="488"/>
      <c r="G220" s="488"/>
      <c r="H220" s="488"/>
      <c r="I220" s="488"/>
      <c r="J220" s="488"/>
      <c r="K220" s="488"/>
      <c r="L220" s="488"/>
    </row>
    <row r="221" spans="1:12">
      <c r="A221" s="488"/>
      <c r="B221" s="488"/>
      <c r="C221" s="488"/>
      <c r="D221" s="488"/>
      <c r="E221" s="488"/>
      <c r="F221" s="488"/>
      <c r="G221" s="488"/>
      <c r="H221" s="488"/>
      <c r="I221" s="488"/>
      <c r="J221" s="488"/>
      <c r="K221" s="488"/>
      <c r="L221" s="488"/>
    </row>
    <row r="222" spans="1:12">
      <c r="A222" s="488"/>
      <c r="B222" s="488"/>
      <c r="C222" s="488"/>
      <c r="D222" s="488"/>
      <c r="E222" s="488"/>
      <c r="F222" s="488"/>
      <c r="G222" s="488"/>
      <c r="H222" s="488"/>
      <c r="I222" s="488"/>
      <c r="J222" s="488"/>
      <c r="K222" s="488"/>
      <c r="L222" s="488"/>
    </row>
    <row r="223" spans="1:12">
      <c r="A223" s="488"/>
      <c r="B223" s="488"/>
      <c r="C223" s="488"/>
      <c r="D223" s="488"/>
      <c r="E223" s="488"/>
      <c r="F223" s="488"/>
      <c r="G223" s="488"/>
      <c r="H223" s="488"/>
      <c r="I223" s="488"/>
      <c r="J223" s="488"/>
      <c r="K223" s="488"/>
      <c r="L223" s="488"/>
    </row>
    <row r="224" spans="1:12">
      <c r="A224" s="488"/>
      <c r="B224" s="488"/>
      <c r="C224" s="488"/>
      <c r="D224" s="488"/>
      <c r="E224" s="488"/>
      <c r="F224" s="488"/>
      <c r="G224" s="488"/>
      <c r="H224" s="488"/>
      <c r="I224" s="488"/>
      <c r="J224" s="488"/>
      <c r="K224" s="488"/>
      <c r="L224" s="488"/>
    </row>
    <row r="225" spans="1:12">
      <c r="A225" s="488"/>
      <c r="B225" s="488"/>
      <c r="C225" s="488"/>
      <c r="D225" s="488"/>
      <c r="E225" s="488"/>
      <c r="F225" s="488"/>
      <c r="G225" s="488"/>
      <c r="H225" s="488"/>
      <c r="I225" s="488"/>
      <c r="J225" s="488"/>
      <c r="K225" s="488"/>
      <c r="L225" s="488"/>
    </row>
    <row r="226" spans="1:12">
      <c r="A226" s="488"/>
      <c r="B226" s="488"/>
      <c r="C226" s="488"/>
      <c r="D226" s="488"/>
      <c r="E226" s="488"/>
      <c r="F226" s="488"/>
      <c r="G226" s="488"/>
      <c r="H226" s="488"/>
      <c r="I226" s="488"/>
      <c r="J226" s="488"/>
      <c r="K226" s="488"/>
      <c r="L226" s="488"/>
    </row>
    <row r="227" spans="1:12">
      <c r="A227" s="488"/>
      <c r="B227" s="488"/>
      <c r="C227" s="488"/>
      <c r="D227" s="488"/>
      <c r="E227" s="488"/>
      <c r="F227" s="488"/>
      <c r="G227" s="488"/>
      <c r="H227" s="488"/>
      <c r="I227" s="488"/>
      <c r="J227" s="488"/>
      <c r="K227" s="488"/>
      <c r="L227" s="488"/>
    </row>
    <row r="228" spans="1:12">
      <c r="A228" s="488"/>
      <c r="B228" s="488"/>
      <c r="C228" s="488"/>
      <c r="D228" s="488"/>
      <c r="E228" s="488"/>
      <c r="F228" s="488"/>
      <c r="G228" s="488"/>
      <c r="H228" s="488"/>
      <c r="I228" s="488"/>
      <c r="J228" s="488"/>
      <c r="K228" s="488"/>
      <c r="L228" s="488"/>
    </row>
    <row r="229" spans="1:12">
      <c r="A229" s="488"/>
      <c r="B229" s="488"/>
      <c r="C229" s="488"/>
      <c r="D229" s="488"/>
      <c r="E229" s="488"/>
      <c r="F229" s="488"/>
      <c r="G229" s="488"/>
      <c r="H229" s="488"/>
      <c r="I229" s="488"/>
      <c r="J229" s="488"/>
      <c r="K229" s="488"/>
      <c r="L229" s="488"/>
    </row>
    <row r="230" spans="1:12">
      <c r="A230" s="488"/>
      <c r="B230" s="488"/>
      <c r="C230" s="488"/>
      <c r="D230" s="488"/>
      <c r="E230" s="488"/>
      <c r="F230" s="488"/>
      <c r="G230" s="488"/>
      <c r="H230" s="488"/>
      <c r="I230" s="488"/>
      <c r="J230" s="488"/>
      <c r="K230" s="488"/>
      <c r="L230" s="488"/>
    </row>
    <row r="231" spans="1:12">
      <c r="A231" s="488"/>
      <c r="B231" s="488"/>
      <c r="C231" s="488"/>
      <c r="D231" s="488"/>
      <c r="E231" s="488"/>
      <c r="F231" s="488"/>
      <c r="G231" s="488"/>
      <c r="H231" s="488"/>
      <c r="I231" s="488"/>
      <c r="J231" s="488"/>
      <c r="K231" s="488"/>
      <c r="L231" s="488"/>
    </row>
    <row r="232" spans="1:12">
      <c r="A232" s="488"/>
      <c r="B232" s="488"/>
      <c r="C232" s="488"/>
      <c r="D232" s="488"/>
      <c r="E232" s="488"/>
      <c r="F232" s="488"/>
      <c r="G232" s="488"/>
      <c r="H232" s="488"/>
      <c r="I232" s="488"/>
      <c r="J232" s="488"/>
      <c r="K232" s="488"/>
      <c r="L232" s="488"/>
    </row>
    <row r="233" spans="1:12">
      <c r="A233" s="488"/>
      <c r="B233" s="488"/>
      <c r="C233" s="488"/>
      <c r="D233" s="488"/>
      <c r="E233" s="488"/>
      <c r="F233" s="488"/>
      <c r="G233" s="488"/>
      <c r="H233" s="488"/>
      <c r="I233" s="488"/>
      <c r="J233" s="488"/>
      <c r="K233" s="488"/>
      <c r="L233" s="488"/>
    </row>
    <row r="234" spans="1:12">
      <c r="A234" s="488"/>
      <c r="B234" s="488"/>
      <c r="C234" s="488"/>
      <c r="D234" s="488"/>
      <c r="E234" s="488"/>
      <c r="F234" s="488"/>
      <c r="G234" s="488"/>
      <c r="H234" s="488"/>
      <c r="I234" s="488"/>
      <c r="J234" s="488"/>
      <c r="K234" s="488"/>
      <c r="L234" s="488"/>
    </row>
    <row r="235" spans="1:12">
      <c r="A235" s="488"/>
      <c r="B235" s="488"/>
      <c r="C235" s="488"/>
      <c r="D235" s="488"/>
      <c r="E235" s="488"/>
      <c r="F235" s="488"/>
      <c r="G235" s="488"/>
      <c r="H235" s="488"/>
      <c r="I235" s="488"/>
      <c r="J235" s="488"/>
      <c r="K235" s="488"/>
      <c r="L235" s="488"/>
    </row>
    <row r="236" spans="1:12">
      <c r="A236" s="488"/>
      <c r="B236" s="488"/>
      <c r="C236" s="488"/>
      <c r="D236" s="488"/>
      <c r="E236" s="488"/>
      <c r="F236" s="488"/>
      <c r="G236" s="488"/>
      <c r="H236" s="488"/>
      <c r="I236" s="488"/>
      <c r="J236" s="488"/>
      <c r="K236" s="488"/>
      <c r="L236" s="488"/>
    </row>
    <row r="237" spans="1:12">
      <c r="A237" s="488"/>
      <c r="B237" s="488"/>
      <c r="C237" s="488"/>
      <c r="D237" s="488"/>
      <c r="E237" s="488"/>
      <c r="F237" s="488"/>
      <c r="G237" s="488"/>
      <c r="H237" s="488"/>
      <c r="I237" s="488"/>
      <c r="J237" s="488"/>
      <c r="K237" s="488"/>
      <c r="L237" s="488"/>
    </row>
    <row r="238" spans="1:12">
      <c r="A238" s="488"/>
      <c r="B238" s="488"/>
      <c r="C238" s="488"/>
      <c r="D238" s="488"/>
      <c r="E238" s="488"/>
      <c r="F238" s="488"/>
      <c r="G238" s="488"/>
      <c r="H238" s="488"/>
      <c r="I238" s="488"/>
      <c r="J238" s="488"/>
      <c r="K238" s="488"/>
      <c r="L238" s="488"/>
    </row>
    <row r="239" spans="1:12">
      <c r="A239" s="488"/>
      <c r="B239" s="488"/>
      <c r="C239" s="488"/>
      <c r="D239" s="488"/>
      <c r="E239" s="488"/>
      <c r="F239" s="488"/>
      <c r="G239" s="488"/>
      <c r="H239" s="488"/>
      <c r="I239" s="488"/>
      <c r="J239" s="488"/>
      <c r="K239" s="488"/>
      <c r="L239" s="488"/>
    </row>
    <row r="240" spans="1:12">
      <c r="A240" s="488"/>
      <c r="B240" s="488"/>
      <c r="C240" s="488"/>
      <c r="D240" s="488"/>
      <c r="E240" s="488"/>
      <c r="F240" s="488"/>
      <c r="G240" s="488"/>
      <c r="H240" s="488"/>
      <c r="I240" s="488"/>
      <c r="J240" s="488"/>
      <c r="K240" s="488"/>
      <c r="L240" s="488"/>
    </row>
    <row r="241" spans="1:12">
      <c r="A241" s="488"/>
      <c r="B241" s="488"/>
      <c r="C241" s="488"/>
      <c r="D241" s="488"/>
      <c r="E241" s="488"/>
      <c r="F241" s="488"/>
      <c r="G241" s="488"/>
      <c r="H241" s="488"/>
      <c r="I241" s="488"/>
      <c r="J241" s="488"/>
      <c r="K241" s="488"/>
      <c r="L241" s="488"/>
    </row>
    <row r="242" spans="1:12">
      <c r="A242" s="488"/>
      <c r="B242" s="488"/>
      <c r="C242" s="488"/>
      <c r="D242" s="488"/>
      <c r="E242" s="488"/>
      <c r="F242" s="488"/>
      <c r="G242" s="488"/>
      <c r="H242" s="488"/>
      <c r="I242" s="488"/>
      <c r="J242" s="488"/>
      <c r="K242" s="488"/>
      <c r="L242" s="488"/>
    </row>
    <row r="243" spans="1:12">
      <c r="A243" s="488"/>
      <c r="B243" s="488"/>
      <c r="C243" s="488"/>
      <c r="D243" s="488"/>
      <c r="E243" s="488"/>
      <c r="F243" s="488"/>
      <c r="G243" s="488"/>
      <c r="H243" s="488"/>
      <c r="I243" s="488"/>
      <c r="J243" s="488"/>
      <c r="K243" s="488"/>
      <c r="L243" s="488"/>
    </row>
    <row r="244" spans="1:12">
      <c r="A244" s="488"/>
      <c r="B244" s="488"/>
      <c r="C244" s="488"/>
      <c r="D244" s="488"/>
      <c r="E244" s="488"/>
      <c r="F244" s="488"/>
      <c r="G244" s="488"/>
      <c r="H244" s="488"/>
      <c r="I244" s="488"/>
      <c r="J244" s="488"/>
      <c r="K244" s="488"/>
      <c r="L244" s="488"/>
    </row>
    <row r="245" spans="1:12">
      <c r="A245" s="488"/>
      <c r="B245" s="488"/>
      <c r="C245" s="488"/>
      <c r="D245" s="488"/>
      <c r="E245" s="488"/>
      <c r="F245" s="488"/>
      <c r="G245" s="488"/>
      <c r="H245" s="488"/>
      <c r="I245" s="488"/>
      <c r="J245" s="488"/>
      <c r="K245" s="488"/>
      <c r="L245" s="488"/>
    </row>
    <row r="246" spans="1:12">
      <c r="A246" s="488"/>
      <c r="B246" s="488"/>
      <c r="C246" s="488"/>
      <c r="D246" s="488"/>
      <c r="E246" s="488"/>
      <c r="F246" s="488"/>
      <c r="G246" s="488"/>
      <c r="H246" s="488"/>
      <c r="I246" s="488"/>
      <c r="J246" s="488"/>
      <c r="K246" s="488"/>
      <c r="L246" s="488"/>
    </row>
    <row r="247" spans="1:12">
      <c r="A247" s="488"/>
      <c r="B247" s="488"/>
      <c r="C247" s="488"/>
      <c r="D247" s="488"/>
      <c r="E247" s="488"/>
      <c r="F247" s="488"/>
      <c r="G247" s="488"/>
      <c r="H247" s="488"/>
      <c r="I247" s="488"/>
      <c r="J247" s="488"/>
      <c r="K247" s="488"/>
      <c r="L247" s="488"/>
    </row>
    <row r="248" spans="1:12">
      <c r="A248" s="488"/>
      <c r="B248" s="488"/>
      <c r="C248" s="488"/>
      <c r="D248" s="488"/>
      <c r="E248" s="488"/>
      <c r="F248" s="488"/>
      <c r="G248" s="488"/>
      <c r="H248" s="488"/>
      <c r="I248" s="488"/>
      <c r="J248" s="488"/>
      <c r="K248" s="488"/>
      <c r="L248" s="488"/>
    </row>
    <row r="249" spans="1:12">
      <c r="A249" s="488"/>
      <c r="B249" s="488"/>
      <c r="C249" s="488"/>
      <c r="D249" s="488"/>
      <c r="E249" s="488"/>
      <c r="F249" s="488"/>
      <c r="G249" s="488"/>
      <c r="H249" s="488"/>
      <c r="I249" s="488"/>
      <c r="J249" s="488"/>
      <c r="K249" s="488"/>
      <c r="L249" s="488"/>
    </row>
    <row r="250" spans="1:12">
      <c r="A250" s="488"/>
      <c r="B250" s="488"/>
      <c r="C250" s="488"/>
      <c r="D250" s="488"/>
      <c r="E250" s="488"/>
      <c r="F250" s="488"/>
      <c r="G250" s="488"/>
      <c r="H250" s="488"/>
      <c r="I250" s="488"/>
      <c r="J250" s="488"/>
      <c r="K250" s="488"/>
      <c r="L250" s="488"/>
    </row>
    <row r="251" spans="1:12">
      <c r="A251" s="488"/>
      <c r="B251" s="488"/>
      <c r="C251" s="488"/>
      <c r="D251" s="488"/>
      <c r="E251" s="488"/>
      <c r="F251" s="488"/>
      <c r="G251" s="488"/>
      <c r="H251" s="488"/>
      <c r="I251" s="488"/>
      <c r="J251" s="488"/>
      <c r="K251" s="488"/>
      <c r="L251" s="488"/>
    </row>
    <row r="252" spans="1:12">
      <c r="A252" s="488"/>
      <c r="B252" s="488"/>
      <c r="C252" s="488"/>
      <c r="D252" s="488"/>
      <c r="E252" s="488"/>
      <c r="F252" s="488"/>
      <c r="G252" s="488"/>
      <c r="H252" s="488"/>
      <c r="I252" s="488"/>
      <c r="J252" s="488"/>
      <c r="K252" s="488"/>
      <c r="L252" s="488"/>
    </row>
    <row r="253" spans="1:12">
      <c r="A253" s="488"/>
      <c r="B253" s="488"/>
      <c r="C253" s="488"/>
      <c r="D253" s="488"/>
      <c r="E253" s="488"/>
      <c r="F253" s="488"/>
      <c r="G253" s="488"/>
      <c r="H253" s="488"/>
      <c r="I253" s="488"/>
      <c r="J253" s="488"/>
      <c r="K253" s="488"/>
      <c r="L253" s="488"/>
    </row>
    <row r="254" spans="1:12">
      <c r="A254" s="488"/>
      <c r="B254" s="488"/>
      <c r="C254" s="488"/>
      <c r="D254" s="488"/>
      <c r="E254" s="488"/>
      <c r="F254" s="488"/>
      <c r="G254" s="488"/>
      <c r="H254" s="488"/>
      <c r="I254" s="488"/>
      <c r="J254" s="488"/>
      <c r="K254" s="488"/>
      <c r="L254" s="488"/>
    </row>
    <row r="255" spans="1:12">
      <c r="A255" s="488"/>
      <c r="B255" s="488"/>
      <c r="C255" s="488"/>
      <c r="D255" s="488"/>
      <c r="E255" s="488"/>
      <c r="F255" s="488"/>
      <c r="G255" s="488"/>
      <c r="H255" s="488"/>
      <c r="I255" s="488"/>
      <c r="J255" s="488"/>
      <c r="K255" s="488"/>
      <c r="L255" s="488"/>
    </row>
    <row r="256" spans="1:12">
      <c r="A256" s="488"/>
      <c r="B256" s="488"/>
      <c r="C256" s="488"/>
      <c r="D256" s="488"/>
      <c r="E256" s="488"/>
      <c r="F256" s="488"/>
      <c r="G256" s="488"/>
      <c r="H256" s="488"/>
      <c r="I256" s="488"/>
      <c r="J256" s="488"/>
      <c r="K256" s="488"/>
      <c r="L256" s="488"/>
    </row>
    <row r="257" spans="1:12">
      <c r="A257" s="488"/>
      <c r="B257" s="488"/>
      <c r="C257" s="488"/>
      <c r="D257" s="488"/>
      <c r="E257" s="488"/>
      <c r="F257" s="488"/>
      <c r="G257" s="488"/>
      <c r="H257" s="488"/>
      <c r="I257" s="488"/>
      <c r="J257" s="488"/>
      <c r="K257" s="488"/>
      <c r="L257" s="488"/>
    </row>
    <row r="258" spans="1:12">
      <c r="A258" s="488"/>
      <c r="B258" s="488"/>
      <c r="C258" s="488"/>
      <c r="D258" s="488"/>
      <c r="E258" s="488"/>
      <c r="F258" s="488"/>
      <c r="G258" s="488"/>
      <c r="H258" s="488"/>
      <c r="I258" s="488"/>
      <c r="J258" s="488"/>
      <c r="K258" s="488"/>
      <c r="L258" s="488"/>
    </row>
    <row r="259" spans="1:12">
      <c r="A259" s="488"/>
      <c r="B259" s="488"/>
      <c r="C259" s="488"/>
      <c r="D259" s="488"/>
      <c r="E259" s="488"/>
      <c r="F259" s="488"/>
      <c r="G259" s="488"/>
      <c r="H259" s="488"/>
      <c r="I259" s="488"/>
      <c r="J259" s="488"/>
      <c r="K259" s="488"/>
      <c r="L259" s="488"/>
    </row>
    <row r="260" spans="1:12">
      <c r="A260" s="488"/>
      <c r="B260" s="488"/>
      <c r="C260" s="488"/>
      <c r="D260" s="488"/>
      <c r="E260" s="488"/>
      <c r="F260" s="488"/>
      <c r="G260" s="488"/>
      <c r="H260" s="488"/>
      <c r="I260" s="488"/>
      <c r="J260" s="488"/>
      <c r="K260" s="488"/>
      <c r="L260" s="488"/>
    </row>
    <row r="261" spans="1:12">
      <c r="A261" s="488"/>
      <c r="B261" s="488"/>
      <c r="C261" s="488"/>
      <c r="D261" s="488"/>
      <c r="E261" s="488"/>
      <c r="F261" s="488"/>
      <c r="G261" s="488"/>
      <c r="H261" s="488"/>
      <c r="I261" s="488"/>
      <c r="J261" s="488"/>
      <c r="K261" s="488"/>
      <c r="L261" s="488"/>
    </row>
    <row r="262" spans="1:12">
      <c r="A262" s="488"/>
      <c r="B262" s="488"/>
      <c r="C262" s="488"/>
      <c r="D262" s="488"/>
      <c r="E262" s="488"/>
      <c r="F262" s="488"/>
      <c r="G262" s="488"/>
      <c r="H262" s="488"/>
      <c r="I262" s="488"/>
      <c r="J262" s="488"/>
      <c r="K262" s="488"/>
      <c r="L262" s="488"/>
    </row>
    <row r="263" spans="1:12">
      <c r="A263" s="488"/>
      <c r="B263" s="488"/>
      <c r="C263" s="488"/>
      <c r="D263" s="488"/>
      <c r="E263" s="488"/>
      <c r="F263" s="488"/>
      <c r="G263" s="488"/>
      <c r="H263" s="488"/>
      <c r="I263" s="488"/>
      <c r="J263" s="488"/>
      <c r="K263" s="488"/>
      <c r="L263" s="488"/>
    </row>
    <row r="264" spans="1:12">
      <c r="A264" s="488"/>
      <c r="B264" s="488"/>
      <c r="C264" s="488"/>
      <c r="D264" s="488"/>
      <c r="E264" s="488"/>
      <c r="F264" s="488"/>
      <c r="G264" s="488"/>
      <c r="H264" s="488"/>
      <c r="I264" s="488"/>
      <c r="J264" s="488"/>
      <c r="K264" s="488"/>
      <c r="L264" s="488"/>
    </row>
    <row r="265" spans="1:12">
      <c r="A265" s="488"/>
      <c r="B265" s="488"/>
      <c r="C265" s="488"/>
      <c r="D265" s="488"/>
      <c r="E265" s="488"/>
      <c r="F265" s="488"/>
      <c r="G265" s="488"/>
      <c r="H265" s="488"/>
      <c r="I265" s="488"/>
      <c r="J265" s="488"/>
      <c r="K265" s="488"/>
      <c r="L265" s="488"/>
    </row>
    <row r="266" spans="1:12">
      <c r="A266" s="488"/>
      <c r="B266" s="488"/>
      <c r="C266" s="488"/>
      <c r="D266" s="488"/>
      <c r="E266" s="488"/>
      <c r="F266" s="488"/>
      <c r="G266" s="488"/>
      <c r="H266" s="488"/>
      <c r="I266" s="488"/>
      <c r="J266" s="488"/>
      <c r="K266" s="488"/>
      <c r="L266" s="488"/>
    </row>
    <row r="267" spans="1:12">
      <c r="A267" s="488"/>
      <c r="B267" s="488"/>
      <c r="C267" s="488"/>
      <c r="D267" s="488"/>
      <c r="E267" s="488"/>
      <c r="F267" s="488"/>
      <c r="G267" s="488"/>
      <c r="H267" s="488"/>
      <c r="I267" s="488"/>
      <c r="J267" s="488"/>
      <c r="K267" s="488"/>
      <c r="L267" s="488"/>
    </row>
    <row r="268" spans="1:12">
      <c r="A268" s="488"/>
      <c r="B268" s="488"/>
      <c r="C268" s="488"/>
      <c r="D268" s="488"/>
      <c r="E268" s="488"/>
      <c r="F268" s="488"/>
      <c r="G268" s="488"/>
      <c r="H268" s="488"/>
      <c r="I268" s="488"/>
      <c r="J268" s="488"/>
      <c r="K268" s="488"/>
      <c r="L268" s="488"/>
    </row>
    <row r="269" spans="1:12">
      <c r="A269" s="488"/>
      <c r="B269" s="488"/>
      <c r="C269" s="488"/>
      <c r="D269" s="488"/>
      <c r="E269" s="488"/>
      <c r="F269" s="488"/>
      <c r="G269" s="488"/>
      <c r="H269" s="488"/>
      <c r="I269" s="488"/>
      <c r="J269" s="488"/>
      <c r="K269" s="488"/>
      <c r="L269" s="488"/>
    </row>
    <row r="270" spans="1:12">
      <c r="A270" s="488"/>
      <c r="B270" s="488"/>
      <c r="C270" s="488"/>
      <c r="D270" s="488"/>
      <c r="E270" s="488"/>
      <c r="F270" s="488"/>
      <c r="G270" s="488"/>
      <c r="H270" s="488"/>
      <c r="I270" s="488"/>
      <c r="J270" s="488"/>
      <c r="K270" s="488"/>
      <c r="L270" s="488"/>
    </row>
    <row r="271" spans="1:12">
      <c r="A271" s="488"/>
      <c r="B271" s="488"/>
      <c r="C271" s="488"/>
      <c r="D271" s="488"/>
      <c r="E271" s="488"/>
      <c r="F271" s="488"/>
      <c r="G271" s="488"/>
      <c r="H271" s="488"/>
      <c r="I271" s="488"/>
      <c r="J271" s="488"/>
      <c r="K271" s="488"/>
      <c r="L271" s="488"/>
    </row>
    <row r="272" spans="1:12">
      <c r="A272" s="488"/>
      <c r="B272" s="488"/>
      <c r="C272" s="488"/>
      <c r="D272" s="488"/>
      <c r="E272" s="488"/>
      <c r="F272" s="488"/>
      <c r="G272" s="488"/>
      <c r="H272" s="488"/>
      <c r="I272" s="488"/>
      <c r="J272" s="488"/>
      <c r="K272" s="488"/>
      <c r="L272" s="488"/>
    </row>
    <row r="273" spans="1:12">
      <c r="A273" s="488"/>
      <c r="B273" s="488"/>
      <c r="C273" s="488"/>
      <c r="D273" s="488"/>
      <c r="E273" s="488"/>
      <c r="F273" s="488"/>
      <c r="G273" s="488"/>
      <c r="H273" s="488"/>
      <c r="I273" s="488"/>
      <c r="J273" s="488"/>
      <c r="K273" s="488"/>
      <c r="L273" s="488"/>
    </row>
    <row r="274" spans="1:12">
      <c r="A274" s="488"/>
      <c r="B274" s="488"/>
      <c r="C274" s="488"/>
      <c r="D274" s="488"/>
      <c r="E274" s="488"/>
      <c r="F274" s="488"/>
      <c r="G274" s="488"/>
      <c r="H274" s="488"/>
      <c r="I274" s="488"/>
      <c r="J274" s="488"/>
      <c r="K274" s="488"/>
      <c r="L274" s="488"/>
    </row>
    <row r="275" spans="1:12">
      <c r="A275" s="488"/>
      <c r="B275" s="488"/>
      <c r="C275" s="488"/>
      <c r="D275" s="488"/>
      <c r="E275" s="488"/>
      <c r="F275" s="488"/>
      <c r="G275" s="488"/>
      <c r="H275" s="488"/>
      <c r="I275" s="488"/>
      <c r="J275" s="488"/>
      <c r="K275" s="488"/>
      <c r="L275" s="488"/>
    </row>
    <row r="276" spans="1:12">
      <c r="A276" s="488"/>
      <c r="B276" s="488"/>
      <c r="C276" s="488"/>
      <c r="D276" s="488"/>
      <c r="E276" s="488"/>
      <c r="F276" s="488"/>
      <c r="G276" s="488"/>
      <c r="H276" s="488"/>
      <c r="I276" s="488"/>
      <c r="J276" s="488"/>
      <c r="K276" s="488"/>
      <c r="L276" s="488"/>
    </row>
    <row r="277" spans="1:12">
      <c r="A277" s="488"/>
      <c r="B277" s="488"/>
      <c r="C277" s="488"/>
      <c r="D277" s="488"/>
      <c r="E277" s="488"/>
      <c r="F277" s="488"/>
      <c r="G277" s="488"/>
      <c r="H277" s="488"/>
      <c r="I277" s="488"/>
      <c r="J277" s="488"/>
      <c r="K277" s="488"/>
      <c r="L277" s="488"/>
    </row>
    <row r="278" spans="1:12">
      <c r="A278" s="488"/>
      <c r="B278" s="488"/>
      <c r="C278" s="488"/>
      <c r="D278" s="488"/>
      <c r="E278" s="488"/>
      <c r="F278" s="488"/>
      <c r="G278" s="488"/>
      <c r="H278" s="488"/>
      <c r="I278" s="488"/>
      <c r="J278" s="488"/>
      <c r="K278" s="488"/>
      <c r="L278" s="488"/>
    </row>
    <row r="279" spans="1:12">
      <c r="A279" s="488"/>
      <c r="B279" s="488"/>
      <c r="C279" s="488"/>
      <c r="D279" s="488"/>
      <c r="E279" s="488"/>
      <c r="F279" s="488"/>
      <c r="G279" s="488"/>
      <c r="H279" s="488"/>
      <c r="I279" s="488"/>
      <c r="J279" s="488"/>
      <c r="K279" s="488"/>
      <c r="L279" s="488"/>
    </row>
    <row r="280" spans="1:12">
      <c r="A280" s="488"/>
      <c r="B280" s="488"/>
      <c r="C280" s="488"/>
      <c r="D280" s="488"/>
      <c r="E280" s="488"/>
      <c r="F280" s="488"/>
      <c r="G280" s="488"/>
      <c r="H280" s="488"/>
      <c r="I280" s="488"/>
      <c r="J280" s="488"/>
      <c r="K280" s="488"/>
      <c r="L280" s="488"/>
    </row>
    <row r="281" spans="1:12">
      <c r="A281" s="488"/>
      <c r="B281" s="488"/>
      <c r="C281" s="488"/>
      <c r="D281" s="488"/>
      <c r="E281" s="488"/>
      <c r="F281" s="488"/>
      <c r="G281" s="488"/>
      <c r="H281" s="488"/>
      <c r="I281" s="488"/>
      <c r="J281" s="488"/>
      <c r="K281" s="488"/>
      <c r="L281" s="488"/>
    </row>
    <row r="282" spans="1:12">
      <c r="A282" s="488"/>
      <c r="B282" s="488"/>
      <c r="C282" s="488"/>
      <c r="D282" s="488"/>
      <c r="E282" s="488"/>
      <c r="F282" s="488"/>
      <c r="G282" s="488"/>
      <c r="H282" s="488"/>
      <c r="I282" s="488"/>
      <c r="J282" s="488"/>
      <c r="K282" s="488"/>
      <c r="L282" s="488"/>
    </row>
    <row r="283" spans="1:12">
      <c r="A283" s="488"/>
      <c r="B283" s="488"/>
      <c r="C283" s="488"/>
      <c r="D283" s="488"/>
      <c r="E283" s="488"/>
      <c r="F283" s="488"/>
      <c r="G283" s="488"/>
      <c r="H283" s="488"/>
      <c r="I283" s="488"/>
      <c r="J283" s="488"/>
      <c r="K283" s="488"/>
      <c r="L283" s="488"/>
    </row>
    <row r="284" spans="1:12">
      <c r="A284" s="488"/>
      <c r="B284" s="488"/>
      <c r="C284" s="488"/>
      <c r="D284" s="488"/>
      <c r="E284" s="488"/>
      <c r="F284" s="488"/>
      <c r="G284" s="488"/>
      <c r="H284" s="488"/>
      <c r="I284" s="488"/>
      <c r="J284" s="488"/>
      <c r="K284" s="488"/>
      <c r="L284" s="488"/>
    </row>
    <row r="285" spans="1:12">
      <c r="A285" s="488"/>
      <c r="B285" s="488"/>
      <c r="C285" s="488"/>
      <c r="D285" s="488"/>
      <c r="E285" s="488"/>
      <c r="F285" s="488"/>
      <c r="G285" s="488"/>
      <c r="H285" s="488"/>
      <c r="I285" s="488"/>
      <c r="J285" s="488"/>
      <c r="K285" s="488"/>
      <c r="L285" s="488"/>
    </row>
    <row r="286" spans="1:12">
      <c r="A286" s="488"/>
      <c r="B286" s="488"/>
      <c r="C286" s="488"/>
      <c r="D286" s="488"/>
      <c r="E286" s="488"/>
      <c r="F286" s="488"/>
      <c r="G286" s="488"/>
      <c r="H286" s="488"/>
      <c r="I286" s="488"/>
      <c r="J286" s="488"/>
      <c r="K286" s="488"/>
      <c r="L286" s="488"/>
    </row>
    <row r="287" spans="1:12">
      <c r="A287" s="488"/>
      <c r="B287" s="488"/>
      <c r="C287" s="488"/>
      <c r="D287" s="488"/>
      <c r="E287" s="488"/>
      <c r="F287" s="488"/>
      <c r="G287" s="488"/>
      <c r="H287" s="488"/>
      <c r="I287" s="488"/>
      <c r="J287" s="488"/>
      <c r="K287" s="488"/>
      <c r="L287" s="488"/>
    </row>
    <row r="288" spans="1:12">
      <c r="A288" s="488"/>
      <c r="B288" s="488"/>
      <c r="C288" s="488"/>
      <c r="D288" s="488"/>
      <c r="E288" s="488"/>
      <c r="F288" s="488"/>
      <c r="G288" s="488"/>
      <c r="H288" s="488"/>
      <c r="I288" s="488"/>
      <c r="J288" s="488"/>
      <c r="K288" s="488"/>
      <c r="L288" s="488"/>
    </row>
    <row r="289" spans="1:12">
      <c r="A289" s="488"/>
      <c r="B289" s="488"/>
      <c r="C289" s="488"/>
      <c r="D289" s="488"/>
      <c r="E289" s="488"/>
      <c r="F289" s="488"/>
      <c r="G289" s="488"/>
      <c r="H289" s="488"/>
      <c r="I289" s="488"/>
      <c r="J289" s="488"/>
      <c r="K289" s="488"/>
      <c r="L289" s="488"/>
    </row>
    <row r="290" spans="1:12">
      <c r="A290" s="488"/>
      <c r="B290" s="488"/>
      <c r="C290" s="488"/>
      <c r="D290" s="488"/>
      <c r="E290" s="488"/>
      <c r="F290" s="488"/>
      <c r="G290" s="488"/>
      <c r="H290" s="488"/>
      <c r="I290" s="488"/>
      <c r="J290" s="488"/>
      <c r="K290" s="488"/>
      <c r="L290" s="488"/>
    </row>
    <row r="291" spans="1:12">
      <c r="A291" s="488"/>
      <c r="B291" s="488"/>
      <c r="C291" s="488"/>
      <c r="D291" s="488"/>
      <c r="E291" s="488"/>
      <c r="F291" s="488"/>
      <c r="G291" s="488"/>
      <c r="H291" s="488"/>
      <c r="I291" s="488"/>
      <c r="J291" s="488"/>
      <c r="K291" s="488"/>
      <c r="L291" s="488"/>
    </row>
    <row r="292" spans="1:12">
      <c r="A292" s="488"/>
      <c r="B292" s="488"/>
      <c r="C292" s="488"/>
      <c r="D292" s="488"/>
      <c r="E292" s="488"/>
      <c r="F292" s="488"/>
      <c r="G292" s="488"/>
      <c r="H292" s="488"/>
      <c r="I292" s="488"/>
      <c r="J292" s="488"/>
      <c r="K292" s="488"/>
      <c r="L292" s="488"/>
    </row>
    <row r="293" spans="1:12">
      <c r="A293" s="488"/>
      <c r="B293" s="488"/>
      <c r="C293" s="488"/>
      <c r="D293" s="488"/>
      <c r="E293" s="488"/>
      <c r="F293" s="488"/>
      <c r="G293" s="488"/>
      <c r="H293" s="488"/>
      <c r="I293" s="488"/>
      <c r="J293" s="488"/>
      <c r="K293" s="488"/>
      <c r="L293" s="488"/>
    </row>
    <row r="294" spans="1:12">
      <c r="A294" s="488"/>
      <c r="B294" s="488"/>
      <c r="C294" s="488"/>
      <c r="D294" s="488"/>
      <c r="E294" s="488"/>
      <c r="F294" s="488"/>
      <c r="G294" s="488"/>
      <c r="H294" s="488"/>
      <c r="I294" s="488"/>
      <c r="J294" s="488"/>
      <c r="K294" s="488"/>
      <c r="L294" s="488"/>
    </row>
    <row r="295" spans="1:12">
      <c r="A295" s="488"/>
      <c r="B295" s="488"/>
      <c r="C295" s="488"/>
      <c r="D295" s="488"/>
      <c r="E295" s="488"/>
      <c r="F295" s="488"/>
      <c r="G295" s="488"/>
      <c r="H295" s="488"/>
      <c r="I295" s="488"/>
      <c r="J295" s="488"/>
      <c r="K295" s="488"/>
      <c r="L295" s="488"/>
    </row>
    <row r="296" spans="1:12">
      <c r="A296" s="488"/>
      <c r="B296" s="488"/>
      <c r="C296" s="488"/>
      <c r="D296" s="488"/>
      <c r="E296" s="488"/>
      <c r="F296" s="488"/>
      <c r="G296" s="488"/>
      <c r="H296" s="488"/>
      <c r="I296" s="488"/>
      <c r="J296" s="488"/>
      <c r="K296" s="488"/>
      <c r="L296" s="488"/>
    </row>
    <row r="297" spans="1:12">
      <c r="A297" s="488"/>
      <c r="B297" s="488"/>
      <c r="C297" s="488"/>
      <c r="D297" s="488"/>
      <c r="E297" s="488"/>
      <c r="F297" s="488"/>
      <c r="G297" s="488"/>
      <c r="H297" s="488"/>
      <c r="I297" s="488"/>
      <c r="J297" s="488"/>
      <c r="K297" s="488"/>
      <c r="L297" s="488"/>
    </row>
    <row r="298" spans="1:12">
      <c r="A298" s="488"/>
      <c r="B298" s="488"/>
      <c r="C298" s="488"/>
      <c r="D298" s="488"/>
      <c r="E298" s="488"/>
      <c r="F298" s="488"/>
      <c r="G298" s="488"/>
      <c r="H298" s="488"/>
      <c r="I298" s="488"/>
      <c r="J298" s="488"/>
      <c r="K298" s="488"/>
      <c r="L298" s="488"/>
    </row>
    <row r="299" spans="1:12">
      <c r="A299" s="488"/>
      <c r="B299" s="488"/>
      <c r="C299" s="488"/>
      <c r="D299" s="488"/>
      <c r="E299" s="488"/>
      <c r="F299" s="488"/>
      <c r="G299" s="488"/>
      <c r="H299" s="488"/>
      <c r="I299" s="488"/>
      <c r="J299" s="488"/>
      <c r="K299" s="488"/>
      <c r="L299" s="488"/>
    </row>
    <row r="300" spans="1:12">
      <c r="A300" s="488"/>
      <c r="B300" s="488"/>
      <c r="C300" s="488"/>
      <c r="D300" s="488"/>
      <c r="E300" s="488"/>
      <c r="F300" s="488"/>
      <c r="G300" s="488"/>
      <c r="H300" s="488"/>
      <c r="I300" s="488"/>
      <c r="J300" s="488"/>
      <c r="K300" s="488"/>
      <c r="L300" s="488"/>
    </row>
    <row r="301" spans="1:12">
      <c r="A301" s="488"/>
      <c r="B301" s="488"/>
      <c r="C301" s="488"/>
      <c r="D301" s="488"/>
      <c r="E301" s="488"/>
      <c r="F301" s="488"/>
      <c r="G301" s="488"/>
      <c r="H301" s="488"/>
      <c r="I301" s="488"/>
      <c r="J301" s="488"/>
      <c r="K301" s="488"/>
      <c r="L301" s="488"/>
    </row>
    <row r="302" spans="1:12">
      <c r="A302" s="488"/>
      <c r="B302" s="488"/>
      <c r="C302" s="488"/>
      <c r="D302" s="488"/>
      <c r="E302" s="488"/>
      <c r="F302" s="488"/>
      <c r="G302" s="488"/>
      <c r="H302" s="488"/>
      <c r="I302" s="488"/>
      <c r="J302" s="488"/>
      <c r="K302" s="488"/>
      <c r="L302" s="488"/>
    </row>
    <row r="303" spans="1:12">
      <c r="A303" s="488"/>
      <c r="B303" s="488"/>
      <c r="C303" s="488"/>
      <c r="D303" s="488"/>
      <c r="E303" s="488"/>
      <c r="F303" s="488"/>
      <c r="G303" s="488"/>
      <c r="H303" s="488"/>
      <c r="I303" s="488"/>
      <c r="J303" s="488"/>
      <c r="K303" s="488"/>
      <c r="L303" s="488"/>
    </row>
    <row r="304" spans="1:12">
      <c r="A304" s="488"/>
      <c r="B304" s="488"/>
      <c r="C304" s="488"/>
      <c r="D304" s="488"/>
      <c r="E304" s="488"/>
      <c r="F304" s="488"/>
      <c r="G304" s="488"/>
      <c r="H304" s="488"/>
      <c r="I304" s="488"/>
      <c r="J304" s="488"/>
      <c r="K304" s="488"/>
      <c r="L304" s="488"/>
    </row>
    <row r="305" spans="1:12">
      <c r="A305" s="488"/>
      <c r="B305" s="488"/>
      <c r="C305" s="488"/>
      <c r="D305" s="488"/>
      <c r="E305" s="488"/>
      <c r="F305" s="488"/>
      <c r="G305" s="488"/>
      <c r="H305" s="488"/>
      <c r="I305" s="488"/>
      <c r="J305" s="488"/>
      <c r="K305" s="488"/>
      <c r="L305" s="488"/>
    </row>
    <row r="306" spans="1:12">
      <c r="A306" s="488"/>
      <c r="B306" s="488"/>
      <c r="C306" s="488"/>
      <c r="D306" s="488"/>
      <c r="E306" s="488"/>
      <c r="F306" s="488"/>
      <c r="G306" s="488"/>
      <c r="H306" s="488"/>
      <c r="I306" s="488"/>
      <c r="J306" s="488"/>
      <c r="K306" s="488"/>
      <c r="L306" s="488"/>
    </row>
    <row r="307" spans="1:12">
      <c r="A307" s="488"/>
      <c r="B307" s="488"/>
      <c r="C307" s="488"/>
      <c r="D307" s="488"/>
      <c r="E307" s="488"/>
      <c r="F307" s="488"/>
      <c r="G307" s="488"/>
      <c r="H307" s="488"/>
      <c r="I307" s="488"/>
      <c r="J307" s="488"/>
      <c r="K307" s="488"/>
      <c r="L307" s="488"/>
    </row>
    <row r="308" spans="1:12">
      <c r="A308" s="488"/>
      <c r="B308" s="488"/>
      <c r="C308" s="488"/>
      <c r="D308" s="488"/>
      <c r="E308" s="488"/>
      <c r="F308" s="488"/>
      <c r="G308" s="488"/>
      <c r="H308" s="488"/>
      <c r="I308" s="488"/>
      <c r="J308" s="488"/>
      <c r="K308" s="488"/>
      <c r="L308" s="488"/>
    </row>
    <row r="309" spans="1:12">
      <c r="A309" s="488"/>
      <c r="B309" s="488"/>
      <c r="C309" s="488"/>
      <c r="D309" s="488"/>
      <c r="E309" s="488"/>
      <c r="F309" s="488"/>
      <c r="G309" s="488"/>
      <c r="H309" s="488"/>
      <c r="I309" s="488"/>
      <c r="J309" s="488"/>
      <c r="K309" s="488"/>
      <c r="L309" s="488"/>
    </row>
    <row r="310" spans="1:12">
      <c r="A310" s="488"/>
      <c r="B310" s="488"/>
      <c r="C310" s="488"/>
      <c r="D310" s="488"/>
      <c r="E310" s="488"/>
      <c r="F310" s="488"/>
      <c r="G310" s="488"/>
      <c r="H310" s="488"/>
      <c r="I310" s="488"/>
      <c r="J310" s="488"/>
      <c r="K310" s="488"/>
      <c r="L310" s="488"/>
    </row>
    <row r="311" spans="1:12">
      <c r="A311" s="488"/>
      <c r="B311" s="488"/>
      <c r="C311" s="488"/>
      <c r="D311" s="488"/>
      <c r="E311" s="488"/>
      <c r="F311" s="488"/>
      <c r="G311" s="488"/>
      <c r="H311" s="488"/>
      <c r="I311" s="488"/>
      <c r="J311" s="488"/>
      <c r="K311" s="488"/>
      <c r="L311" s="488"/>
    </row>
    <row r="312" spans="1:12">
      <c r="A312" s="488"/>
      <c r="B312" s="488"/>
      <c r="C312" s="488"/>
      <c r="D312" s="488"/>
      <c r="E312" s="488"/>
      <c r="F312" s="488"/>
      <c r="G312" s="488"/>
      <c r="H312" s="488"/>
      <c r="I312" s="488"/>
      <c r="J312" s="488"/>
      <c r="K312" s="488"/>
      <c r="L312" s="488"/>
    </row>
    <row r="313" spans="1:12">
      <c r="A313" s="488"/>
      <c r="B313" s="488"/>
      <c r="C313" s="488"/>
      <c r="D313" s="488"/>
      <c r="E313" s="488"/>
      <c r="F313" s="488"/>
      <c r="G313" s="488"/>
      <c r="H313" s="488"/>
      <c r="I313" s="488"/>
      <c r="J313" s="488"/>
      <c r="K313" s="488"/>
      <c r="L313" s="488"/>
    </row>
    <row r="314" spans="1:12">
      <c r="A314" s="488"/>
      <c r="B314" s="488"/>
      <c r="C314" s="488"/>
      <c r="D314" s="488"/>
      <c r="E314" s="488"/>
      <c r="F314" s="488"/>
      <c r="G314" s="488"/>
      <c r="H314" s="488"/>
      <c r="I314" s="488"/>
      <c r="J314" s="488"/>
      <c r="K314" s="488"/>
      <c r="L314" s="488"/>
    </row>
    <row r="315" spans="1:12">
      <c r="A315" s="488"/>
      <c r="B315" s="488"/>
      <c r="C315" s="488"/>
      <c r="D315" s="488"/>
      <c r="E315" s="488"/>
      <c r="F315" s="488"/>
      <c r="G315" s="488"/>
      <c r="H315" s="488"/>
      <c r="I315" s="488"/>
      <c r="J315" s="488"/>
      <c r="K315" s="488"/>
      <c r="L315" s="488"/>
    </row>
    <row r="316" spans="1:12">
      <c r="A316" s="488"/>
      <c r="B316" s="488"/>
      <c r="C316" s="488"/>
      <c r="D316" s="488"/>
      <c r="E316" s="488"/>
      <c r="F316" s="488"/>
      <c r="G316" s="488"/>
      <c r="H316" s="488"/>
      <c r="I316" s="488"/>
      <c r="J316" s="488"/>
      <c r="K316" s="488"/>
      <c r="L316" s="488"/>
    </row>
    <row r="317" spans="1:12">
      <c r="A317" s="488"/>
      <c r="B317" s="488"/>
      <c r="C317" s="488"/>
      <c r="D317" s="488"/>
      <c r="E317" s="488"/>
      <c r="F317" s="488"/>
      <c r="G317" s="488"/>
      <c r="H317" s="488"/>
      <c r="I317" s="488"/>
      <c r="J317" s="488"/>
      <c r="K317" s="488"/>
      <c r="L317" s="488"/>
    </row>
    <row r="318" spans="1:12">
      <c r="A318" s="488"/>
      <c r="B318" s="488"/>
      <c r="C318" s="488"/>
      <c r="D318" s="488"/>
      <c r="E318" s="488"/>
      <c r="F318" s="488"/>
      <c r="G318" s="488"/>
      <c r="H318" s="488"/>
      <c r="I318" s="488"/>
      <c r="J318" s="488"/>
      <c r="K318" s="488"/>
      <c r="L318" s="488"/>
    </row>
    <row r="319" spans="1:12">
      <c r="A319" s="488"/>
      <c r="B319" s="488"/>
      <c r="C319" s="488"/>
      <c r="D319" s="488"/>
      <c r="E319" s="488"/>
      <c r="F319" s="488"/>
      <c r="G319" s="488"/>
      <c r="H319" s="488"/>
      <c r="I319" s="488"/>
      <c r="J319" s="488"/>
      <c r="K319" s="488"/>
      <c r="L319" s="488"/>
    </row>
    <row r="320" spans="1:12">
      <c r="A320" s="488"/>
      <c r="B320" s="488"/>
      <c r="C320" s="488"/>
      <c r="D320" s="488"/>
      <c r="E320" s="488"/>
      <c r="F320" s="488"/>
      <c r="G320" s="488"/>
      <c r="H320" s="488"/>
      <c r="I320" s="488"/>
      <c r="J320" s="488"/>
      <c r="K320" s="488"/>
      <c r="L320" s="488"/>
    </row>
    <row r="321" spans="1:12">
      <c r="A321" s="488"/>
      <c r="B321" s="488"/>
      <c r="C321" s="488"/>
      <c r="D321" s="488"/>
      <c r="E321" s="488"/>
      <c r="F321" s="488"/>
      <c r="G321" s="488"/>
      <c r="H321" s="488"/>
      <c r="I321" s="488"/>
      <c r="J321" s="488"/>
      <c r="K321" s="488"/>
      <c r="L321" s="488"/>
    </row>
    <row r="322" spans="1:12">
      <c r="A322" s="488"/>
      <c r="B322" s="488"/>
      <c r="C322" s="488"/>
      <c r="D322" s="488"/>
      <c r="E322" s="488"/>
      <c r="F322" s="488"/>
      <c r="G322" s="488"/>
      <c r="H322" s="488"/>
      <c r="I322" s="488"/>
      <c r="J322" s="488"/>
      <c r="K322" s="488"/>
      <c r="L322" s="488"/>
    </row>
    <row r="323" spans="1:12">
      <c r="A323" s="488"/>
      <c r="B323" s="488"/>
      <c r="C323" s="488"/>
      <c r="D323" s="488"/>
      <c r="E323" s="488"/>
      <c r="F323" s="488"/>
      <c r="G323" s="488"/>
      <c r="H323" s="488"/>
      <c r="I323" s="488"/>
      <c r="J323" s="488"/>
      <c r="K323" s="488"/>
      <c r="L323" s="488"/>
    </row>
    <row r="324" spans="1:12">
      <c r="A324" s="488"/>
      <c r="B324" s="488"/>
      <c r="C324" s="488"/>
      <c r="D324" s="488"/>
      <c r="E324" s="488"/>
      <c r="F324" s="488"/>
      <c r="G324" s="488"/>
      <c r="H324" s="488"/>
      <c r="I324" s="488"/>
      <c r="J324" s="488"/>
      <c r="K324" s="488"/>
      <c r="L324" s="488"/>
    </row>
    <row r="325" spans="1:12">
      <c r="A325" s="488"/>
      <c r="B325" s="488"/>
      <c r="C325" s="488"/>
      <c r="D325" s="488"/>
      <c r="E325" s="488"/>
      <c r="F325" s="488"/>
      <c r="G325" s="488"/>
      <c r="H325" s="488"/>
      <c r="I325" s="488"/>
      <c r="J325" s="488"/>
      <c r="K325" s="488"/>
      <c r="L325" s="488"/>
    </row>
    <row r="326" spans="1:12">
      <c r="A326" s="488"/>
      <c r="B326" s="488"/>
      <c r="C326" s="488"/>
      <c r="D326" s="488"/>
      <c r="E326" s="488"/>
      <c r="F326" s="488"/>
      <c r="G326" s="488"/>
      <c r="H326" s="488"/>
      <c r="I326" s="488"/>
      <c r="J326" s="488"/>
      <c r="K326" s="488"/>
      <c r="L326" s="488"/>
    </row>
    <row r="327" spans="1:12">
      <c r="A327" s="488"/>
      <c r="B327" s="488"/>
      <c r="C327" s="488"/>
      <c r="D327" s="488"/>
      <c r="E327" s="488"/>
      <c r="F327" s="488"/>
      <c r="G327" s="488"/>
      <c r="H327" s="488"/>
      <c r="I327" s="488"/>
      <c r="J327" s="488"/>
      <c r="K327" s="488"/>
      <c r="L327" s="488"/>
    </row>
    <row r="328" spans="1:12">
      <c r="A328" s="488"/>
      <c r="B328" s="488"/>
      <c r="C328" s="488"/>
      <c r="D328" s="488"/>
      <c r="E328" s="488"/>
      <c r="F328" s="488"/>
      <c r="G328" s="488"/>
      <c r="H328" s="488"/>
      <c r="I328" s="488"/>
      <c r="J328" s="488"/>
      <c r="K328" s="488"/>
      <c r="L328" s="488"/>
    </row>
    <row r="329" spans="1:12">
      <c r="A329" s="488"/>
      <c r="B329" s="488"/>
      <c r="C329" s="488"/>
      <c r="D329" s="488"/>
      <c r="E329" s="488"/>
      <c r="F329" s="488"/>
      <c r="G329" s="488"/>
      <c r="H329" s="488"/>
      <c r="I329" s="488"/>
      <c r="J329" s="488"/>
      <c r="K329" s="488"/>
      <c r="L329" s="488"/>
    </row>
    <row r="330" spans="1:12">
      <c r="A330" s="488"/>
      <c r="B330" s="488"/>
      <c r="C330" s="488"/>
      <c r="D330" s="488"/>
      <c r="E330" s="488"/>
      <c r="F330" s="488"/>
      <c r="G330" s="488"/>
      <c r="H330" s="488"/>
      <c r="I330" s="488"/>
      <c r="J330" s="488"/>
      <c r="K330" s="488"/>
      <c r="L330" s="488"/>
    </row>
    <row r="331" spans="1:12">
      <c r="A331" s="488"/>
      <c r="B331" s="488"/>
      <c r="C331" s="488"/>
      <c r="D331" s="488"/>
      <c r="E331" s="488"/>
      <c r="F331" s="488"/>
      <c r="G331" s="488"/>
      <c r="H331" s="488"/>
      <c r="I331" s="488"/>
      <c r="J331" s="488"/>
      <c r="K331" s="488"/>
      <c r="L331" s="488"/>
    </row>
    <row r="332" spans="1:12">
      <c r="A332" s="488"/>
      <c r="B332" s="488"/>
      <c r="C332" s="488"/>
      <c r="D332" s="488"/>
      <c r="E332" s="488"/>
      <c r="F332" s="488"/>
      <c r="G332" s="488"/>
      <c r="H332" s="488"/>
      <c r="I332" s="488"/>
      <c r="J332" s="488"/>
      <c r="K332" s="488"/>
      <c r="L332" s="488"/>
    </row>
    <row r="333" spans="1:12">
      <c r="A333" s="488"/>
      <c r="B333" s="488"/>
      <c r="C333" s="488"/>
      <c r="D333" s="488"/>
      <c r="E333" s="488"/>
      <c r="F333" s="488"/>
      <c r="G333" s="488"/>
      <c r="H333" s="488"/>
      <c r="I333" s="488"/>
      <c r="J333" s="488"/>
      <c r="K333" s="488"/>
      <c r="L333" s="488"/>
    </row>
    <row r="334" spans="1:12">
      <c r="A334" s="488"/>
      <c r="B334" s="488"/>
      <c r="C334" s="488"/>
      <c r="D334" s="488"/>
      <c r="E334" s="488"/>
      <c r="F334" s="488"/>
      <c r="G334" s="488"/>
      <c r="H334" s="488"/>
      <c r="I334" s="488"/>
      <c r="J334" s="488"/>
      <c r="K334" s="488"/>
      <c r="L334" s="488"/>
    </row>
    <row r="335" spans="1:12">
      <c r="A335" s="488"/>
      <c r="B335" s="488"/>
      <c r="C335" s="488"/>
      <c r="D335" s="488"/>
      <c r="E335" s="488"/>
      <c r="F335" s="488"/>
      <c r="G335" s="488"/>
      <c r="H335" s="488"/>
      <c r="I335" s="488"/>
      <c r="J335" s="488"/>
      <c r="K335" s="488"/>
      <c r="L335" s="488"/>
    </row>
    <row r="336" spans="1:12">
      <c r="A336" s="488"/>
      <c r="B336" s="488"/>
      <c r="C336" s="488"/>
      <c r="D336" s="488"/>
      <c r="E336" s="488"/>
      <c r="F336" s="488"/>
      <c r="G336" s="488"/>
      <c r="H336" s="488"/>
      <c r="I336" s="488"/>
      <c r="J336" s="488"/>
      <c r="K336" s="488"/>
      <c r="L336" s="488"/>
    </row>
    <row r="337" spans="1:12">
      <c r="A337" s="488"/>
      <c r="B337" s="488"/>
      <c r="C337" s="488"/>
      <c r="D337" s="488"/>
      <c r="E337" s="488"/>
      <c r="F337" s="488"/>
      <c r="G337" s="488"/>
      <c r="H337" s="488"/>
      <c r="I337" s="488"/>
      <c r="J337" s="488"/>
      <c r="K337" s="488"/>
      <c r="L337" s="488"/>
    </row>
    <row r="338" spans="1:12">
      <c r="A338" s="488"/>
      <c r="B338" s="488"/>
      <c r="C338" s="488"/>
      <c r="D338" s="488"/>
      <c r="E338" s="488"/>
      <c r="F338" s="488"/>
      <c r="G338" s="488"/>
      <c r="H338" s="488"/>
      <c r="I338" s="488"/>
      <c r="J338" s="488"/>
      <c r="K338" s="488"/>
      <c r="L338" s="488"/>
    </row>
    <row r="339" spans="1:12">
      <c r="A339" s="488"/>
      <c r="B339" s="488"/>
      <c r="C339" s="488"/>
      <c r="D339" s="488"/>
      <c r="E339" s="488"/>
      <c r="F339" s="488"/>
      <c r="G339" s="488"/>
      <c r="H339" s="488"/>
      <c r="I339" s="488"/>
      <c r="J339" s="488"/>
      <c r="K339" s="488"/>
      <c r="L339" s="488"/>
    </row>
    <row r="340" spans="1:12">
      <c r="A340" s="488"/>
      <c r="B340" s="488"/>
      <c r="C340" s="488"/>
      <c r="D340" s="488"/>
      <c r="E340" s="488"/>
      <c r="F340" s="488"/>
      <c r="G340" s="488"/>
      <c r="H340" s="488"/>
      <c r="I340" s="488"/>
      <c r="J340" s="488"/>
      <c r="K340" s="488"/>
      <c r="L340" s="488"/>
    </row>
    <row r="341" spans="1:12">
      <c r="A341" s="488"/>
      <c r="B341" s="488"/>
      <c r="C341" s="488"/>
      <c r="D341" s="488"/>
      <c r="E341" s="488"/>
      <c r="F341" s="488"/>
      <c r="G341" s="488"/>
      <c r="H341" s="488"/>
      <c r="I341" s="488"/>
      <c r="J341" s="488"/>
      <c r="K341" s="488"/>
      <c r="L341" s="488"/>
    </row>
    <row r="342" spans="1:12">
      <c r="A342" s="488"/>
      <c r="B342" s="488"/>
      <c r="C342" s="488"/>
      <c r="D342" s="488"/>
      <c r="E342" s="488"/>
      <c r="F342" s="488"/>
      <c r="G342" s="488"/>
      <c r="H342" s="488"/>
      <c r="I342" s="488"/>
      <c r="J342" s="488"/>
      <c r="K342" s="488"/>
      <c r="L342" s="488"/>
    </row>
    <row r="343" spans="1:12">
      <c r="A343" s="488"/>
      <c r="B343" s="488"/>
      <c r="C343" s="488"/>
      <c r="D343" s="488"/>
      <c r="E343" s="488"/>
      <c r="F343" s="488"/>
      <c r="G343" s="488"/>
      <c r="H343" s="488"/>
      <c r="I343" s="488"/>
      <c r="J343" s="488"/>
      <c r="K343" s="488"/>
      <c r="L343" s="488"/>
    </row>
    <row r="344" spans="1:12">
      <c r="A344" s="488"/>
      <c r="B344" s="488"/>
      <c r="C344" s="488"/>
      <c r="D344" s="488"/>
      <c r="E344" s="488"/>
      <c r="F344" s="488"/>
      <c r="G344" s="488"/>
      <c r="H344" s="488"/>
      <c r="I344" s="488"/>
      <c r="J344" s="488"/>
      <c r="K344" s="488"/>
      <c r="L344" s="488"/>
    </row>
    <row r="345" spans="1:12">
      <c r="A345" s="488"/>
      <c r="B345" s="488"/>
      <c r="C345" s="488"/>
      <c r="D345" s="488"/>
      <c r="E345" s="488"/>
      <c r="F345" s="488"/>
      <c r="G345" s="488"/>
      <c r="H345" s="488"/>
      <c r="I345" s="488"/>
      <c r="J345" s="488"/>
      <c r="K345" s="488"/>
      <c r="L345" s="488"/>
    </row>
    <row r="346" spans="1:12">
      <c r="A346" s="488"/>
      <c r="B346" s="488"/>
      <c r="C346" s="488"/>
      <c r="D346" s="488"/>
      <c r="E346" s="488"/>
      <c r="F346" s="488"/>
      <c r="G346" s="488"/>
      <c r="H346" s="488"/>
      <c r="I346" s="488"/>
      <c r="J346" s="488"/>
      <c r="K346" s="488"/>
      <c r="L346" s="488"/>
    </row>
    <row r="347" spans="1:12">
      <c r="A347" s="488"/>
      <c r="B347" s="488"/>
      <c r="C347" s="488"/>
      <c r="D347" s="488"/>
      <c r="E347" s="488"/>
      <c r="F347" s="488"/>
      <c r="G347" s="488"/>
      <c r="H347" s="488"/>
      <c r="I347" s="488"/>
      <c r="J347" s="488"/>
      <c r="K347" s="488"/>
      <c r="L347" s="488"/>
    </row>
    <row r="348" spans="1:12">
      <c r="A348" s="488"/>
      <c r="B348" s="488"/>
      <c r="C348" s="488"/>
      <c r="D348" s="488"/>
      <c r="E348" s="488"/>
      <c r="F348" s="488"/>
      <c r="G348" s="488"/>
      <c r="H348" s="488"/>
      <c r="I348" s="488"/>
      <c r="J348" s="488"/>
      <c r="K348" s="488"/>
      <c r="L348" s="488"/>
    </row>
    <row r="349" spans="1:12">
      <c r="A349" s="488"/>
      <c r="B349" s="488"/>
      <c r="C349" s="488"/>
      <c r="D349" s="488"/>
      <c r="E349" s="488"/>
      <c r="F349" s="488"/>
      <c r="G349" s="488"/>
      <c r="H349" s="488"/>
      <c r="I349" s="488"/>
      <c r="J349" s="488"/>
      <c r="K349" s="488"/>
      <c r="L349" s="488"/>
    </row>
    <row r="350" spans="1:12">
      <c r="A350" s="488"/>
      <c r="B350" s="488"/>
      <c r="C350" s="488"/>
      <c r="D350" s="488"/>
      <c r="E350" s="488"/>
      <c r="F350" s="488"/>
      <c r="G350" s="488"/>
      <c r="H350" s="488"/>
      <c r="I350" s="488"/>
      <c r="J350" s="488"/>
      <c r="K350" s="488"/>
      <c r="L350" s="488"/>
    </row>
    <row r="351" spans="1:12">
      <c r="A351" s="488"/>
      <c r="B351" s="488"/>
      <c r="C351" s="488"/>
      <c r="D351" s="488"/>
      <c r="E351" s="488"/>
      <c r="F351" s="488"/>
      <c r="G351" s="488"/>
      <c r="H351" s="488"/>
      <c r="I351" s="488"/>
      <c r="J351" s="488"/>
      <c r="K351" s="488"/>
      <c r="L351" s="488"/>
    </row>
    <row r="352" spans="1:12">
      <c r="A352" s="488"/>
      <c r="B352" s="488"/>
      <c r="C352" s="488"/>
      <c r="D352" s="488"/>
      <c r="E352" s="488"/>
      <c r="F352" s="488"/>
      <c r="G352" s="488"/>
      <c r="H352" s="488"/>
      <c r="I352" s="488"/>
      <c r="J352" s="488"/>
      <c r="K352" s="488"/>
      <c r="L352" s="488"/>
    </row>
    <row r="353" spans="1:12">
      <c r="A353" s="488"/>
      <c r="B353" s="488"/>
      <c r="C353" s="488"/>
      <c r="D353" s="488"/>
      <c r="E353" s="488"/>
      <c r="F353" s="488"/>
      <c r="G353" s="488"/>
      <c r="H353" s="488"/>
      <c r="I353" s="488"/>
      <c r="J353" s="488"/>
      <c r="K353" s="488"/>
      <c r="L353" s="488"/>
    </row>
    <row r="354" spans="1:12">
      <c r="A354" s="488"/>
      <c r="B354" s="488"/>
      <c r="C354" s="488"/>
      <c r="D354" s="488"/>
      <c r="E354" s="488"/>
      <c r="F354" s="488"/>
      <c r="G354" s="488"/>
      <c r="H354" s="488"/>
      <c r="I354" s="488"/>
      <c r="J354" s="488"/>
      <c r="K354" s="488"/>
      <c r="L354" s="488"/>
    </row>
  </sheetData>
  <sheetProtection sheet="1" objects="1" scenarios="1"/>
  <mergeCells count="55">
    <mergeCell ref="C134:D134"/>
    <mergeCell ref="H134:I134"/>
    <mergeCell ref="C136:D136"/>
    <mergeCell ref="B90:K90"/>
    <mergeCell ref="C94:D94"/>
    <mergeCell ref="C97:D97"/>
    <mergeCell ref="C100:D100"/>
    <mergeCell ref="C103:D103"/>
    <mergeCell ref="C120:D120"/>
    <mergeCell ref="B105:K105"/>
    <mergeCell ref="B106:K106"/>
    <mergeCell ref="B108:K108"/>
    <mergeCell ref="B110:K110"/>
    <mergeCell ref="C114:D114"/>
    <mergeCell ref="C117:D117"/>
    <mergeCell ref="C123:D123"/>
    <mergeCell ref="C80:D80"/>
    <mergeCell ref="C83:D83"/>
    <mergeCell ref="B88:K88"/>
    <mergeCell ref="C74:D74"/>
    <mergeCell ref="B85:K85"/>
    <mergeCell ref="B86:K86"/>
    <mergeCell ref="C77:D77"/>
    <mergeCell ref="B58:K58"/>
    <mergeCell ref="B52:K52"/>
    <mergeCell ref="B53:K53"/>
    <mergeCell ref="B55:K55"/>
    <mergeCell ref="B57:K57"/>
    <mergeCell ref="B6:K6"/>
    <mergeCell ref="B7:K7"/>
    <mergeCell ref="B8:K8"/>
    <mergeCell ref="B10:K10"/>
    <mergeCell ref="B12:K12"/>
    <mergeCell ref="C25:D25"/>
    <mergeCell ref="F23:G23"/>
    <mergeCell ref="B30:K30"/>
    <mergeCell ref="B31:K31"/>
    <mergeCell ref="C41:D41"/>
    <mergeCell ref="B48:C48"/>
    <mergeCell ref="G50:H50"/>
    <mergeCell ref="I51:K51"/>
    <mergeCell ref="B33:K33"/>
    <mergeCell ref="B35:K35"/>
    <mergeCell ref="B125:K125"/>
    <mergeCell ref="B126:K126"/>
    <mergeCell ref="B128:K128"/>
    <mergeCell ref="C133:D133"/>
    <mergeCell ref="H133:I133"/>
    <mergeCell ref="B130:K130"/>
    <mergeCell ref="C137:D137"/>
    <mergeCell ref="B144:K144"/>
    <mergeCell ref="C147:D147"/>
    <mergeCell ref="J147:K147"/>
    <mergeCell ref="C148:D148"/>
    <mergeCell ref="J148:K148"/>
  </mergeCells>
  <pageMargins left="0.7" right="0.7" top="0.75" bottom="0.75" header="0.3" footer="0.3"/>
  <pageSetup scale="80" orientation="portrait" blackAndWhite="1" r:id="rId1"/>
  <colBreaks count="1" manualBreakCount="1">
    <brk id="11" max="1048575" man="1"/>
  </colBreaks>
</worksheet>
</file>

<file path=xl/worksheets/sheet45.xml><?xml version="1.0" encoding="utf-8"?>
<worksheet xmlns="http://schemas.openxmlformats.org/spreadsheetml/2006/main" xmlns:r="http://schemas.openxmlformats.org/officeDocument/2006/relationships">
  <dimension ref="A1:A40"/>
  <sheetViews>
    <sheetView workbookViewId="0">
      <selection activeCell="C9" sqref="C9"/>
    </sheetView>
  </sheetViews>
  <sheetFormatPr defaultRowHeight="15.75"/>
  <cols>
    <col min="1" max="1" width="71.21875" style="1" customWidth="1"/>
    <col min="2" max="16384" width="8.88671875" style="1"/>
  </cols>
  <sheetData>
    <row r="1" spans="1:1" ht="16.5">
      <c r="A1" s="489" t="s">
        <v>730</v>
      </c>
    </row>
    <row r="3" spans="1:1" ht="31.5">
      <c r="A3" s="490" t="s">
        <v>731</v>
      </c>
    </row>
    <row r="4" spans="1:1">
      <c r="A4" s="491" t="s">
        <v>732</v>
      </c>
    </row>
    <row r="7" spans="1:1" ht="31.5">
      <c r="A7" s="490" t="s">
        <v>733</v>
      </c>
    </row>
    <row r="8" spans="1:1">
      <c r="A8" s="491" t="s">
        <v>734</v>
      </c>
    </row>
    <row r="11" spans="1:1">
      <c r="A11" s="1" t="s">
        <v>735</v>
      </c>
    </row>
    <row r="12" spans="1:1">
      <c r="A12" s="491" t="s">
        <v>736</v>
      </c>
    </row>
    <row r="15" spans="1:1">
      <c r="A15" s="1" t="s">
        <v>737</v>
      </c>
    </row>
    <row r="16" spans="1:1">
      <c r="A16" s="491" t="s">
        <v>738</v>
      </c>
    </row>
    <row r="19" spans="1:1">
      <c r="A19" s="1" t="s">
        <v>739</v>
      </c>
    </row>
    <row r="20" spans="1:1">
      <c r="A20" s="491" t="s">
        <v>740</v>
      </c>
    </row>
    <row r="23" spans="1:1">
      <c r="A23" s="1" t="s">
        <v>741</v>
      </c>
    </row>
    <row r="24" spans="1:1">
      <c r="A24" s="491" t="s">
        <v>742</v>
      </c>
    </row>
    <row r="27" spans="1:1">
      <c r="A27" s="1" t="s">
        <v>743</v>
      </c>
    </row>
    <row r="28" spans="1:1">
      <c r="A28" s="491" t="s">
        <v>744</v>
      </c>
    </row>
    <row r="31" spans="1:1">
      <c r="A31" s="1" t="s">
        <v>745</v>
      </c>
    </row>
    <row r="32" spans="1:1">
      <c r="A32" s="491" t="s">
        <v>746</v>
      </c>
    </row>
    <row r="35" spans="1:1">
      <c r="A35" s="1" t="s">
        <v>747</v>
      </c>
    </row>
    <row r="36" spans="1:1">
      <c r="A36" s="491" t="s">
        <v>748</v>
      </c>
    </row>
    <row r="39" spans="1:1">
      <c r="A39" s="1" t="s">
        <v>749</v>
      </c>
    </row>
    <row r="40" spans="1:1">
      <c r="A40" s="491" t="s">
        <v>750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46.xml><?xml version="1.0" encoding="utf-8"?>
<worksheet xmlns="http://schemas.openxmlformats.org/spreadsheetml/2006/main" xmlns:r="http://schemas.openxmlformats.org/officeDocument/2006/relationships">
  <dimension ref="A3:E250"/>
  <sheetViews>
    <sheetView workbookViewId="0">
      <selection activeCell="A7" sqref="A7"/>
    </sheetView>
  </sheetViews>
  <sheetFormatPr defaultRowHeight="15.75"/>
  <cols>
    <col min="1" max="1" width="81.88671875" style="32" customWidth="1"/>
    <col min="2" max="16384" width="8.88671875" style="32"/>
  </cols>
  <sheetData>
    <row r="3" spans="1:5">
      <c r="A3" s="528" t="s">
        <v>1006</v>
      </c>
    </row>
    <row r="4" spans="1:5" ht="31.5">
      <c r="A4" s="35" t="s">
        <v>1007</v>
      </c>
    </row>
    <row r="6" spans="1:5">
      <c r="A6" s="528" t="s">
        <v>1005</v>
      </c>
    </row>
    <row r="7" spans="1:5" ht="31.5">
      <c r="A7" s="744" t="s">
        <v>1004</v>
      </c>
    </row>
    <row r="8" spans="1:5">
      <c r="A8" s="528"/>
    </row>
    <row r="9" spans="1:5">
      <c r="A9" s="528" t="s">
        <v>999</v>
      </c>
    </row>
    <row r="10" spans="1:5">
      <c r="A10" s="32" t="s">
        <v>1000</v>
      </c>
    </row>
    <row r="12" spans="1:5">
      <c r="A12" s="528" t="s">
        <v>997</v>
      </c>
      <c r="B12" s="742"/>
      <c r="C12" s="742"/>
      <c r="D12" s="742"/>
      <c r="E12" s="742"/>
    </row>
    <row r="13" spans="1:5">
      <c r="A13" s="743" t="s">
        <v>998</v>
      </c>
      <c r="B13" s="742"/>
      <c r="C13" s="742"/>
      <c r="D13" s="742"/>
      <c r="E13" s="742"/>
    </row>
    <row r="15" spans="1:5">
      <c r="A15" s="528" t="s">
        <v>994</v>
      </c>
    </row>
    <row r="16" spans="1:5">
      <c r="A16" s="32" t="s">
        <v>995</v>
      </c>
    </row>
    <row r="18" spans="1:1">
      <c r="A18" s="528" t="s">
        <v>825</v>
      </c>
    </row>
    <row r="19" spans="1:1">
      <c r="A19" s="609" t="s">
        <v>826</v>
      </c>
    </row>
    <row r="20" spans="1:1">
      <c r="A20" s="32" t="s">
        <v>827</v>
      </c>
    </row>
    <row r="21" spans="1:1">
      <c r="A21" s="32" t="s">
        <v>828</v>
      </c>
    </row>
    <row r="22" spans="1:1">
      <c r="A22" s="32" t="s">
        <v>829</v>
      </c>
    </row>
    <row r="23" spans="1:1">
      <c r="A23" s="32" t="s">
        <v>830</v>
      </c>
    </row>
    <row r="24" spans="1:1">
      <c r="A24" s="32" t="s">
        <v>831</v>
      </c>
    </row>
    <row r="25" spans="1:1">
      <c r="A25" s="32" t="s">
        <v>832</v>
      </c>
    </row>
    <row r="26" spans="1:1">
      <c r="A26" s="32" t="s">
        <v>833</v>
      </c>
    </row>
    <row r="27" spans="1:1">
      <c r="A27" s="32" t="s">
        <v>834</v>
      </c>
    </row>
    <row r="28" spans="1:1">
      <c r="A28" s="32" t="s">
        <v>835</v>
      </c>
    </row>
    <row r="29" spans="1:1">
      <c r="A29" s="32" t="s">
        <v>836</v>
      </c>
    </row>
    <row r="30" spans="1:1">
      <c r="A30" s="32" t="s">
        <v>837</v>
      </c>
    </row>
    <row r="31" spans="1:1">
      <c r="A31" s="32" t="s">
        <v>838</v>
      </c>
    </row>
    <row r="32" spans="1:1">
      <c r="A32" s="32" t="s">
        <v>839</v>
      </c>
    </row>
    <row r="33" spans="1:1">
      <c r="A33" s="32" t="s">
        <v>840</v>
      </c>
    </row>
    <row r="34" spans="1:1">
      <c r="A34" s="32" t="s">
        <v>841</v>
      </c>
    </row>
    <row r="35" spans="1:1" ht="47.25">
      <c r="A35" s="35" t="s">
        <v>842</v>
      </c>
    </row>
    <row r="36" spans="1:1">
      <c r="A36" s="34" t="s">
        <v>843</v>
      </c>
    </row>
    <row r="37" spans="1:1" ht="31.5">
      <c r="A37" s="35" t="s">
        <v>844</v>
      </c>
    </row>
    <row r="38" spans="1:1">
      <c r="A38" s="32" t="s">
        <v>845</v>
      </c>
    </row>
    <row r="39" spans="1:1">
      <c r="A39" s="32" t="s">
        <v>846</v>
      </c>
    </row>
    <row r="40" spans="1:1">
      <c r="A40" s="32" t="s">
        <v>847</v>
      </c>
    </row>
    <row r="41" spans="1:1">
      <c r="A41" s="32" t="s">
        <v>848</v>
      </c>
    </row>
    <row r="42" spans="1:1">
      <c r="A42" s="32" t="s">
        <v>849</v>
      </c>
    </row>
    <row r="43" spans="1:1">
      <c r="A43" s="32" t="s">
        <v>850</v>
      </c>
    </row>
    <row r="44" spans="1:1">
      <c r="A44" s="32" t="s">
        <v>851</v>
      </c>
    </row>
    <row r="45" spans="1:1">
      <c r="A45" s="32" t="s">
        <v>852</v>
      </c>
    </row>
    <row r="46" spans="1:1">
      <c r="A46" s="32" t="s">
        <v>853</v>
      </c>
    </row>
    <row r="47" spans="1:1">
      <c r="A47" s="32" t="s">
        <v>854</v>
      </c>
    </row>
    <row r="48" spans="1:1">
      <c r="A48" s="32" t="s">
        <v>855</v>
      </c>
    </row>
    <row r="49" spans="1:1">
      <c r="A49" s="32" t="s">
        <v>856</v>
      </c>
    </row>
    <row r="50" spans="1:1">
      <c r="A50" s="32" t="s">
        <v>857</v>
      </c>
    </row>
    <row r="51" spans="1:1">
      <c r="A51" s="32" t="s">
        <v>858</v>
      </c>
    </row>
    <row r="52" spans="1:1">
      <c r="A52" s="32" t="s">
        <v>987</v>
      </c>
    </row>
    <row r="53" spans="1:1">
      <c r="A53" s="32" t="s">
        <v>988</v>
      </c>
    </row>
    <row r="54" spans="1:1">
      <c r="A54" s="32" t="s">
        <v>989</v>
      </c>
    </row>
    <row r="55" spans="1:1">
      <c r="A55" s="32" t="s">
        <v>990</v>
      </c>
    </row>
    <row r="57" spans="1:1">
      <c r="A57" s="528" t="s">
        <v>825</v>
      </c>
    </row>
    <row r="58" spans="1:1">
      <c r="A58" s="609" t="s">
        <v>826</v>
      </c>
    </row>
    <row r="59" spans="1:1">
      <c r="A59" s="32" t="s">
        <v>827</v>
      </c>
    </row>
    <row r="60" spans="1:1">
      <c r="A60" s="32" t="s">
        <v>828</v>
      </c>
    </row>
    <row r="61" spans="1:1">
      <c r="A61" s="32" t="s">
        <v>829</v>
      </c>
    </row>
    <row r="62" spans="1:1">
      <c r="A62" s="32" t="s">
        <v>830</v>
      </c>
    </row>
    <row r="63" spans="1:1">
      <c r="A63" s="32" t="s">
        <v>831</v>
      </c>
    </row>
    <row r="64" spans="1:1">
      <c r="A64" s="32" t="s">
        <v>832</v>
      </c>
    </row>
    <row r="65" spans="1:1">
      <c r="A65" s="32" t="s">
        <v>833</v>
      </c>
    </row>
    <row r="66" spans="1:1">
      <c r="A66" s="32" t="s">
        <v>834</v>
      </c>
    </row>
    <row r="67" spans="1:1">
      <c r="A67" s="32" t="s">
        <v>835</v>
      </c>
    </row>
    <row r="68" spans="1:1">
      <c r="A68" s="32" t="s">
        <v>836</v>
      </c>
    </row>
    <row r="69" spans="1:1">
      <c r="A69" s="32" t="s">
        <v>837</v>
      </c>
    </row>
    <row r="70" spans="1:1">
      <c r="A70" s="32" t="s">
        <v>838</v>
      </c>
    </row>
    <row r="71" spans="1:1">
      <c r="A71" s="32" t="s">
        <v>839</v>
      </c>
    </row>
    <row r="72" spans="1:1">
      <c r="A72" s="32" t="s">
        <v>840</v>
      </c>
    </row>
    <row r="73" spans="1:1">
      <c r="A73" s="32" t="s">
        <v>841</v>
      </c>
    </row>
    <row r="74" spans="1:1" ht="47.25">
      <c r="A74" s="35" t="s">
        <v>842</v>
      </c>
    </row>
    <row r="75" spans="1:1">
      <c r="A75" s="34" t="s">
        <v>843</v>
      </c>
    </row>
    <row r="76" spans="1:1" ht="31.5">
      <c r="A76" s="35" t="s">
        <v>844</v>
      </c>
    </row>
    <row r="77" spans="1:1">
      <c r="A77" s="32" t="s">
        <v>845</v>
      </c>
    </row>
    <row r="78" spans="1:1">
      <c r="A78" s="32" t="s">
        <v>846</v>
      </c>
    </row>
    <row r="79" spans="1:1">
      <c r="A79" s="32" t="s">
        <v>847</v>
      </c>
    </row>
    <row r="80" spans="1:1">
      <c r="A80" s="32" t="s">
        <v>848</v>
      </c>
    </row>
    <row r="81" spans="1:1">
      <c r="A81" s="32" t="s">
        <v>849</v>
      </c>
    </row>
    <row r="82" spans="1:1">
      <c r="A82" s="32" t="s">
        <v>850</v>
      </c>
    </row>
    <row r="83" spans="1:1">
      <c r="A83" s="32" t="s">
        <v>851</v>
      </c>
    </row>
    <row r="84" spans="1:1">
      <c r="A84" s="32" t="s">
        <v>852</v>
      </c>
    </row>
    <row r="85" spans="1:1">
      <c r="A85" s="32" t="s">
        <v>853</v>
      </c>
    </row>
    <row r="86" spans="1:1">
      <c r="A86" s="32" t="s">
        <v>854</v>
      </c>
    </row>
    <row r="87" spans="1:1">
      <c r="A87" s="32" t="s">
        <v>855</v>
      </c>
    </row>
    <row r="88" spans="1:1">
      <c r="A88" s="32" t="s">
        <v>856</v>
      </c>
    </row>
    <row r="89" spans="1:1">
      <c r="A89" s="32" t="s">
        <v>857</v>
      </c>
    </row>
    <row r="90" spans="1:1">
      <c r="A90" s="32" t="s">
        <v>858</v>
      </c>
    </row>
    <row r="91" spans="1:1">
      <c r="A91" s="32" t="s">
        <v>859</v>
      </c>
    </row>
    <row r="92" spans="1:1">
      <c r="A92" s="32" t="s">
        <v>860</v>
      </c>
    </row>
    <row r="95" spans="1:1">
      <c r="A95" s="528" t="s">
        <v>822</v>
      </c>
    </row>
    <row r="96" spans="1:1">
      <c r="A96" s="32" t="s">
        <v>823</v>
      </c>
    </row>
    <row r="98" spans="1:1">
      <c r="A98" s="528" t="s">
        <v>818</v>
      </c>
    </row>
    <row r="99" spans="1:1">
      <c r="A99" s="32" t="s">
        <v>819</v>
      </c>
    </row>
    <row r="100" spans="1:1">
      <c r="A100" s="32" t="s">
        <v>820</v>
      </c>
    </row>
    <row r="101" spans="1:1">
      <c r="A101" s="32" t="s">
        <v>821</v>
      </c>
    </row>
    <row r="103" spans="1:1">
      <c r="A103" s="528" t="s">
        <v>816</v>
      </c>
    </row>
    <row r="104" spans="1:1">
      <c r="A104" s="508" t="s">
        <v>817</v>
      </c>
    </row>
    <row r="106" spans="1:1">
      <c r="A106" s="528" t="s">
        <v>788</v>
      </c>
    </row>
    <row r="107" spans="1:1">
      <c r="A107" s="32" t="s">
        <v>789</v>
      </c>
    </row>
    <row r="109" spans="1:1">
      <c r="A109" s="528" t="s">
        <v>762</v>
      </c>
    </row>
    <row r="110" spans="1:1">
      <c r="A110" s="508" t="s">
        <v>753</v>
      </c>
    </row>
    <row r="111" spans="1:1">
      <c r="A111" s="508" t="s">
        <v>754</v>
      </c>
    </row>
    <row r="112" spans="1:1" ht="31.5">
      <c r="A112" s="495" t="s">
        <v>755</v>
      </c>
    </row>
    <row r="113" spans="1:1">
      <c r="A113" s="508" t="s">
        <v>790</v>
      </c>
    </row>
    <row r="114" spans="1:1">
      <c r="A114" s="508" t="s">
        <v>791</v>
      </c>
    </row>
    <row r="115" spans="1:1">
      <c r="A115" s="508" t="s">
        <v>792</v>
      </c>
    </row>
    <row r="116" spans="1:1">
      <c r="A116" s="508" t="s">
        <v>793</v>
      </c>
    </row>
    <row r="117" spans="1:1">
      <c r="A117" s="508" t="s">
        <v>794</v>
      </c>
    </row>
    <row r="118" spans="1:1">
      <c r="A118" s="508" t="s">
        <v>795</v>
      </c>
    </row>
    <row r="119" spans="1:1">
      <c r="A119" s="508" t="s">
        <v>796</v>
      </c>
    </row>
    <row r="120" spans="1:1">
      <c r="A120" s="508" t="s">
        <v>797</v>
      </c>
    </row>
    <row r="121" spans="1:1">
      <c r="A121" s="508" t="s">
        <v>798</v>
      </c>
    </row>
    <row r="122" spans="1:1">
      <c r="A122" s="508" t="s">
        <v>799</v>
      </c>
    </row>
    <row r="123" spans="1:1">
      <c r="A123" s="508" t="s">
        <v>800</v>
      </c>
    </row>
    <row r="124" spans="1:1">
      <c r="A124" s="508" t="s">
        <v>801</v>
      </c>
    </row>
    <row r="125" spans="1:1">
      <c r="A125" s="508" t="s">
        <v>802</v>
      </c>
    </row>
    <row r="126" spans="1:1">
      <c r="A126" s="508" t="s">
        <v>803</v>
      </c>
    </row>
    <row r="127" spans="1:1">
      <c r="A127" s="508" t="s">
        <v>804</v>
      </c>
    </row>
    <row r="128" spans="1:1">
      <c r="A128" s="508" t="s">
        <v>805</v>
      </c>
    </row>
    <row r="129" spans="1:1">
      <c r="A129" s="508" t="s">
        <v>806</v>
      </c>
    </row>
    <row r="130" spans="1:1">
      <c r="A130" s="508" t="s">
        <v>807</v>
      </c>
    </row>
    <row r="131" spans="1:1">
      <c r="A131" s="508" t="s">
        <v>808</v>
      </c>
    </row>
    <row r="132" spans="1:1">
      <c r="A132" s="508" t="s">
        <v>809</v>
      </c>
    </row>
    <row r="133" spans="1:1">
      <c r="A133" s="508" t="s">
        <v>810</v>
      </c>
    </row>
    <row r="134" spans="1:1">
      <c r="A134" s="508" t="s">
        <v>811</v>
      </c>
    </row>
    <row r="135" spans="1:1">
      <c r="A135" s="508" t="s">
        <v>812</v>
      </c>
    </row>
    <row r="136" spans="1:1">
      <c r="A136" s="508" t="s">
        <v>813</v>
      </c>
    </row>
    <row r="137" spans="1:1">
      <c r="A137" s="508" t="s">
        <v>814</v>
      </c>
    </row>
    <row r="138" spans="1:1">
      <c r="A138" s="508" t="s">
        <v>815</v>
      </c>
    </row>
    <row r="140" spans="1:1">
      <c r="A140" s="371" t="s">
        <v>665</v>
      </c>
    </row>
    <row r="141" spans="1:1">
      <c r="A141" s="32" t="s">
        <v>666</v>
      </c>
    </row>
    <row r="142" spans="1:1">
      <c r="A142" s="32" t="s">
        <v>667</v>
      </c>
    </row>
    <row r="143" spans="1:1">
      <c r="A143" s="32" t="s">
        <v>668</v>
      </c>
    </row>
    <row r="145" spans="1:1">
      <c r="A145" s="371" t="s">
        <v>655</v>
      </c>
    </row>
    <row r="146" spans="1:1">
      <c r="A146" s="32" t="s">
        <v>664</v>
      </c>
    </row>
    <row r="148" spans="1:1">
      <c r="A148" s="371" t="s">
        <v>430</v>
      </c>
    </row>
    <row r="149" spans="1:1">
      <c r="A149" s="370" t="s">
        <v>431</v>
      </c>
    </row>
    <row r="150" spans="1:1">
      <c r="A150" s="370" t="s">
        <v>432</v>
      </c>
    </row>
    <row r="151" spans="1:1">
      <c r="A151" s="370" t="s">
        <v>433</v>
      </c>
    </row>
    <row r="152" spans="1:1">
      <c r="A152" s="32" t="s">
        <v>653</v>
      </c>
    </row>
    <row r="154" spans="1:1">
      <c r="A154" s="346" t="s">
        <v>360</v>
      </c>
    </row>
    <row r="155" spans="1:1">
      <c r="A155" s="350" t="s">
        <v>410</v>
      </c>
    </row>
    <row r="156" spans="1:1">
      <c r="A156" s="32" t="s">
        <v>411</v>
      </c>
    </row>
    <row r="157" spans="1:1">
      <c r="A157" s="32" t="s">
        <v>412</v>
      </c>
    </row>
    <row r="158" spans="1:1" ht="21.75" customHeight="1">
      <c r="A158" s="35" t="s">
        <v>413</v>
      </c>
    </row>
    <row r="159" spans="1:1">
      <c r="A159" s="32" t="s">
        <v>414</v>
      </c>
    </row>
    <row r="160" spans="1:1">
      <c r="A160" s="32" t="s">
        <v>415</v>
      </c>
    </row>
    <row r="161" spans="1:1">
      <c r="A161" s="32" t="s">
        <v>416</v>
      </c>
    </row>
    <row r="162" spans="1:1">
      <c r="A162" s="32" t="s">
        <v>417</v>
      </c>
    </row>
    <row r="163" spans="1:1">
      <c r="A163" s="32" t="s">
        <v>418</v>
      </c>
    </row>
    <row r="164" spans="1:1">
      <c r="A164" s="32" t="s">
        <v>419</v>
      </c>
    </row>
    <row r="165" spans="1:1">
      <c r="A165" s="32" t="s">
        <v>420</v>
      </c>
    </row>
    <row r="167" spans="1:1">
      <c r="A167" s="346" t="s">
        <v>355</v>
      </c>
    </row>
    <row r="168" spans="1:1">
      <c r="A168" s="32" t="s">
        <v>356</v>
      </c>
    </row>
    <row r="170" spans="1:1">
      <c r="A170" s="346" t="s">
        <v>353</v>
      </c>
    </row>
    <row r="171" spans="1:1">
      <c r="A171" s="32" t="s">
        <v>354</v>
      </c>
    </row>
    <row r="173" spans="1:1">
      <c r="A173" s="346" t="s">
        <v>350</v>
      </c>
    </row>
    <row r="174" spans="1:1">
      <c r="A174" s="32" t="s">
        <v>351</v>
      </c>
    </row>
    <row r="175" spans="1:1">
      <c r="A175" s="32" t="s">
        <v>352</v>
      </c>
    </row>
    <row r="177" spans="1:1">
      <c r="A177" s="346" t="s">
        <v>64</v>
      </c>
    </row>
    <row r="178" spans="1:1">
      <c r="A178" s="32" t="s">
        <v>49</v>
      </c>
    </row>
    <row r="179" spans="1:1">
      <c r="A179" s="32" t="s">
        <v>50</v>
      </c>
    </row>
    <row r="180" spans="1:1">
      <c r="A180" s="32" t="s">
        <v>51</v>
      </c>
    </row>
    <row r="181" spans="1:1">
      <c r="A181" s="32" t="s">
        <v>58</v>
      </c>
    </row>
    <row r="182" spans="1:1">
      <c r="A182" s="32" t="s">
        <v>52</v>
      </c>
    </row>
    <row r="183" spans="1:1">
      <c r="A183" s="32" t="s">
        <v>53</v>
      </c>
    </row>
    <row r="184" spans="1:1" ht="31.5">
      <c r="A184" s="35" t="s">
        <v>59</v>
      </c>
    </row>
    <row r="185" spans="1:1" ht="31.5">
      <c r="A185" s="35" t="s">
        <v>54</v>
      </c>
    </row>
    <row r="186" spans="1:1">
      <c r="A186" s="35" t="s">
        <v>55</v>
      </c>
    </row>
    <row r="187" spans="1:1">
      <c r="A187" s="35" t="s">
        <v>56</v>
      </c>
    </row>
    <row r="188" spans="1:1" ht="31.5">
      <c r="A188" s="35" t="s">
        <v>343</v>
      </c>
    </row>
    <row r="189" spans="1:1">
      <c r="A189" s="32" t="s">
        <v>344</v>
      </c>
    </row>
    <row r="190" spans="1:1" ht="31.5">
      <c r="A190" s="35" t="s">
        <v>57</v>
      </c>
    </row>
    <row r="191" spans="1:1">
      <c r="A191" s="32" t="s">
        <v>61</v>
      </c>
    </row>
    <row r="192" spans="1:1">
      <c r="A192" s="32" t="s">
        <v>62</v>
      </c>
    </row>
    <row r="193" spans="1:1">
      <c r="A193" s="32" t="s">
        <v>63</v>
      </c>
    </row>
    <row r="194" spans="1:1" ht="31.5">
      <c r="A194" s="35" t="s">
        <v>342</v>
      </c>
    </row>
    <row r="195" spans="1:1">
      <c r="A195" s="32" t="s">
        <v>341</v>
      </c>
    </row>
    <row r="196" spans="1:1" ht="31.5">
      <c r="A196" s="35" t="s">
        <v>340</v>
      </c>
    </row>
    <row r="197" spans="1:1">
      <c r="A197" s="32" t="s">
        <v>345</v>
      </c>
    </row>
    <row r="199" spans="1:1">
      <c r="A199" s="346" t="s">
        <v>68</v>
      </c>
    </row>
    <row r="200" spans="1:1">
      <c r="A200" s="32" t="s">
        <v>69</v>
      </c>
    </row>
    <row r="201" spans="1:1">
      <c r="A201" s="32" t="s">
        <v>70</v>
      </c>
    </row>
    <row r="202" spans="1:1">
      <c r="A202" s="32" t="s">
        <v>71</v>
      </c>
    </row>
    <row r="203" spans="1:1">
      <c r="A203" s="32" t="s">
        <v>60</v>
      </c>
    </row>
    <row r="206" spans="1:1">
      <c r="A206" s="346" t="s">
        <v>45</v>
      </c>
    </row>
    <row r="207" spans="1:1">
      <c r="A207" s="32" t="s">
        <v>46</v>
      </c>
    </row>
    <row r="209" spans="1:1">
      <c r="A209" s="346" t="s">
        <v>38</v>
      </c>
    </row>
    <row r="210" spans="1:1">
      <c r="A210" s="32" t="s">
        <v>39</v>
      </c>
    </row>
    <row r="211" spans="1:1">
      <c r="A211" s="32" t="s">
        <v>40</v>
      </c>
    </row>
    <row r="212" spans="1:1" ht="31.5">
      <c r="A212" s="35" t="s">
        <v>41</v>
      </c>
    </row>
    <row r="213" spans="1:1">
      <c r="A213" s="32" t="s">
        <v>42</v>
      </c>
    </row>
    <row r="214" spans="1:1">
      <c r="A214" s="32" t="s">
        <v>43</v>
      </c>
    </row>
    <row r="215" spans="1:1">
      <c r="A215" s="32" t="s">
        <v>44</v>
      </c>
    </row>
    <row r="217" spans="1:1" ht="18" customHeight="1">
      <c r="A217" s="346" t="s">
        <v>310</v>
      </c>
    </row>
    <row r="218" spans="1:1" ht="48.75" customHeight="1">
      <c r="A218" s="35" t="s">
        <v>346</v>
      </c>
    </row>
    <row r="219" spans="1:1">
      <c r="A219" s="32" t="s">
        <v>311</v>
      </c>
    </row>
    <row r="220" spans="1:1">
      <c r="A220" s="32" t="s">
        <v>312</v>
      </c>
    </row>
    <row r="221" spans="1:1">
      <c r="A221" s="32" t="s">
        <v>347</v>
      </c>
    </row>
    <row r="222" spans="1:1">
      <c r="A222" s="32" t="s">
        <v>313</v>
      </c>
    </row>
    <row r="223" spans="1:1">
      <c r="A223" s="32" t="s">
        <v>314</v>
      </c>
    </row>
    <row r="224" spans="1:1">
      <c r="A224" s="32" t="s">
        <v>6</v>
      </c>
    </row>
    <row r="225" spans="1:1">
      <c r="A225" s="32" t="s">
        <v>315</v>
      </c>
    </row>
    <row r="226" spans="1:1">
      <c r="A226" s="32" t="s">
        <v>316</v>
      </c>
    </row>
    <row r="227" spans="1:1" ht="31.5">
      <c r="A227" s="35" t="s">
        <v>317</v>
      </c>
    </row>
    <row r="228" spans="1:1" ht="31.5">
      <c r="A228" s="35" t="s">
        <v>15</v>
      </c>
    </row>
    <row r="229" spans="1:1">
      <c r="A229" s="32" t="s">
        <v>318</v>
      </c>
    </row>
    <row r="230" spans="1:1">
      <c r="A230" s="32" t="s">
        <v>319</v>
      </c>
    </row>
    <row r="231" spans="1:1">
      <c r="A231" s="32" t="s">
        <v>348</v>
      </c>
    </row>
    <row r="232" spans="1:1">
      <c r="A232" s="32" t="s">
        <v>320</v>
      </c>
    </row>
    <row r="233" spans="1:1">
      <c r="A233" s="32" t="s">
        <v>0</v>
      </c>
    </row>
    <row r="234" spans="1:1" ht="31.5">
      <c r="A234" s="35" t="s">
        <v>1</v>
      </c>
    </row>
    <row r="235" spans="1:1">
      <c r="A235" s="32" t="s">
        <v>330</v>
      </c>
    </row>
    <row r="236" spans="1:1">
      <c r="A236" s="32" t="s">
        <v>331</v>
      </c>
    </row>
    <row r="237" spans="1:1" ht="31.5">
      <c r="A237" s="35" t="s">
        <v>332</v>
      </c>
    </row>
    <row r="238" spans="1:1">
      <c r="A238" s="32" t="s">
        <v>25</v>
      </c>
    </row>
    <row r="239" spans="1:1">
      <c r="A239" s="32" t="s">
        <v>26</v>
      </c>
    </row>
    <row r="240" spans="1:1">
      <c r="A240" s="32" t="s">
        <v>27</v>
      </c>
    </row>
    <row r="241" spans="1:1">
      <c r="A241" s="32" t="s">
        <v>28</v>
      </c>
    </row>
    <row r="242" spans="1:1">
      <c r="A242" s="32" t="s">
        <v>29</v>
      </c>
    </row>
    <row r="243" spans="1:1">
      <c r="A243" s="32" t="s">
        <v>30</v>
      </c>
    </row>
    <row r="244" spans="1:1">
      <c r="A244" s="32" t="s">
        <v>31</v>
      </c>
    </row>
    <row r="245" spans="1:1">
      <c r="A245" s="32" t="s">
        <v>32</v>
      </c>
    </row>
    <row r="246" spans="1:1">
      <c r="A246" s="32" t="s">
        <v>33</v>
      </c>
    </row>
    <row r="247" spans="1:1">
      <c r="A247" s="32" t="s">
        <v>35</v>
      </c>
    </row>
    <row r="248" spans="1:1">
      <c r="A248" s="32" t="s">
        <v>36</v>
      </c>
    </row>
    <row r="249" spans="1:1">
      <c r="A249" s="32" t="s">
        <v>37</v>
      </c>
    </row>
    <row r="250" spans="1:1">
      <c r="A250" s="32" t="s">
        <v>34</v>
      </c>
    </row>
  </sheetData>
  <sheetProtection sheet="1" objects="1" scenarios="1"/>
  <phoneticPr fontId="0" type="noConversion"/>
  <pageMargins left="0.75" right="0.75" top="1" bottom="1" header="0.5" footer="0.5"/>
  <pageSetup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B1:K97"/>
  <sheetViews>
    <sheetView topLeftCell="A73" zoomScaleNormal="100" workbookViewId="0">
      <selection activeCell="C82" sqref="C82"/>
    </sheetView>
  </sheetViews>
  <sheetFormatPr defaultRowHeight="15.75"/>
  <cols>
    <col min="1" max="1" width="2.44140625" style="45" customWidth="1"/>
    <col min="2" max="2" width="31.109375" style="45" customWidth="1"/>
    <col min="3" max="4" width="15.77734375" style="45" customWidth="1"/>
    <col min="5" max="5" width="16.109375" style="45" customWidth="1"/>
    <col min="6" max="6" width="8.88671875" style="45"/>
    <col min="7" max="7" width="10.21875" style="45" customWidth="1"/>
    <col min="8" max="8" width="8.88671875" style="45"/>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t="s">
        <v>173</v>
      </c>
      <c r="C3" s="201"/>
      <c r="D3" s="201"/>
      <c r="E3" s="288"/>
    </row>
    <row r="4" spans="2:5">
      <c r="B4" s="52" t="s">
        <v>106</v>
      </c>
      <c r="C4" s="715" t="s">
        <v>950</v>
      </c>
      <c r="D4" s="716" t="s">
        <v>951</v>
      </c>
      <c r="E4" s="144" t="s">
        <v>952</v>
      </c>
    </row>
    <row r="5" spans="2:5">
      <c r="B5" s="535">
        <f>inputPrYr!B27</f>
        <v>0</v>
      </c>
      <c r="C5" s="225" t="str">
        <f>CONCATENATE("Actual for ",E1-2,"")</f>
        <v>Actual for 2012</v>
      </c>
      <c r="D5" s="225" t="str">
        <f>CONCATENATE("Estimate for ",E1-1,"")</f>
        <v>Estimate for 2013</v>
      </c>
      <c r="E5" s="208" t="str">
        <f>CONCATENATE("Year for ",E1,"")</f>
        <v>Year for 2014</v>
      </c>
    </row>
    <row r="6" spans="2:5">
      <c r="B6" s="252" t="s">
        <v>228</v>
      </c>
      <c r="C6" s="257"/>
      <c r="D6" s="255">
        <f>C34</f>
        <v>0</v>
      </c>
      <c r="E6" s="228">
        <f>D34</f>
        <v>0</v>
      </c>
    </row>
    <row r="7" spans="2:5">
      <c r="B7" s="256" t="s">
        <v>230</v>
      </c>
      <c r="C7" s="159"/>
      <c r="D7" s="159"/>
      <c r="E7" s="87"/>
    </row>
    <row r="8" spans="2:5">
      <c r="B8" s="150" t="s">
        <v>107</v>
      </c>
      <c r="C8" s="257"/>
      <c r="D8" s="255">
        <f>IF(inputPrYr!H16&gt;0,inputPrYr!G27,inputPrYr!E27)</f>
        <v>0</v>
      </c>
      <c r="E8" s="286" t="s">
        <v>95</v>
      </c>
    </row>
    <row r="9" spans="2:5">
      <c r="B9" s="150" t="s">
        <v>108</v>
      </c>
      <c r="C9" s="257"/>
      <c r="D9" s="257"/>
      <c r="E9" s="67"/>
    </row>
    <row r="10" spans="2:5">
      <c r="B10" s="150" t="s">
        <v>109</v>
      </c>
      <c r="C10" s="257"/>
      <c r="D10" s="257"/>
      <c r="E10" s="228" t="str">
        <f>mvalloc!D16</f>
        <v xml:space="preserve">  </v>
      </c>
    </row>
    <row r="11" spans="2:5">
      <c r="B11" s="150" t="s">
        <v>110</v>
      </c>
      <c r="C11" s="257"/>
      <c r="D11" s="257"/>
      <c r="E11" s="228" t="str">
        <f>mvalloc!E16</f>
        <v xml:space="preserve"> </v>
      </c>
    </row>
    <row r="12" spans="2:5">
      <c r="B12" s="159" t="s">
        <v>205</v>
      </c>
      <c r="C12" s="257"/>
      <c r="D12" s="257"/>
      <c r="E12" s="228" t="str">
        <f>mvalloc!F16</f>
        <v xml:space="preserve"> </v>
      </c>
    </row>
    <row r="13" spans="2:5">
      <c r="B13" s="273"/>
      <c r="C13" s="257"/>
      <c r="D13" s="257"/>
      <c r="E13" s="67"/>
    </row>
    <row r="14" spans="2:5">
      <c r="B14" s="273"/>
      <c r="C14" s="257"/>
      <c r="D14" s="257"/>
      <c r="E14" s="67"/>
    </row>
    <row r="15" spans="2:5">
      <c r="B15" s="273"/>
      <c r="C15" s="257"/>
      <c r="D15" s="257"/>
      <c r="E15" s="67"/>
    </row>
    <row r="16" spans="2:5">
      <c r="B16" s="273"/>
      <c r="C16" s="257"/>
      <c r="D16" s="257"/>
      <c r="E16" s="67"/>
    </row>
    <row r="17" spans="2:10">
      <c r="B17" s="261" t="s">
        <v>114</v>
      </c>
      <c r="C17" s="257"/>
      <c r="D17" s="257"/>
      <c r="E17" s="67"/>
    </row>
    <row r="18" spans="2:10">
      <c r="B18" s="159" t="s">
        <v>14</v>
      </c>
      <c r="C18" s="257"/>
      <c r="D18" s="257"/>
      <c r="E18" s="67"/>
    </row>
    <row r="19" spans="2:10">
      <c r="B19" s="252" t="s">
        <v>784</v>
      </c>
      <c r="C19" s="262" t="str">
        <f>IF(C20*0.1&lt;C18,"Exceed 10% Rule","")</f>
        <v/>
      </c>
      <c r="D19" s="262" t="str">
        <f>IF(D20*0.1&lt;D18,"Exceed 10% Rule","")</f>
        <v/>
      </c>
      <c r="E19" s="299" t="str">
        <f>IF(E20*0.1+E40&lt;E18,"Exceed 10% Rule","")</f>
        <v/>
      </c>
    </row>
    <row r="20" spans="2:10">
      <c r="B20" s="264" t="s">
        <v>115</v>
      </c>
      <c r="C20" s="266">
        <f>SUM(C8:C18)</f>
        <v>0</v>
      </c>
      <c r="D20" s="266">
        <f>SUM(D8:D18)</f>
        <v>0</v>
      </c>
      <c r="E20" s="267">
        <f>SUM(E8:E18)</f>
        <v>0</v>
      </c>
    </row>
    <row r="21" spans="2:10">
      <c r="B21" s="264" t="s">
        <v>116</v>
      </c>
      <c r="C21" s="266">
        <f>C6+C20</f>
        <v>0</v>
      </c>
      <c r="D21" s="266">
        <f>D6+D20</f>
        <v>0</v>
      </c>
      <c r="E21" s="267">
        <f>E6+E20</f>
        <v>0</v>
      </c>
    </row>
    <row r="22" spans="2:10">
      <c r="B22" s="150" t="s">
        <v>118</v>
      </c>
      <c r="C22" s="274"/>
      <c r="D22" s="274"/>
      <c r="E22" s="65"/>
    </row>
    <row r="23" spans="2:10">
      <c r="B23" s="273"/>
      <c r="C23" s="257"/>
      <c r="D23" s="257"/>
      <c r="E23" s="67"/>
    </row>
    <row r="24" spans="2:10">
      <c r="B24" s="273"/>
      <c r="C24" s="257"/>
      <c r="D24" s="257"/>
      <c r="E24" s="67"/>
      <c r="G24" s="804" t="str">
        <f>CONCATENATE("Desired Carryover Into ",E1+1,"")</f>
        <v>Desired Carryover Into 2015</v>
      </c>
      <c r="H24" s="799"/>
      <c r="I24" s="799"/>
      <c r="J24" s="800"/>
    </row>
    <row r="25" spans="2:10">
      <c r="B25" s="273"/>
      <c r="C25" s="257"/>
      <c r="D25" s="257"/>
      <c r="E25" s="67"/>
      <c r="G25" s="652"/>
      <c r="H25" s="653"/>
      <c r="I25" s="654"/>
      <c r="J25" s="655"/>
    </row>
    <row r="26" spans="2:10">
      <c r="B26" s="273"/>
      <c r="C26" s="257"/>
      <c r="D26" s="257"/>
      <c r="E26" s="67"/>
      <c r="G26" s="656" t="s">
        <v>772</v>
      </c>
      <c r="H26" s="654"/>
      <c r="I26" s="654"/>
      <c r="J26" s="657">
        <v>0</v>
      </c>
    </row>
    <row r="27" spans="2:10">
      <c r="B27" s="273"/>
      <c r="C27" s="257"/>
      <c r="D27" s="257"/>
      <c r="E27" s="67"/>
      <c r="G27" s="652" t="s">
        <v>773</v>
      </c>
      <c r="H27" s="653"/>
      <c r="I27" s="653"/>
      <c r="J27" s="658" t="str">
        <f>IF(J26=0,"",ROUND((J26+E40-G39)/inputOth!E7*1000,3)-G44)</f>
        <v/>
      </c>
    </row>
    <row r="28" spans="2:10">
      <c r="B28" s="273"/>
      <c r="C28" s="257"/>
      <c r="D28" s="257"/>
      <c r="E28" s="67"/>
      <c r="G28" s="659" t="str">
        <f>CONCATENATE("",E1," Tot Exp/Non-Appr Must Be:")</f>
        <v>2014 Tot Exp/Non-Appr Must Be:</v>
      </c>
      <c r="H28" s="660"/>
      <c r="I28" s="661"/>
      <c r="J28" s="662">
        <f>IF(J26&gt;0,IF(E37&lt;E21,IF(J26=G39,E37,((J26-G39)*(1-D39))+E21),E37+(J26-G39)),0)</f>
        <v>0</v>
      </c>
    </row>
    <row r="29" spans="2:10">
      <c r="B29" s="273"/>
      <c r="C29" s="257"/>
      <c r="D29" s="257"/>
      <c r="E29" s="67"/>
      <c r="G29" s="663" t="s">
        <v>892</v>
      </c>
      <c r="H29" s="664"/>
      <c r="I29" s="664"/>
      <c r="J29" s="665">
        <f>IF(J26&gt;0,J28-E37,0)</f>
        <v>0</v>
      </c>
    </row>
    <row r="30" spans="2:10">
      <c r="B30" s="274" t="s">
        <v>13</v>
      </c>
      <c r="C30" s="257"/>
      <c r="D30" s="257"/>
      <c r="E30" s="82" t="str">
        <f>nhood!E15</f>
        <v/>
      </c>
      <c r="J30" s="2"/>
    </row>
    <row r="31" spans="2:10">
      <c r="B31" s="274" t="s">
        <v>14</v>
      </c>
      <c r="C31" s="257"/>
      <c r="D31" s="257"/>
      <c r="E31" s="67"/>
      <c r="G31" s="804" t="str">
        <f>CONCATENATE("Projected Carryover Into ",E1+1,"")</f>
        <v>Projected Carryover Into 2015</v>
      </c>
      <c r="H31" s="808"/>
      <c r="I31" s="808"/>
      <c r="J31" s="806"/>
    </row>
    <row r="32" spans="2:10">
      <c r="B32" s="274" t="s">
        <v>785</v>
      </c>
      <c r="C32" s="262" t="str">
        <f>IF(C33*0.1&lt;C31,"Exceed 10% Rule","")</f>
        <v/>
      </c>
      <c r="D32" s="262" t="str">
        <f>IF(D33*0.1&lt;D31,"Exceed 10% Rule","")</f>
        <v/>
      </c>
      <c r="E32" s="299" t="str">
        <f>IF(E33*0.1&lt;E31,"Exceed 10% Rule","")</f>
        <v/>
      </c>
      <c r="G32" s="652"/>
      <c r="H32" s="654"/>
      <c r="I32" s="654"/>
      <c r="J32" s="667"/>
    </row>
    <row r="33" spans="2:11">
      <c r="B33" s="264" t="s">
        <v>122</v>
      </c>
      <c r="C33" s="266">
        <f>SUM(C23:C31)</f>
        <v>0</v>
      </c>
      <c r="D33" s="266">
        <f>SUM(D23:D31)</f>
        <v>0</v>
      </c>
      <c r="E33" s="267">
        <f>SUM(E23:E31)</f>
        <v>0</v>
      </c>
      <c r="G33" s="668">
        <f>D34</f>
        <v>0</v>
      </c>
      <c r="H33" s="635" t="str">
        <f>CONCATENATE("",E1-1," Ending Cash Balance (est.)")</f>
        <v>2013 Ending Cash Balance (est.)</v>
      </c>
      <c r="I33" s="669"/>
      <c r="J33" s="667"/>
    </row>
    <row r="34" spans="2:11">
      <c r="B34" s="150" t="s">
        <v>229</v>
      </c>
      <c r="C34" s="270">
        <f>C21-C33</f>
        <v>0</v>
      </c>
      <c r="D34" s="270">
        <f>D21-D33</f>
        <v>0</v>
      </c>
      <c r="E34" s="286" t="s">
        <v>95</v>
      </c>
      <c r="G34" s="668">
        <f>E20</f>
        <v>0</v>
      </c>
      <c r="H34" s="654" t="str">
        <f>CONCATENATE("",E1," Non-AV Receipts (est.)")</f>
        <v>2014 Non-AV Receipts (est.)</v>
      </c>
      <c r="I34" s="669"/>
      <c r="J34" s="667"/>
    </row>
    <row r="35" spans="2:11">
      <c r="B35" s="136" t="str">
        <f>CONCATENATE("",E1-2,"/",E1-1," Budget Authority Amount:")</f>
        <v>2012/2013 Budget Authority Amount:</v>
      </c>
      <c r="C35" s="241">
        <f>inputOth!B69</f>
        <v>0</v>
      </c>
      <c r="D35" s="241">
        <f>inputPrYr!D27</f>
        <v>0</v>
      </c>
      <c r="E35" s="286" t="s">
        <v>95</v>
      </c>
      <c r="F35" s="276"/>
      <c r="G35" s="670">
        <f>IF(E39&gt;0,E38,E40)</f>
        <v>0</v>
      </c>
      <c r="H35" s="654" t="str">
        <f>CONCATENATE("",E1," Ad Valorem Tax (est.)")</f>
        <v>2014 Ad Valorem Tax (est.)</v>
      </c>
      <c r="I35" s="669"/>
      <c r="J35" s="648"/>
      <c r="K35" s="644" t="str">
        <f>IF(G35=E40,"","Note: Does not include Delinquent Taxes")</f>
        <v/>
      </c>
    </row>
    <row r="36" spans="2:11">
      <c r="B36" s="136"/>
      <c r="C36" s="793" t="s">
        <v>671</v>
      </c>
      <c r="D36" s="794"/>
      <c r="E36" s="67"/>
      <c r="F36" s="739" t="str">
        <f>IF(E33/0.95-E33&lt;E36,"Exceeds 5%","")</f>
        <v/>
      </c>
      <c r="G36" s="668">
        <f>SUM(G33:G35)</f>
        <v>0</v>
      </c>
      <c r="H36" s="654" t="str">
        <f>CONCATENATE("Total ",E1," Resources Available")</f>
        <v>Total 2014 Resources Available</v>
      </c>
      <c r="I36" s="669"/>
      <c r="J36" s="667"/>
    </row>
    <row r="37" spans="2:11">
      <c r="B37" s="531" t="str">
        <f>CONCATENATE(C94,"     ",D94)</f>
        <v xml:space="preserve">     </v>
      </c>
      <c r="C37" s="795" t="s">
        <v>672</v>
      </c>
      <c r="D37" s="796"/>
      <c r="E37" s="228">
        <f>E33+E36</f>
        <v>0</v>
      </c>
      <c r="G37" s="705"/>
      <c r="H37" s="654"/>
      <c r="I37" s="654"/>
      <c r="J37" s="667"/>
    </row>
    <row r="38" spans="2:11">
      <c r="B38" s="531" t="str">
        <f>CONCATENATE(C95,"     ",D95)</f>
        <v xml:space="preserve">     </v>
      </c>
      <c r="C38" s="277"/>
      <c r="D38" s="169" t="s">
        <v>123</v>
      </c>
      <c r="E38" s="82">
        <f>IF(E37-E21&gt;0,E37-E21,0)</f>
        <v>0</v>
      </c>
      <c r="G38" s="670">
        <f>ROUND(C33*0.05+C33,0)</f>
        <v>0</v>
      </c>
      <c r="H38" s="654" t="str">
        <f>CONCATENATE("Less ",E1-2," Expenditures + 5%")</f>
        <v>Less 2012 Expenditures + 5%</v>
      </c>
      <c r="I38" s="669"/>
      <c r="J38" s="667"/>
    </row>
    <row r="39" spans="2:11">
      <c r="B39" s="169"/>
      <c r="C39" s="387" t="s">
        <v>670</v>
      </c>
      <c r="D39" s="729">
        <f>inputOth!$E$47</f>
        <v>0</v>
      </c>
      <c r="E39" s="228">
        <f>ROUND(IF(D39&gt;0,(E38*D39),0),0)</f>
        <v>0</v>
      </c>
      <c r="G39" s="706">
        <f>G36-G38</f>
        <v>0</v>
      </c>
      <c r="H39" s="707" t="str">
        <f>CONCATENATE("Projected ",E1+1," carryover (est.)")</f>
        <v>Projected 2015 carryover (est.)</v>
      </c>
      <c r="I39" s="708"/>
      <c r="J39" s="680"/>
    </row>
    <row r="40" spans="2:11" ht="16.5" thickBot="1">
      <c r="B40" s="47"/>
      <c r="C40" s="797" t="str">
        <f>CONCATENATE("Amount of  ",$E$1-1," Ad Valorem Tax")</f>
        <v>Amount of  2013 Ad Valorem Tax</v>
      </c>
      <c r="D40" s="798"/>
      <c r="E40" s="651">
        <f>E38+E39</f>
        <v>0</v>
      </c>
      <c r="G40" s="2"/>
      <c r="H40" s="2"/>
      <c r="I40" s="2"/>
      <c r="J40" s="2"/>
    </row>
    <row r="41" spans="2:11" ht="16.5" thickTop="1">
      <c r="B41" s="47"/>
      <c r="C41" s="47"/>
      <c r="D41" s="47"/>
      <c r="E41" s="47"/>
      <c r="G41" s="787" t="s">
        <v>891</v>
      </c>
      <c r="H41" s="788"/>
      <c r="I41" s="788"/>
      <c r="J41" s="789"/>
    </row>
    <row r="42" spans="2:11">
      <c r="B42" s="52"/>
      <c r="C42" s="142"/>
      <c r="D42" s="142"/>
      <c r="E42" s="142"/>
      <c r="G42" s="634"/>
      <c r="H42" s="635"/>
      <c r="I42" s="636"/>
      <c r="J42" s="637"/>
    </row>
    <row r="43" spans="2:11">
      <c r="B43" s="52" t="s">
        <v>106</v>
      </c>
      <c r="C43" s="715" t="s">
        <v>950</v>
      </c>
      <c r="D43" s="716" t="s">
        <v>951</v>
      </c>
      <c r="E43" s="144" t="s">
        <v>952</v>
      </c>
      <c r="G43" s="638" t="str">
        <f>summ!H24</f>
        <v xml:space="preserve">  </v>
      </c>
      <c r="H43" s="635" t="str">
        <f>CONCATENATE("",E1," Fund Mill Rate")</f>
        <v>2014 Fund Mill Rate</v>
      </c>
      <c r="I43" s="636"/>
      <c r="J43" s="637"/>
    </row>
    <row r="44" spans="2:11">
      <c r="B44" s="535">
        <f>inputPrYr!B28</f>
        <v>0</v>
      </c>
      <c r="C44" s="225" t="str">
        <f>CONCATENATE("Actual for ",E1-2,"")</f>
        <v>Actual for 2012</v>
      </c>
      <c r="D44" s="225" t="str">
        <f>CONCATENATE("Estimate for ",E1-1,"")</f>
        <v>Estimate for 2013</v>
      </c>
      <c r="E44" s="208" t="str">
        <f>CONCATENATE("Year for ",E1,"")</f>
        <v>Year for 2014</v>
      </c>
      <c r="G44" s="639" t="str">
        <f>summ!E24</f>
        <v xml:space="preserve">  </v>
      </c>
      <c r="H44" s="635" t="str">
        <f>CONCATENATE("",E1-1," Fund Mill Rate")</f>
        <v>2013 Fund Mill Rate</v>
      </c>
      <c r="I44" s="636"/>
      <c r="J44" s="637"/>
    </row>
    <row r="45" spans="2:11">
      <c r="B45" s="252" t="s">
        <v>228</v>
      </c>
      <c r="C45" s="257"/>
      <c r="D45" s="255">
        <f>C74</f>
        <v>0</v>
      </c>
      <c r="E45" s="228">
        <f>D74</f>
        <v>0</v>
      </c>
      <c r="G45" s="640">
        <f>summ!H52</f>
        <v>42.765000000000001</v>
      </c>
      <c r="H45" s="635" t="str">
        <f>CONCATENATE("Total ",E1," Mill Rate")</f>
        <v>Total 2014 Mill Rate</v>
      </c>
      <c r="I45" s="636"/>
      <c r="J45" s="637"/>
    </row>
    <row r="46" spans="2:11">
      <c r="B46" s="256" t="s">
        <v>230</v>
      </c>
      <c r="C46" s="159"/>
      <c r="D46" s="159"/>
      <c r="E46" s="87"/>
      <c r="G46" s="639">
        <f>summ!E52</f>
        <v>42.893999999999998</v>
      </c>
      <c r="H46" s="641" t="str">
        <f>CONCATENATE("Total ",E1-1," Mill Rate")</f>
        <v>Total 2013 Mill Rate</v>
      </c>
      <c r="I46" s="642"/>
      <c r="J46" s="643"/>
    </row>
    <row r="47" spans="2:11">
      <c r="B47" s="150" t="s">
        <v>107</v>
      </c>
      <c r="C47" s="257"/>
      <c r="D47" s="255">
        <f>IF(inputPrYr!H16&gt;0,inputPrYr!G28,inputPrYr!E28)</f>
        <v>0</v>
      </c>
      <c r="E47" s="286" t="s">
        <v>95</v>
      </c>
    </row>
    <row r="48" spans="2:11">
      <c r="B48" s="150" t="s">
        <v>108</v>
      </c>
      <c r="C48" s="257"/>
      <c r="D48" s="257"/>
      <c r="E48" s="67"/>
    </row>
    <row r="49" spans="2:10">
      <c r="B49" s="150" t="s">
        <v>109</v>
      </c>
      <c r="C49" s="257"/>
      <c r="D49" s="257"/>
      <c r="E49" s="228" t="str">
        <f>mvalloc!D17</f>
        <v xml:space="preserve">  </v>
      </c>
    </row>
    <row r="50" spans="2:10">
      <c r="B50" s="150" t="s">
        <v>110</v>
      </c>
      <c r="C50" s="257"/>
      <c r="D50" s="257"/>
      <c r="E50" s="228" t="str">
        <f>mvalloc!E17</f>
        <v xml:space="preserve"> </v>
      </c>
    </row>
    <row r="51" spans="2:10">
      <c r="B51" s="159" t="s">
        <v>205</v>
      </c>
      <c r="C51" s="257"/>
      <c r="D51" s="257"/>
      <c r="E51" s="228" t="str">
        <f>mvalloc!F17</f>
        <v xml:space="preserve"> </v>
      </c>
    </row>
    <row r="52" spans="2:10">
      <c r="B52" s="273"/>
      <c r="C52" s="257"/>
      <c r="D52" s="257"/>
      <c r="E52" s="69"/>
    </row>
    <row r="53" spans="2:10">
      <c r="B53" s="273"/>
      <c r="C53" s="257"/>
      <c r="D53" s="257"/>
      <c r="E53" s="69"/>
    </row>
    <row r="54" spans="2:10">
      <c r="B54" s="273"/>
      <c r="C54" s="257"/>
      <c r="D54" s="257"/>
      <c r="E54" s="67"/>
    </row>
    <row r="55" spans="2:10">
      <c r="B55" s="273"/>
      <c r="C55" s="257"/>
      <c r="D55" s="257"/>
      <c r="E55" s="67"/>
    </row>
    <row r="56" spans="2:10">
      <c r="B56" s="273"/>
      <c r="C56" s="257"/>
      <c r="D56" s="257"/>
      <c r="E56" s="67"/>
    </row>
    <row r="57" spans="2:10">
      <c r="B57" s="261" t="s">
        <v>114</v>
      </c>
      <c r="C57" s="257"/>
      <c r="D57" s="257"/>
      <c r="E57" s="67"/>
    </row>
    <row r="58" spans="2:10">
      <c r="B58" s="159" t="s">
        <v>14</v>
      </c>
      <c r="C58" s="257"/>
      <c r="D58" s="257"/>
      <c r="E58" s="67"/>
    </row>
    <row r="59" spans="2:10">
      <c r="B59" s="252" t="s">
        <v>784</v>
      </c>
      <c r="C59" s="262" t="str">
        <f>IF(C60*0.1&lt;C58,"Exceed 10% Rule","")</f>
        <v/>
      </c>
      <c r="D59" s="262" t="str">
        <f>IF(D60*0.1&lt;D58,"Exceed 10% Rule","")</f>
        <v/>
      </c>
      <c r="E59" s="299" t="str">
        <f>IF(E60*0.1+E80&lt;E58,"Exceed 10% Rule","")</f>
        <v/>
      </c>
    </row>
    <row r="60" spans="2:10">
      <c r="B60" s="264" t="s">
        <v>115</v>
      </c>
      <c r="C60" s="266">
        <f>SUM(C47:C58)</f>
        <v>0</v>
      </c>
      <c r="D60" s="266">
        <f>SUM(D47:D58)</f>
        <v>0</v>
      </c>
      <c r="E60" s="267">
        <f>SUM(E47:E58)</f>
        <v>0</v>
      </c>
    </row>
    <row r="61" spans="2:10">
      <c r="B61" s="264" t="s">
        <v>116</v>
      </c>
      <c r="C61" s="266">
        <f>C45+C60</f>
        <v>0</v>
      </c>
      <c r="D61" s="266">
        <f>D45+D60</f>
        <v>0</v>
      </c>
      <c r="E61" s="267">
        <f>E45+E60</f>
        <v>0</v>
      </c>
    </row>
    <row r="62" spans="2:10">
      <c r="B62" s="150" t="s">
        <v>118</v>
      </c>
      <c r="C62" s="274"/>
      <c r="D62" s="274"/>
      <c r="E62" s="65"/>
    </row>
    <row r="63" spans="2:10">
      <c r="B63" s="273"/>
      <c r="C63" s="257"/>
      <c r="D63" s="257"/>
      <c r="E63" s="67"/>
    </row>
    <row r="64" spans="2:10">
      <c r="B64" s="273"/>
      <c r="C64" s="257"/>
      <c r="D64" s="257"/>
      <c r="E64" s="67"/>
      <c r="G64" s="804" t="str">
        <f>CONCATENATE("Desired Carryover Into ",E1+1,"")</f>
        <v>Desired Carryover Into 2015</v>
      </c>
      <c r="H64" s="799"/>
      <c r="I64" s="799"/>
      <c r="J64" s="800"/>
    </row>
    <row r="65" spans="2:11">
      <c r="B65" s="273"/>
      <c r="C65" s="257"/>
      <c r="D65" s="257"/>
      <c r="E65" s="67"/>
      <c r="G65" s="652"/>
      <c r="H65" s="653"/>
      <c r="I65" s="654"/>
      <c r="J65" s="655"/>
    </row>
    <row r="66" spans="2:11">
      <c r="B66" s="273"/>
      <c r="C66" s="257"/>
      <c r="D66" s="257"/>
      <c r="E66" s="67"/>
      <c r="G66" s="656" t="s">
        <v>772</v>
      </c>
      <c r="H66" s="654"/>
      <c r="I66" s="654"/>
      <c r="J66" s="657">
        <v>0</v>
      </c>
    </row>
    <row r="67" spans="2:11">
      <c r="B67" s="273"/>
      <c r="C67" s="257"/>
      <c r="D67" s="257"/>
      <c r="E67" s="67"/>
      <c r="G67" s="652" t="s">
        <v>773</v>
      </c>
      <c r="H67" s="653"/>
      <c r="I67" s="653"/>
      <c r="J67" s="658" t="str">
        <f>IF(J66=0,"",ROUND((J66+E80-G79)/inputOth!E7*1000,3)-G84)</f>
        <v/>
      </c>
    </row>
    <row r="68" spans="2:11">
      <c r="B68" s="273"/>
      <c r="C68" s="257"/>
      <c r="D68" s="257"/>
      <c r="E68" s="67"/>
      <c r="G68" s="659" t="str">
        <f>CONCATENATE("",E1," Tot Exp/Non-Appr Must Be:")</f>
        <v>2014 Tot Exp/Non-Appr Must Be:</v>
      </c>
      <c r="H68" s="660"/>
      <c r="I68" s="661"/>
      <c r="J68" s="662">
        <f>IF(J66&gt;0,IF(E77&lt;E61,IF(J66=G79,E77,((J66-G79)*(1-D79))+E61),E77+(J66-G79)),0)</f>
        <v>0</v>
      </c>
    </row>
    <row r="69" spans="2:11">
      <c r="B69" s="273"/>
      <c r="C69" s="257"/>
      <c r="D69" s="257"/>
      <c r="E69" s="67"/>
      <c r="G69" s="663" t="s">
        <v>892</v>
      </c>
      <c r="H69" s="664"/>
      <c r="I69" s="664"/>
      <c r="J69" s="665">
        <f>IF(J66&gt;0,J68-E77,0)</f>
        <v>0</v>
      </c>
    </row>
    <row r="70" spans="2:11">
      <c r="B70" s="274" t="s">
        <v>13</v>
      </c>
      <c r="C70" s="257"/>
      <c r="D70" s="257"/>
      <c r="E70" s="82" t="str">
        <f>nhood!E16</f>
        <v/>
      </c>
      <c r="J70" s="2"/>
    </row>
    <row r="71" spans="2:11">
      <c r="B71" s="274" t="s">
        <v>14</v>
      </c>
      <c r="C71" s="257"/>
      <c r="D71" s="257"/>
      <c r="E71" s="67"/>
      <c r="G71" s="804" t="str">
        <f>CONCATENATE("Projected Carryover Into ",E1+1,"")</f>
        <v>Projected Carryover Into 2015</v>
      </c>
      <c r="H71" s="805"/>
      <c r="I71" s="805"/>
      <c r="J71" s="806"/>
    </row>
    <row r="72" spans="2:11">
      <c r="B72" s="274" t="s">
        <v>785</v>
      </c>
      <c r="C72" s="262" t="str">
        <f>IF(C73*0.1&lt;C71,"Exceed 10% Rule","")</f>
        <v/>
      </c>
      <c r="D72" s="262" t="str">
        <f>IF(D73*0.1&lt;D71,"Exceed 10% Rule","")</f>
        <v/>
      </c>
      <c r="E72" s="299" t="str">
        <f>IF(E73*0.1&lt;E71,"Exceed 10% Rule","")</f>
        <v/>
      </c>
      <c r="G72" s="666"/>
      <c r="H72" s="653"/>
      <c r="I72" s="653"/>
      <c r="J72" s="673"/>
    </row>
    <row r="73" spans="2:11">
      <c r="B73" s="264" t="s">
        <v>122</v>
      </c>
      <c r="C73" s="266">
        <f>SUM(C63:C71)</f>
        <v>0</v>
      </c>
      <c r="D73" s="266">
        <f>SUM(D63:D71)</f>
        <v>0</v>
      </c>
      <c r="E73" s="267">
        <f>SUM(E63:E71)</f>
        <v>0</v>
      </c>
      <c r="G73" s="668">
        <f>D74</f>
        <v>0</v>
      </c>
      <c r="H73" s="635" t="str">
        <f>CONCATENATE("",E1-1," Ending Cash Balance (est.)")</f>
        <v>2013 Ending Cash Balance (est.)</v>
      </c>
      <c r="I73" s="669"/>
      <c r="J73" s="673"/>
    </row>
    <row r="74" spans="2:11">
      <c r="B74" s="150" t="s">
        <v>229</v>
      </c>
      <c r="C74" s="270">
        <f>C61-C73</f>
        <v>0</v>
      </c>
      <c r="D74" s="270">
        <f>D61-D73</f>
        <v>0</v>
      </c>
      <c r="E74" s="286" t="s">
        <v>95</v>
      </c>
      <c r="G74" s="668">
        <f>E60</f>
        <v>0</v>
      </c>
      <c r="H74" s="654" t="str">
        <f>CONCATENATE("",E1," Non-AV Receipts (est.)")</f>
        <v>2014 Non-AV Receipts (est.)</v>
      </c>
      <c r="I74" s="669"/>
      <c r="J74" s="673"/>
    </row>
    <row r="75" spans="2:11">
      <c r="B75" s="136" t="str">
        <f>CONCATENATE("",E1-2,"/",E1-1," Budget Authority Amount:")</f>
        <v>2012/2013 Budget Authority Amount:</v>
      </c>
      <c r="C75" s="241">
        <f>inputOth!B70</f>
        <v>0</v>
      </c>
      <c r="D75" s="241">
        <f>inputPrYr!D28</f>
        <v>0</v>
      </c>
      <c r="E75" s="286" t="s">
        <v>95</v>
      </c>
      <c r="F75" s="276"/>
      <c r="G75" s="670">
        <f>IF(D79&gt;0,E78,E80)</f>
        <v>0</v>
      </c>
      <c r="H75" s="654" t="str">
        <f>CONCATENATE("",E1," Ad Valorem Tax (est.)")</f>
        <v>2014 Ad Valorem Tax (est.)</v>
      </c>
      <c r="I75" s="669"/>
      <c r="J75" s="673"/>
      <c r="K75" s="644" t="str">
        <f>IF(G75=E80,"","Note: Does not include Delinquent Taxes")</f>
        <v/>
      </c>
    </row>
    <row r="76" spans="2:11">
      <c r="B76" s="136"/>
      <c r="C76" s="793" t="s">
        <v>671</v>
      </c>
      <c r="D76" s="794"/>
      <c r="E76" s="103"/>
      <c r="F76" s="739" t="str">
        <f>IF(E73/0.95-E73&lt;E76,"Exceeds 5%","")</f>
        <v/>
      </c>
      <c r="G76" s="672">
        <f>SUM(G73:G75)</f>
        <v>0</v>
      </c>
      <c r="H76" s="654" t="str">
        <f>CONCATENATE("Total ",E1," Resources Available")</f>
        <v>Total 2014 Resources Available</v>
      </c>
      <c r="I76" s="673"/>
      <c r="J76" s="673"/>
    </row>
    <row r="77" spans="2:11">
      <c r="B77" s="531" t="str">
        <f>CONCATENATE(C96,"     ",D96)</f>
        <v xml:space="preserve">     </v>
      </c>
      <c r="C77" s="795" t="s">
        <v>672</v>
      </c>
      <c r="D77" s="796"/>
      <c r="E77" s="228">
        <f>E73+E76</f>
        <v>0</v>
      </c>
      <c r="G77" s="674"/>
      <c r="H77" s="675"/>
      <c r="I77" s="653"/>
      <c r="J77" s="673"/>
    </row>
    <row r="78" spans="2:11">
      <c r="B78" s="531" t="str">
        <f>CONCATENATE(C97,"     ",D97)</f>
        <v xml:space="preserve">     </v>
      </c>
      <c r="C78" s="277"/>
      <c r="D78" s="169" t="s">
        <v>123</v>
      </c>
      <c r="E78" s="82">
        <f>IF(E77-E61&gt;0,E77-E61,0)</f>
        <v>0</v>
      </c>
      <c r="G78" s="676">
        <f>ROUND(C73*0.05+C73,0)</f>
        <v>0</v>
      </c>
      <c r="H78" s="675" t="str">
        <f>CONCATENATE("Less ",E1-2," Expenditures + 5%")</f>
        <v>Less 2012 Expenditures + 5%</v>
      </c>
      <c r="I78" s="673"/>
      <c r="J78" s="673"/>
    </row>
    <row r="79" spans="2:11">
      <c r="B79" s="136"/>
      <c r="C79" s="387" t="s">
        <v>670</v>
      </c>
      <c r="D79" s="729">
        <f>inputOth!$E$47</f>
        <v>0</v>
      </c>
      <c r="E79" s="228">
        <f>ROUND(IF(D79&gt;0,(E78*D79),0),0)</f>
        <v>0</v>
      </c>
      <c r="G79" s="677">
        <f>G76-G78</f>
        <v>0</v>
      </c>
      <c r="H79" s="678" t="str">
        <f>CONCATENATE("Projected ",E1+1," carryover (est.)")</f>
        <v>Projected 2015 carryover (est.)</v>
      </c>
      <c r="I79" s="679"/>
      <c r="J79" s="680"/>
    </row>
    <row r="80" spans="2:11" ht="16.5" thickBot="1">
      <c r="B80" s="169"/>
      <c r="C80" s="797" t="str">
        <f>CONCATENATE("Amount of  ",$E$1-1," Ad Valorem Tax")</f>
        <v>Amount of  2013 Ad Valorem Tax</v>
      </c>
      <c r="D80" s="798"/>
      <c r="E80" s="651">
        <f>E78+E79</f>
        <v>0</v>
      </c>
      <c r="G80" s="2"/>
      <c r="H80" s="2"/>
      <c r="I80" s="2"/>
    </row>
    <row r="81" spans="2:10" ht="16.5" thickTop="1">
      <c r="B81" s="47"/>
      <c r="C81" s="47"/>
      <c r="D81" s="47"/>
      <c r="E81" s="47"/>
      <c r="G81" s="787" t="s">
        <v>891</v>
      </c>
      <c r="H81" s="788"/>
      <c r="I81" s="788"/>
      <c r="J81" s="789"/>
    </row>
    <row r="82" spans="2:10">
      <c r="B82" s="405" t="s">
        <v>125</v>
      </c>
      <c r="C82" s="282"/>
      <c r="D82" s="47"/>
      <c r="E82" s="47"/>
      <c r="G82" s="634"/>
      <c r="H82" s="635"/>
      <c r="I82" s="636"/>
      <c r="J82" s="637"/>
    </row>
    <row r="83" spans="2:10">
      <c r="B83" s="169"/>
      <c r="G83" s="638" t="str">
        <f>summ!H25</f>
        <v xml:space="preserve">  </v>
      </c>
      <c r="H83" s="635" t="str">
        <f>CONCATENATE("",E1," Fund Mill Rate")</f>
        <v>2014 Fund Mill Rate</v>
      </c>
      <c r="I83" s="636"/>
      <c r="J83" s="637"/>
    </row>
    <row r="84" spans="2:10">
      <c r="G84" s="639" t="str">
        <f>summ!E25</f>
        <v xml:space="preserve">  </v>
      </c>
      <c r="H84" s="635" t="str">
        <f>CONCATENATE("",E1-1," Fund Mill Rate")</f>
        <v>2013 Fund Mill Rate</v>
      </c>
      <c r="I84" s="636"/>
      <c r="J84" s="637"/>
    </row>
    <row r="85" spans="2:10">
      <c r="G85" s="640">
        <f>summ!H52</f>
        <v>42.765000000000001</v>
      </c>
      <c r="H85" s="635" t="str">
        <f>CONCATENATE("Total ",E1," Mill Rate")</f>
        <v>Total 2014 Mill Rate</v>
      </c>
      <c r="I85" s="636"/>
      <c r="J85" s="637"/>
    </row>
    <row r="86" spans="2:10">
      <c r="G86" s="639">
        <f>summ!E52</f>
        <v>42.893999999999998</v>
      </c>
      <c r="H86" s="641" t="str">
        <f>CONCATENATE("Total ",E1-1," Mill Rate")</f>
        <v>Total 2013 Mill Rate</v>
      </c>
      <c r="I86" s="642"/>
      <c r="J86" s="643"/>
    </row>
    <row r="94" spans="2:10" hidden="1">
      <c r="C94" s="530" t="str">
        <f>IF(C33&gt;C35,"See Tab A","")</f>
        <v/>
      </c>
      <c r="D94" s="530" t="str">
        <f>IF(D31&gt;D35,"See Tab C","")</f>
        <v/>
      </c>
    </row>
    <row r="95" spans="2:10" hidden="1">
      <c r="C95" s="530" t="str">
        <f>IF(C34&lt;0,"See Tab B","")</f>
        <v/>
      </c>
      <c r="D95" s="530" t="str">
        <f>IF(D34&lt;0,"See Tab D","")</f>
        <v/>
      </c>
    </row>
    <row r="96" spans="2:10" hidden="1">
      <c r="C96" s="530" t="str">
        <f>IF(C71&gt;C75,"See Tab A","")</f>
        <v/>
      </c>
      <c r="D96" s="530" t="str">
        <f>IF(D71&gt;D75,"See Tab C","")</f>
        <v/>
      </c>
    </row>
    <row r="97" spans="3:4" hidden="1">
      <c r="C97" s="530" t="str">
        <f>IF(C74&lt;0,"See Tab B","")</f>
        <v/>
      </c>
      <c r="D97" s="530" t="str">
        <f>IF(D74&lt;0,"See Tab D","")</f>
        <v/>
      </c>
    </row>
  </sheetData>
  <sheetProtection sheet="1"/>
  <mergeCells count="12">
    <mergeCell ref="G24:J24"/>
    <mergeCell ref="G31:J31"/>
    <mergeCell ref="G41:J41"/>
    <mergeCell ref="G64:J64"/>
    <mergeCell ref="G71:J71"/>
    <mergeCell ref="G81:J81"/>
    <mergeCell ref="C76:D76"/>
    <mergeCell ref="C77:D77"/>
    <mergeCell ref="C36:D36"/>
    <mergeCell ref="C37:D37"/>
    <mergeCell ref="C80:D80"/>
    <mergeCell ref="C40:D40"/>
  </mergeCells>
  <phoneticPr fontId="0" type="noConversion"/>
  <conditionalFormatting sqref="E31">
    <cfRule type="cellIs" dxfId="39" priority="3" stopIfTrue="1" operator="greaterThan">
      <formula>$E$33*0.1</formula>
    </cfRule>
  </conditionalFormatting>
  <conditionalFormatting sqref="E36">
    <cfRule type="cellIs" dxfId="38" priority="4" stopIfTrue="1" operator="greaterThan">
      <formula>$E$33/0.95-$E$33</formula>
    </cfRule>
  </conditionalFormatting>
  <conditionalFormatting sqref="E71">
    <cfRule type="cellIs" dxfId="37" priority="5" stopIfTrue="1" operator="greaterThan">
      <formula>$E$73*0.1</formula>
    </cfRule>
  </conditionalFormatting>
  <conditionalFormatting sqref="E76">
    <cfRule type="cellIs" dxfId="36" priority="6" stopIfTrue="1" operator="greaterThan">
      <formula>$E$73/0.95-$E$73</formula>
    </cfRule>
  </conditionalFormatting>
  <conditionalFormatting sqref="C31">
    <cfRule type="cellIs" dxfId="35" priority="7" stopIfTrue="1" operator="greaterThan">
      <formula>$C$33*0.1</formula>
    </cfRule>
  </conditionalFormatting>
  <conditionalFormatting sqref="D31">
    <cfRule type="cellIs" dxfId="34" priority="8" stopIfTrue="1" operator="greaterThan">
      <formula>$D$33*0.1</formula>
    </cfRule>
  </conditionalFormatting>
  <conditionalFormatting sqref="D33">
    <cfRule type="cellIs" dxfId="33" priority="9" stopIfTrue="1" operator="greaterThan">
      <formula>$D$35</formula>
    </cfRule>
  </conditionalFormatting>
  <conditionalFormatting sqref="C33">
    <cfRule type="cellIs" dxfId="32" priority="10" stopIfTrue="1" operator="greaterThan">
      <formula>$C$35</formula>
    </cfRule>
  </conditionalFormatting>
  <conditionalFormatting sqref="C34 C74">
    <cfRule type="cellIs" dxfId="31" priority="11" stopIfTrue="1" operator="lessThan">
      <formula>0</formula>
    </cfRule>
  </conditionalFormatting>
  <conditionalFormatting sqref="C71">
    <cfRule type="cellIs" dxfId="30" priority="12" stopIfTrue="1" operator="greaterThan">
      <formula>$C$73*0.1</formula>
    </cfRule>
  </conditionalFormatting>
  <conditionalFormatting sqref="D73">
    <cfRule type="cellIs" dxfId="29" priority="13" stopIfTrue="1" operator="greaterThan">
      <formula>$D$75</formula>
    </cfRule>
  </conditionalFormatting>
  <conditionalFormatting sqref="C73">
    <cfRule type="cellIs" dxfId="28" priority="14" stopIfTrue="1" operator="greaterThan">
      <formula>$C$75</formula>
    </cfRule>
  </conditionalFormatting>
  <conditionalFormatting sqref="D71">
    <cfRule type="cellIs" dxfId="27" priority="15" stopIfTrue="1" operator="greaterThan">
      <formula>$D$73*0.1</formula>
    </cfRule>
  </conditionalFormatting>
  <conditionalFormatting sqref="D18">
    <cfRule type="cellIs" dxfId="26" priority="16" stopIfTrue="1" operator="greaterThan">
      <formula>$D$20*0.1</formula>
    </cfRule>
  </conditionalFormatting>
  <conditionalFormatting sqref="C18">
    <cfRule type="cellIs" dxfId="25" priority="17" stopIfTrue="1" operator="greaterThan">
      <formula>$C$20*0.1</formula>
    </cfRule>
  </conditionalFormatting>
  <conditionalFormatting sqref="D58">
    <cfRule type="cellIs" dxfId="24" priority="18" stopIfTrue="1" operator="greaterThan">
      <formula>$D$60*0.1</formula>
    </cfRule>
  </conditionalFormatting>
  <conditionalFormatting sqref="C58">
    <cfRule type="cellIs" dxfId="23" priority="19" stopIfTrue="1" operator="greaterThan">
      <formula>$C$60*0.1</formula>
    </cfRule>
  </conditionalFormatting>
  <conditionalFormatting sqref="E58">
    <cfRule type="cellIs" dxfId="22" priority="20" stopIfTrue="1" operator="greaterThan">
      <formula>$E$60*0.1+E80</formula>
    </cfRule>
  </conditionalFormatting>
  <conditionalFormatting sqref="E18">
    <cfRule type="cellIs" dxfId="21" priority="21" stopIfTrue="1" operator="greaterThan">
      <formula>$E$20*0.1+E40</formula>
    </cfRule>
  </conditionalFormatting>
  <conditionalFormatting sqref="D74 D34">
    <cfRule type="cellIs" dxfId="20" priority="2" stopIfTrue="1" operator="lessThan">
      <formula>0</formula>
    </cfRule>
  </conditionalFormatting>
  <pageMargins left="0.5" right="0.5" top="1" bottom="0.5" header="0.5" footer="0.5"/>
  <pageSetup scale="53" orientation="portrait" blackAndWhite="1" horizontalDpi="120" verticalDpi="144" r:id="rId1"/>
  <headerFooter alignWithMargins="0">
    <oddHeader>&amp;RState of Kansas
City</oddHeader>
  </headerFooter>
</worksheet>
</file>

<file path=xl/worksheets/sheet48.xml><?xml version="1.0" encoding="utf-8"?>
<worksheet xmlns="http://schemas.openxmlformats.org/spreadsheetml/2006/main" xmlns:r="http://schemas.openxmlformats.org/officeDocument/2006/relationships">
  <sheetPr>
    <pageSetUpPr fitToPage="1"/>
  </sheetPr>
  <dimension ref="B1:K97"/>
  <sheetViews>
    <sheetView zoomScaleNormal="100" workbookViewId="0">
      <selection activeCell="J69" sqref="J69"/>
    </sheetView>
  </sheetViews>
  <sheetFormatPr defaultRowHeight="15.75"/>
  <cols>
    <col min="1" max="1" width="2.44140625" style="45" customWidth="1"/>
    <col min="2" max="2" width="31.109375" style="45" customWidth="1"/>
    <col min="3" max="4" width="15.77734375" style="45" customWidth="1"/>
    <col min="5" max="5" width="16.21875" style="45" customWidth="1"/>
    <col min="6" max="6" width="8.88671875" style="45"/>
    <col min="7" max="7" width="10.21875" style="45" customWidth="1"/>
    <col min="8" max="8" width="8.88671875" style="45"/>
    <col min="9" max="9" width="5" style="45" customWidth="1"/>
    <col min="10" max="10" width="10" style="45" customWidth="1"/>
    <col min="11" max="16384" width="8.88671875" style="45"/>
  </cols>
  <sheetData>
    <row r="1" spans="2:5">
      <c r="B1" s="197" t="str">
        <f>(inputPrYr!D2)</f>
        <v>City of Garnett</v>
      </c>
      <c r="C1" s="47"/>
      <c r="D1" s="47"/>
      <c r="E1" s="248">
        <f>inputPrYr!C5</f>
        <v>2014</v>
      </c>
    </row>
    <row r="2" spans="2:5">
      <c r="B2" s="47"/>
      <c r="C2" s="47"/>
      <c r="D2" s="47"/>
      <c r="E2" s="169"/>
    </row>
    <row r="3" spans="2:5">
      <c r="B3" s="249" t="s">
        <v>173</v>
      </c>
      <c r="C3" s="201"/>
      <c r="D3" s="201"/>
      <c r="E3" s="288"/>
    </row>
    <row r="4" spans="2:5">
      <c r="B4" s="52" t="s">
        <v>106</v>
      </c>
      <c r="C4" s="715" t="s">
        <v>950</v>
      </c>
      <c r="D4" s="716" t="s">
        <v>951</v>
      </c>
      <c r="E4" s="144" t="s">
        <v>952</v>
      </c>
    </row>
    <row r="5" spans="2:5">
      <c r="B5" s="535">
        <f>inputPrYr!B29</f>
        <v>0</v>
      </c>
      <c r="C5" s="225" t="str">
        <f>CONCATENATE("Actual for ",E1-2,"")</f>
        <v>Actual for 2012</v>
      </c>
      <c r="D5" s="225" t="str">
        <f>CONCATENATE("Estimate for ",E1-1,"")</f>
        <v>Estimate for 2013</v>
      </c>
      <c r="E5" s="208" t="str">
        <f>CONCATENATE("Year for ",E1,"")</f>
        <v>Year for 2014</v>
      </c>
    </row>
    <row r="6" spans="2:5">
      <c r="B6" s="252" t="s">
        <v>228</v>
      </c>
      <c r="C6" s="257"/>
      <c r="D6" s="255">
        <f>C34</f>
        <v>0</v>
      </c>
      <c r="E6" s="228">
        <f>D34</f>
        <v>0</v>
      </c>
    </row>
    <row r="7" spans="2:5">
      <c r="B7" s="256" t="s">
        <v>230</v>
      </c>
      <c r="C7" s="159"/>
      <c r="D7" s="159"/>
      <c r="E7" s="87"/>
    </row>
    <row r="8" spans="2:5">
      <c r="B8" s="150" t="s">
        <v>107</v>
      </c>
      <c r="C8" s="257"/>
      <c r="D8" s="255">
        <f>IF(inputPrYr!H16&gt;0,inputPrYr!G29,inputPrYr!E29)</f>
        <v>0</v>
      </c>
      <c r="E8" s="286" t="s">
        <v>95</v>
      </c>
    </row>
    <row r="9" spans="2:5">
      <c r="B9" s="150" t="s">
        <v>108</v>
      </c>
      <c r="C9" s="257"/>
      <c r="D9" s="257"/>
      <c r="E9" s="67"/>
    </row>
    <row r="10" spans="2:5">
      <c r="B10" s="150" t="s">
        <v>109</v>
      </c>
      <c r="C10" s="257"/>
      <c r="D10" s="257"/>
      <c r="E10" s="228" t="str">
        <f>mvalloc!D18</f>
        <v xml:space="preserve">  </v>
      </c>
    </row>
    <row r="11" spans="2:5">
      <c r="B11" s="150" t="s">
        <v>110</v>
      </c>
      <c r="C11" s="257"/>
      <c r="D11" s="257"/>
      <c r="E11" s="228" t="str">
        <f>mvalloc!E18</f>
        <v xml:space="preserve"> </v>
      </c>
    </row>
    <row r="12" spans="2:5">
      <c r="B12" s="159" t="s">
        <v>205</v>
      </c>
      <c r="C12" s="257"/>
      <c r="D12" s="257"/>
      <c r="E12" s="228" t="str">
        <f>mvalloc!F18</f>
        <v xml:space="preserve"> </v>
      </c>
    </row>
    <row r="13" spans="2:5">
      <c r="B13" s="273"/>
      <c r="C13" s="257"/>
      <c r="D13" s="257"/>
      <c r="E13" s="69"/>
    </row>
    <row r="14" spans="2:5">
      <c r="B14" s="273"/>
      <c r="C14" s="257"/>
      <c r="D14" s="257"/>
      <c r="E14" s="69"/>
    </row>
    <row r="15" spans="2:5">
      <c r="B15" s="273"/>
      <c r="C15" s="257"/>
      <c r="D15" s="257"/>
      <c r="E15" s="67"/>
    </row>
    <row r="16" spans="2:5">
      <c r="B16" s="273"/>
      <c r="C16" s="257"/>
      <c r="D16" s="257"/>
      <c r="E16" s="67"/>
    </row>
    <row r="17" spans="2:10">
      <c r="B17" s="261" t="s">
        <v>114</v>
      </c>
      <c r="C17" s="257"/>
      <c r="D17" s="257"/>
      <c r="E17" s="67"/>
    </row>
    <row r="18" spans="2:10">
      <c r="B18" s="159" t="s">
        <v>14</v>
      </c>
      <c r="C18" s="257"/>
      <c r="D18" s="257"/>
      <c r="E18" s="67"/>
    </row>
    <row r="19" spans="2:10">
      <c r="B19" s="252" t="s">
        <v>784</v>
      </c>
      <c r="C19" s="262" t="str">
        <f>IF(C20*0.1&lt;C18,"Exceed 10% Rule","")</f>
        <v/>
      </c>
      <c r="D19" s="262" t="str">
        <f>IF(D20*0.1&lt;D18,"Exceed 10% Rule","")</f>
        <v/>
      </c>
      <c r="E19" s="299" t="str">
        <f>IF(E20*0.1+E40&lt;E18,"Exceed 10% Rule","")</f>
        <v/>
      </c>
    </row>
    <row r="20" spans="2:10">
      <c r="B20" s="264" t="s">
        <v>115</v>
      </c>
      <c r="C20" s="266">
        <f>SUM(C8:C18)</f>
        <v>0</v>
      </c>
      <c r="D20" s="266">
        <f>SUM(D8:D18)</f>
        <v>0</v>
      </c>
      <c r="E20" s="267">
        <f>SUM(E8:E18)</f>
        <v>0</v>
      </c>
    </row>
    <row r="21" spans="2:10">
      <c r="B21" s="264" t="s">
        <v>116</v>
      </c>
      <c r="C21" s="266">
        <f>C6+C20</f>
        <v>0</v>
      </c>
      <c r="D21" s="266">
        <f>D6+D20</f>
        <v>0</v>
      </c>
      <c r="E21" s="267">
        <f>E6+E20</f>
        <v>0</v>
      </c>
    </row>
    <row r="22" spans="2:10">
      <c r="B22" s="150" t="s">
        <v>118</v>
      </c>
      <c r="C22" s="274"/>
      <c r="D22" s="274"/>
      <c r="E22" s="65"/>
    </row>
    <row r="23" spans="2:10">
      <c r="B23" s="273"/>
      <c r="C23" s="257"/>
      <c r="D23" s="257"/>
      <c r="E23" s="67"/>
    </row>
    <row r="24" spans="2:10">
      <c r="B24" s="273"/>
      <c r="C24" s="257"/>
      <c r="D24" s="257"/>
      <c r="E24" s="67"/>
      <c r="G24" s="804" t="str">
        <f>CONCATENATE("Desired Carryover Into ",E1+1,"")</f>
        <v>Desired Carryover Into 2015</v>
      </c>
      <c r="H24" s="799"/>
      <c r="I24" s="799"/>
      <c r="J24" s="800"/>
    </row>
    <row r="25" spans="2:10">
      <c r="B25" s="273"/>
      <c r="C25" s="257"/>
      <c r="D25" s="257"/>
      <c r="E25" s="67"/>
      <c r="G25" s="652"/>
      <c r="H25" s="653"/>
      <c r="I25" s="654"/>
      <c r="J25" s="655"/>
    </row>
    <row r="26" spans="2:10">
      <c r="B26" s="273"/>
      <c r="C26" s="257"/>
      <c r="D26" s="257"/>
      <c r="E26" s="67"/>
      <c r="G26" s="656" t="s">
        <v>772</v>
      </c>
      <c r="H26" s="654"/>
      <c r="I26" s="654"/>
      <c r="J26" s="657">
        <v>0</v>
      </c>
    </row>
    <row r="27" spans="2:10">
      <c r="B27" s="273"/>
      <c r="C27" s="257"/>
      <c r="D27" s="257"/>
      <c r="E27" s="67"/>
      <c r="G27" s="652" t="s">
        <v>773</v>
      </c>
      <c r="H27" s="653"/>
      <c r="I27" s="653"/>
      <c r="J27" s="658" t="str">
        <f>IF(J26=0,"",ROUND((J26+E40-G39)/inputOth!E7*1000,3)-G44)</f>
        <v/>
      </c>
    </row>
    <row r="28" spans="2:10">
      <c r="B28" s="273"/>
      <c r="C28" s="257"/>
      <c r="D28" s="257"/>
      <c r="E28" s="67"/>
      <c r="G28" s="659" t="str">
        <f>CONCATENATE("",E1," Tot Exp/Non-Appr Must Be:")</f>
        <v>2014 Tot Exp/Non-Appr Must Be:</v>
      </c>
      <c r="H28" s="660"/>
      <c r="I28" s="661"/>
      <c r="J28" s="662">
        <f>IF(J26&gt;0,IF(E37&lt;E20,IF(J26=G39,E37,((J26-G39)*(1-D39))+E20),E37+(J26-G39)),0)</f>
        <v>0</v>
      </c>
    </row>
    <row r="29" spans="2:10">
      <c r="B29" s="273"/>
      <c r="C29" s="257"/>
      <c r="D29" s="257"/>
      <c r="E29" s="67"/>
      <c r="G29" s="663" t="s">
        <v>892</v>
      </c>
      <c r="H29" s="664"/>
      <c r="I29" s="664"/>
      <c r="J29" s="665">
        <f>IF(J26&gt;0,J28-E37,0)</f>
        <v>0</v>
      </c>
    </row>
    <row r="30" spans="2:10">
      <c r="B30" s="274" t="s">
        <v>13</v>
      </c>
      <c r="C30" s="257"/>
      <c r="D30" s="257"/>
      <c r="E30" s="82" t="str">
        <f>nhood!E17</f>
        <v/>
      </c>
      <c r="J30" s="2"/>
    </row>
    <row r="31" spans="2:10">
      <c r="B31" s="274" t="s">
        <v>14</v>
      </c>
      <c r="C31" s="257"/>
      <c r="D31" s="257"/>
      <c r="E31" s="67"/>
      <c r="G31" s="804" t="str">
        <f>CONCATENATE("Projected Carryover Into ",E1+1,"")</f>
        <v>Projected Carryover Into 2015</v>
      </c>
      <c r="H31" s="808"/>
      <c r="I31" s="808"/>
      <c r="J31" s="806"/>
    </row>
    <row r="32" spans="2:10">
      <c r="B32" s="274" t="s">
        <v>785</v>
      </c>
      <c r="C32" s="262" t="str">
        <f>IF(C33*0.1&lt;C31,"Exceed 10% Rule","")</f>
        <v/>
      </c>
      <c r="D32" s="262" t="str">
        <f>IF(D33*0.1&lt;D31,"Exceed 10% Rule","")</f>
        <v/>
      </c>
      <c r="E32" s="299" t="str">
        <f>IF(E33*0.1&lt;E31,"Exceed 10% Rule","")</f>
        <v/>
      </c>
      <c r="G32" s="652"/>
      <c r="H32" s="654"/>
      <c r="I32" s="654"/>
      <c r="J32" s="667"/>
    </row>
    <row r="33" spans="2:11">
      <c r="B33" s="264" t="s">
        <v>122</v>
      </c>
      <c r="C33" s="266">
        <f>SUM(C24:C31)</f>
        <v>0</v>
      </c>
      <c r="D33" s="266">
        <f>SUM(D24:D31)</f>
        <v>0</v>
      </c>
      <c r="E33" s="267">
        <f>SUM(E24:E31)</f>
        <v>0</v>
      </c>
      <c r="G33" s="668">
        <f>D34</f>
        <v>0</v>
      </c>
      <c r="H33" s="635" t="str">
        <f>CONCATENATE("",E1-1," Ending Cash Balance (est.)")</f>
        <v>2013 Ending Cash Balance (est.)</v>
      </c>
      <c r="I33" s="669"/>
      <c r="J33" s="667"/>
    </row>
    <row r="34" spans="2:11">
      <c r="B34" s="150" t="s">
        <v>229</v>
      </c>
      <c r="C34" s="270">
        <f>C21-C33</f>
        <v>0</v>
      </c>
      <c r="D34" s="270">
        <f>D21-D33</f>
        <v>0</v>
      </c>
      <c r="E34" s="286" t="s">
        <v>95</v>
      </c>
      <c r="G34" s="668" t="str">
        <f>E19</f>
        <v/>
      </c>
      <c r="H34" s="654" t="str">
        <f>CONCATENATE("",E1," Non-AV Receipts (est.)")</f>
        <v>2014 Non-AV Receipts (est.)</v>
      </c>
      <c r="I34" s="669"/>
      <c r="J34" s="667"/>
    </row>
    <row r="35" spans="2:11">
      <c r="B35" s="136" t="str">
        <f>CONCATENATE("",E1-2,"/",E1-1," Budget Authority Amount:")</f>
        <v>2012/2013 Budget Authority Amount:</v>
      </c>
      <c r="C35" s="241">
        <f>inputOth!B71</f>
        <v>0</v>
      </c>
      <c r="D35" s="241">
        <f>inputPrYr!D29</f>
        <v>0</v>
      </c>
      <c r="E35" s="286" t="s">
        <v>95</v>
      </c>
      <c r="F35" s="276"/>
      <c r="G35" s="670">
        <f>IF(E39&gt;0,E38,E40)</f>
        <v>0</v>
      </c>
      <c r="H35" s="654" t="str">
        <f>CONCATENATE("",E1," Ad Valorem Tax (est.)")</f>
        <v>2014 Ad Valorem Tax (est.)</v>
      </c>
      <c r="I35" s="669"/>
      <c r="J35" s="648"/>
      <c r="K35" s="644" t="str">
        <f>IF(G35=E40,"","Note: Does not include Delinquent Taxes")</f>
        <v/>
      </c>
    </row>
    <row r="36" spans="2:11">
      <c r="B36" s="136"/>
      <c r="C36" s="793" t="s">
        <v>671</v>
      </c>
      <c r="D36" s="794"/>
      <c r="E36" s="67"/>
      <c r="F36" s="739" t="str">
        <f>IF(E33/0.95-E33&lt;E36,"Exceeds 5%","")</f>
        <v/>
      </c>
      <c r="G36" s="668">
        <f>SUM(G33:G35)</f>
        <v>0</v>
      </c>
      <c r="H36" s="654" t="str">
        <f>CONCATENATE("Total ",E1," Resources Available")</f>
        <v>Total 2014 Resources Available</v>
      </c>
      <c r="I36" s="669"/>
      <c r="J36" s="667"/>
    </row>
    <row r="37" spans="2:11">
      <c r="B37" s="531" t="str">
        <f>CONCATENATE(C94,"     ",D94)</f>
        <v xml:space="preserve">     </v>
      </c>
      <c r="C37" s="795" t="s">
        <v>672</v>
      </c>
      <c r="D37" s="796"/>
      <c r="E37" s="228">
        <f>E33+E36</f>
        <v>0</v>
      </c>
      <c r="G37" s="705"/>
      <c r="H37" s="654"/>
      <c r="I37" s="654"/>
      <c r="J37" s="667"/>
    </row>
    <row r="38" spans="2:11">
      <c r="B38" s="531" t="str">
        <f>CONCATENATE(C95,"     ",D95)</f>
        <v xml:space="preserve">     </v>
      </c>
      <c r="C38" s="277"/>
      <c r="D38" s="169" t="s">
        <v>123</v>
      </c>
      <c r="E38" s="82">
        <f>IF(E37-E21&gt;0,E37-E21,0)</f>
        <v>0</v>
      </c>
      <c r="G38" s="670">
        <f>ROUND(C33*0.05+C33,0)</f>
        <v>0</v>
      </c>
      <c r="H38" s="654" t="str">
        <f>CONCATENATE("Less ",E1-2," Expenditures + 5%")</f>
        <v>Less 2012 Expenditures + 5%</v>
      </c>
      <c r="I38" s="669"/>
      <c r="J38" s="667"/>
    </row>
    <row r="39" spans="2:11">
      <c r="B39" s="169"/>
      <c r="C39" s="387" t="s">
        <v>670</v>
      </c>
      <c r="D39" s="729">
        <f>inputOth!$E$47</f>
        <v>0</v>
      </c>
      <c r="E39" s="228">
        <f>ROUND(IF(D39&gt;0,(E38*D39),0),0)</f>
        <v>0</v>
      </c>
      <c r="G39" s="706">
        <f>G36-G38</f>
        <v>0</v>
      </c>
      <c r="H39" s="707" t="str">
        <f>CONCATENATE("Projected ",E1+1," carryover (est.)")</f>
        <v>Projected 2015 carryover (est.)</v>
      </c>
      <c r="I39" s="708"/>
      <c r="J39" s="680"/>
    </row>
    <row r="40" spans="2:11" ht="16.5" thickBot="1">
      <c r="B40" s="47"/>
      <c r="C40" s="797" t="str">
        <f>CONCATENATE("Amount of  ",$E$1-1," Ad Valorem Tax")</f>
        <v>Amount of  2013 Ad Valorem Tax</v>
      </c>
      <c r="D40" s="798"/>
      <c r="E40" s="651">
        <f>E38+E39</f>
        <v>0</v>
      </c>
      <c r="G40" s="2"/>
      <c r="H40" s="2"/>
      <c r="I40" s="2"/>
      <c r="J40" s="2"/>
    </row>
    <row r="41" spans="2:11" ht="16.5" thickTop="1">
      <c r="B41" s="47"/>
      <c r="C41" s="47"/>
      <c r="D41" s="47"/>
      <c r="E41" s="47"/>
      <c r="G41" s="787" t="s">
        <v>891</v>
      </c>
      <c r="H41" s="788"/>
      <c r="I41" s="788"/>
      <c r="J41" s="789"/>
    </row>
    <row r="42" spans="2:11">
      <c r="B42" s="52"/>
      <c r="C42" s="142"/>
      <c r="D42" s="142"/>
      <c r="E42" s="142"/>
      <c r="G42" s="634"/>
      <c r="H42" s="635"/>
      <c r="I42" s="636"/>
      <c r="J42" s="637"/>
    </row>
    <row r="43" spans="2:11">
      <c r="B43" s="52" t="s">
        <v>106</v>
      </c>
      <c r="C43" s="715" t="s">
        <v>950</v>
      </c>
      <c r="D43" s="716" t="s">
        <v>951</v>
      </c>
      <c r="E43" s="144" t="s">
        <v>952</v>
      </c>
      <c r="G43" s="638" t="str">
        <f>summ!H26</f>
        <v xml:space="preserve">  </v>
      </c>
      <c r="H43" s="635" t="str">
        <f>CONCATENATE("",E1," Fund Mill Rate")</f>
        <v>2014 Fund Mill Rate</v>
      </c>
      <c r="I43" s="636"/>
      <c r="J43" s="637"/>
    </row>
    <row r="44" spans="2:11">
      <c r="B44" s="535">
        <f>inputPrYr!B30</f>
        <v>0</v>
      </c>
      <c r="C44" s="225" t="str">
        <f>CONCATENATE("Actual for ",E1-2,"")</f>
        <v>Actual for 2012</v>
      </c>
      <c r="D44" s="225" t="str">
        <f>CONCATENATE("Estimate for ",E1-1,"")</f>
        <v>Estimate for 2013</v>
      </c>
      <c r="E44" s="208" t="str">
        <f>CONCATENATE("Year for ",E1,"")</f>
        <v>Year for 2014</v>
      </c>
      <c r="G44" s="639" t="str">
        <f>summ!E26</f>
        <v xml:space="preserve">  </v>
      </c>
      <c r="H44" s="635" t="str">
        <f>CONCATENATE("",E1-1," Fund Mill Rate")</f>
        <v>2013 Fund Mill Rate</v>
      </c>
      <c r="I44" s="636"/>
      <c r="J44" s="637"/>
    </row>
    <row r="45" spans="2:11">
      <c r="B45" s="252" t="s">
        <v>228</v>
      </c>
      <c r="C45" s="257"/>
      <c r="D45" s="255">
        <f>C74</f>
        <v>0</v>
      </c>
      <c r="E45" s="228">
        <f>D74</f>
        <v>0</v>
      </c>
      <c r="G45" s="640">
        <f>summ!H52</f>
        <v>42.765000000000001</v>
      </c>
      <c r="H45" s="635" t="str">
        <f>CONCATENATE("Total ",E1," Mill Rate")</f>
        <v>Total 2014 Mill Rate</v>
      </c>
      <c r="I45" s="636"/>
      <c r="J45" s="637"/>
    </row>
    <row r="46" spans="2:11">
      <c r="B46" s="256" t="s">
        <v>230</v>
      </c>
      <c r="C46" s="159"/>
      <c r="D46" s="159"/>
      <c r="E46" s="87"/>
      <c r="G46" s="639">
        <f>summ!E52</f>
        <v>42.893999999999998</v>
      </c>
      <c r="H46" s="641" t="str">
        <f>CONCATENATE("Total ",E1-1," Mill Rate")</f>
        <v>Total 2013 Mill Rate</v>
      </c>
      <c r="I46" s="642"/>
      <c r="J46" s="643"/>
    </row>
    <row r="47" spans="2:11">
      <c r="B47" s="150" t="s">
        <v>107</v>
      </c>
      <c r="C47" s="257"/>
      <c r="D47" s="255">
        <f>IF(inputPrYr!H16&gt;0,inputPrYr!G30,inputPrYr!E30)</f>
        <v>0</v>
      </c>
      <c r="E47" s="286" t="s">
        <v>95</v>
      </c>
    </row>
    <row r="48" spans="2:11">
      <c r="B48" s="150" t="s">
        <v>108</v>
      </c>
      <c r="C48" s="257"/>
      <c r="D48" s="257"/>
      <c r="E48" s="67"/>
    </row>
    <row r="49" spans="2:10">
      <c r="B49" s="150" t="s">
        <v>109</v>
      </c>
      <c r="C49" s="257"/>
      <c r="D49" s="257"/>
      <c r="E49" s="228" t="str">
        <f>mvalloc!D19</f>
        <v xml:space="preserve">  </v>
      </c>
    </row>
    <row r="50" spans="2:10">
      <c r="B50" s="150" t="s">
        <v>110</v>
      </c>
      <c r="C50" s="257"/>
      <c r="D50" s="257"/>
      <c r="E50" s="228" t="str">
        <f>mvalloc!E19</f>
        <v xml:space="preserve"> </v>
      </c>
    </row>
    <row r="51" spans="2:10">
      <c r="B51" s="159" t="s">
        <v>205</v>
      </c>
      <c r="C51" s="257"/>
      <c r="D51" s="257"/>
      <c r="E51" s="228" t="str">
        <f>mvalloc!F19</f>
        <v xml:space="preserve"> </v>
      </c>
    </row>
    <row r="52" spans="2:10">
      <c r="B52" s="273"/>
      <c r="C52" s="257"/>
      <c r="D52" s="257"/>
      <c r="E52" s="69"/>
    </row>
    <row r="53" spans="2:10">
      <c r="B53" s="273"/>
      <c r="C53" s="257"/>
      <c r="D53" s="257"/>
      <c r="E53" s="69"/>
    </row>
    <row r="54" spans="2:10">
      <c r="B54" s="273"/>
      <c r="C54" s="257"/>
      <c r="D54" s="257"/>
      <c r="E54" s="67"/>
    </row>
    <row r="55" spans="2:10">
      <c r="B55" s="273"/>
      <c r="C55" s="257"/>
      <c r="D55" s="257"/>
      <c r="E55" s="67"/>
    </row>
    <row r="56" spans="2:10">
      <c r="B56" s="273"/>
      <c r="C56" s="257"/>
      <c r="D56" s="257"/>
      <c r="E56" s="67"/>
    </row>
    <row r="57" spans="2:10">
      <c r="B57" s="261" t="s">
        <v>114</v>
      </c>
      <c r="C57" s="257"/>
      <c r="D57" s="257"/>
      <c r="E57" s="67"/>
    </row>
    <row r="58" spans="2:10">
      <c r="B58" s="159" t="s">
        <v>14</v>
      </c>
      <c r="C58" s="257"/>
      <c r="D58" s="257"/>
      <c r="E58" s="67"/>
    </row>
    <row r="59" spans="2:10">
      <c r="B59" s="252" t="s">
        <v>784</v>
      </c>
      <c r="C59" s="262" t="str">
        <f>IF(C60*0.1&lt;C58,"Exceed 10% Rule","")</f>
        <v/>
      </c>
      <c r="D59" s="262" t="str">
        <f>IF(D60*0.1&lt;D58,"Exceed 10% Rule","")</f>
        <v/>
      </c>
      <c r="E59" s="299" t="str">
        <f>IF(E60*0.1+E80&lt;E58,"Exceed 10% Rule","")</f>
        <v/>
      </c>
    </row>
    <row r="60" spans="2:10">
      <c r="B60" s="264" t="s">
        <v>115</v>
      </c>
      <c r="C60" s="266">
        <f>SUM(C47:C58)</f>
        <v>0</v>
      </c>
      <c r="D60" s="266">
        <f>SUM(D47:D58)</f>
        <v>0</v>
      </c>
      <c r="E60" s="267">
        <f>SUM(E47:E58)</f>
        <v>0</v>
      </c>
    </row>
    <row r="61" spans="2:10">
      <c r="B61" s="264" t="s">
        <v>116</v>
      </c>
      <c r="C61" s="266">
        <f>C45+C60</f>
        <v>0</v>
      </c>
      <c r="D61" s="266">
        <f>D45+D60</f>
        <v>0</v>
      </c>
      <c r="E61" s="267">
        <f>E45+E60</f>
        <v>0</v>
      </c>
    </row>
    <row r="62" spans="2:10">
      <c r="B62" s="150" t="s">
        <v>118</v>
      </c>
      <c r="C62" s="274"/>
      <c r="D62" s="274"/>
      <c r="E62" s="65"/>
    </row>
    <row r="63" spans="2:10">
      <c r="B63" s="273"/>
      <c r="C63" s="257"/>
      <c r="D63" s="257"/>
      <c r="E63" s="67"/>
    </row>
    <row r="64" spans="2:10">
      <c r="B64" s="273"/>
      <c r="C64" s="257"/>
      <c r="D64" s="257"/>
      <c r="E64" s="67"/>
      <c r="G64" s="804" t="str">
        <f>CONCATENATE("Desired Carryover Into ",E1+1,"")</f>
        <v>Desired Carryover Into 2015</v>
      </c>
      <c r="H64" s="799"/>
      <c r="I64" s="799"/>
      <c r="J64" s="800"/>
    </row>
    <row r="65" spans="2:11">
      <c r="B65" s="273"/>
      <c r="C65" s="257"/>
      <c r="D65" s="257"/>
      <c r="E65" s="67"/>
      <c r="G65" s="652"/>
      <c r="H65" s="653"/>
      <c r="I65" s="654"/>
      <c r="J65" s="655"/>
    </row>
    <row r="66" spans="2:11">
      <c r="B66" s="273"/>
      <c r="C66" s="257"/>
      <c r="D66" s="257"/>
      <c r="E66" s="67"/>
      <c r="G66" s="656" t="s">
        <v>772</v>
      </c>
      <c r="H66" s="654"/>
      <c r="I66" s="654"/>
      <c r="J66" s="657">
        <v>0</v>
      </c>
    </row>
    <row r="67" spans="2:11">
      <c r="B67" s="273"/>
      <c r="C67" s="257"/>
      <c r="D67" s="257"/>
      <c r="E67" s="67"/>
      <c r="G67" s="652" t="s">
        <v>773</v>
      </c>
      <c r="H67" s="653"/>
      <c r="I67" s="653"/>
      <c r="J67" s="658" t="str">
        <f>IF(J66=0,"",ROUND((J66+E80-G79)/inputOth!E7*1000,3)-G84)</f>
        <v/>
      </c>
    </row>
    <row r="68" spans="2:11">
      <c r="B68" s="273"/>
      <c r="C68" s="257"/>
      <c r="D68" s="257"/>
      <c r="E68" s="67"/>
      <c r="G68" s="659" t="str">
        <f>CONCATENATE("",E1," Tot Exp/Non-Appr Must Be:")</f>
        <v>2014 Tot Exp/Non-Appr Must Be:</v>
      </c>
      <c r="H68" s="660"/>
      <c r="I68" s="661"/>
      <c r="J68" s="662">
        <f>IF(J66&gt;0,IF(E77&lt;E61,IF(J66=G79,E77,((J66-G79)*(1-D79))+E61),E77+(J66-G79)),0)</f>
        <v>0</v>
      </c>
    </row>
    <row r="69" spans="2:11">
      <c r="B69" s="273"/>
      <c r="C69" s="257"/>
      <c r="D69" s="257"/>
      <c r="E69" s="67"/>
      <c r="G69" s="663" t="s">
        <v>892</v>
      </c>
      <c r="H69" s="664"/>
      <c r="I69" s="664"/>
      <c r="J69" s="665">
        <f>IF(J66&gt;0,J68-E77,0)</f>
        <v>0</v>
      </c>
    </row>
    <row r="70" spans="2:11">
      <c r="B70" s="274" t="s">
        <v>13</v>
      </c>
      <c r="C70" s="257"/>
      <c r="D70" s="257"/>
      <c r="E70" s="82" t="str">
        <f>nhood!E18</f>
        <v/>
      </c>
      <c r="J70" s="2"/>
    </row>
    <row r="71" spans="2:11">
      <c r="B71" s="274" t="s">
        <v>14</v>
      </c>
      <c r="C71" s="257"/>
      <c r="D71" s="257"/>
      <c r="E71" s="67"/>
      <c r="G71" s="804" t="str">
        <f>CONCATENATE("Projected Carryover Into ",E1+1,"")</f>
        <v>Projected Carryover Into 2015</v>
      </c>
      <c r="H71" s="805"/>
      <c r="I71" s="805"/>
      <c r="J71" s="806"/>
    </row>
    <row r="72" spans="2:11">
      <c r="B72" s="274" t="s">
        <v>785</v>
      </c>
      <c r="C72" s="262" t="str">
        <f>IF(C73*0.1&lt;C71,"Exceed 10% Rule","")</f>
        <v/>
      </c>
      <c r="D72" s="262" t="str">
        <f>IF(D73*0.1&lt;D71,"Exceed 10% Rule","")</f>
        <v/>
      </c>
      <c r="E72" s="299" t="str">
        <f>IF(E73*0.1&lt;E71,"Exceed 10% Rule","")</f>
        <v/>
      </c>
      <c r="G72" s="666"/>
      <c r="H72" s="653"/>
      <c r="I72" s="653"/>
      <c r="J72" s="673"/>
    </row>
    <row r="73" spans="2:11">
      <c r="B73" s="264" t="s">
        <v>122</v>
      </c>
      <c r="C73" s="266">
        <f>SUM(C63:C71)</f>
        <v>0</v>
      </c>
      <c r="D73" s="266">
        <f>SUM(D63:D71)</f>
        <v>0</v>
      </c>
      <c r="E73" s="267">
        <f>SUM(E63:E71)</f>
        <v>0</v>
      </c>
      <c r="G73" s="668">
        <f>D74</f>
        <v>0</v>
      </c>
      <c r="H73" s="635" t="str">
        <f>CONCATENATE("",E1-1," Ending Cash Balance (est.)")</f>
        <v>2013 Ending Cash Balance (est.)</v>
      </c>
      <c r="I73" s="669"/>
      <c r="J73" s="673"/>
    </row>
    <row r="74" spans="2:11">
      <c r="B74" s="150" t="s">
        <v>229</v>
      </c>
      <c r="C74" s="270">
        <f>C61-C73</f>
        <v>0</v>
      </c>
      <c r="D74" s="270">
        <f>D61-D73</f>
        <v>0</v>
      </c>
      <c r="E74" s="286" t="s">
        <v>95</v>
      </c>
      <c r="G74" s="668">
        <f>E60</f>
        <v>0</v>
      </c>
      <c r="H74" s="654" t="str">
        <f>CONCATENATE("",E1," Non-AV Receipts (est.)")</f>
        <v>2014 Non-AV Receipts (est.)</v>
      </c>
      <c r="I74" s="669"/>
      <c r="J74" s="673"/>
    </row>
    <row r="75" spans="2:11">
      <c r="B75" s="136" t="str">
        <f>CONCATENATE("",E1-2,"/",E1-1," Budget Authority Amount:")</f>
        <v>2012/2013 Budget Authority Amount:</v>
      </c>
      <c r="C75" s="241">
        <f>inputOth!B72</f>
        <v>0</v>
      </c>
      <c r="D75" s="241">
        <f>inputPrYr!D30</f>
        <v>0</v>
      </c>
      <c r="E75" s="286" t="s">
        <v>95</v>
      </c>
      <c r="F75" s="276"/>
      <c r="G75" s="670">
        <f>IF(D79&gt;0,E78,E80)</f>
        <v>0</v>
      </c>
      <c r="H75" s="654" t="str">
        <f>CONCATENATE("",E1," Ad Valorem Tax (est.)")</f>
        <v>2014 Ad Valorem Tax (est.)</v>
      </c>
      <c r="I75" s="669"/>
      <c r="J75" s="673"/>
      <c r="K75" s="644" t="str">
        <f>IF(G75=E80,"","Note: Does not include Delinquent Taxes")</f>
        <v/>
      </c>
    </row>
    <row r="76" spans="2:11">
      <c r="B76" s="136"/>
      <c r="C76" s="793" t="s">
        <v>671</v>
      </c>
      <c r="D76" s="794"/>
      <c r="E76" s="67"/>
      <c r="F76" s="739" t="str">
        <f>IF(E73/0.95-E73&lt;E76,"Exceeds 5%","")</f>
        <v/>
      </c>
      <c r="G76" s="672">
        <f>SUM(G73:G75)</f>
        <v>0</v>
      </c>
      <c r="H76" s="654" t="str">
        <f>CONCATENATE("Total ",E1," Resources Available")</f>
        <v>Total 2014 Resources Available</v>
      </c>
      <c r="I76" s="673"/>
      <c r="J76" s="673"/>
    </row>
    <row r="77" spans="2:11">
      <c r="B77" s="531" t="str">
        <f>CONCATENATE(C96,"     ",D96)</f>
        <v xml:space="preserve">     </v>
      </c>
      <c r="C77" s="795" t="s">
        <v>672</v>
      </c>
      <c r="D77" s="796"/>
      <c r="E77" s="228">
        <f>E73+E76</f>
        <v>0</v>
      </c>
      <c r="G77" s="674"/>
      <c r="H77" s="675"/>
      <c r="I77" s="653"/>
      <c r="J77" s="673"/>
    </row>
    <row r="78" spans="2:11">
      <c r="B78" s="531" t="str">
        <f>CONCATENATE(C97,"     ",D97)</f>
        <v xml:space="preserve">     </v>
      </c>
      <c r="C78" s="277"/>
      <c r="D78" s="169" t="s">
        <v>123</v>
      </c>
      <c r="E78" s="82">
        <f>IF(E77-E61&gt;0,E77-E61,0)</f>
        <v>0</v>
      </c>
      <c r="G78" s="676">
        <f>ROUND(C73*0.05+C73,0)</f>
        <v>0</v>
      </c>
      <c r="H78" s="675" t="str">
        <f>CONCATENATE("Less ",E1-2," Expenditures + 5%")</f>
        <v>Less 2012 Expenditures + 5%</v>
      </c>
      <c r="I78" s="673"/>
      <c r="J78" s="673"/>
    </row>
    <row r="79" spans="2:11">
      <c r="B79" s="136"/>
      <c r="C79" s="387" t="s">
        <v>670</v>
      </c>
      <c r="D79" s="729">
        <f>inputOth!$E$47</f>
        <v>0</v>
      </c>
      <c r="E79" s="228">
        <f>ROUND(IF(D79&gt;0,(E78*D79),0),0)</f>
        <v>0</v>
      </c>
      <c r="G79" s="677">
        <f>G76-G78</f>
        <v>0</v>
      </c>
      <c r="H79" s="678" t="str">
        <f>CONCATENATE("Projected ",E1+1," carryover (est.)")</f>
        <v>Projected 2015 carryover (est.)</v>
      </c>
      <c r="I79" s="679"/>
      <c r="J79" s="680"/>
    </row>
    <row r="80" spans="2:11" ht="16.5" thickBot="1">
      <c r="B80" s="169"/>
      <c r="C80" s="797" t="str">
        <f>CONCATENATE("Amount of  ",$E$1-1," Ad Valorem Tax")</f>
        <v>Amount of  2013 Ad Valorem Tax</v>
      </c>
      <c r="D80" s="798"/>
      <c r="E80" s="651">
        <f>E78+E79</f>
        <v>0</v>
      </c>
      <c r="G80" s="2"/>
      <c r="H80" s="2"/>
      <c r="I80" s="2"/>
    </row>
    <row r="81" spans="2:10" ht="16.5" thickTop="1">
      <c r="B81" s="47"/>
      <c r="C81" s="47"/>
      <c r="D81" s="47"/>
      <c r="E81" s="47"/>
      <c r="G81" s="787" t="s">
        <v>891</v>
      </c>
      <c r="H81" s="788"/>
      <c r="I81" s="788"/>
      <c r="J81" s="789"/>
    </row>
    <row r="82" spans="2:10">
      <c r="B82" s="405" t="s">
        <v>125</v>
      </c>
      <c r="C82" s="282"/>
      <c r="D82" s="47"/>
      <c r="E82" s="47"/>
      <c r="G82" s="634"/>
      <c r="H82" s="635"/>
      <c r="I82" s="636"/>
      <c r="J82" s="637"/>
    </row>
    <row r="83" spans="2:10">
      <c r="B83" s="98"/>
      <c r="G83" s="638" t="str">
        <f>summ!H27</f>
        <v xml:space="preserve">  </v>
      </c>
      <c r="H83" s="635" t="str">
        <f>CONCATENATE("",E1," Fund Mill Rate")</f>
        <v>2014 Fund Mill Rate</v>
      </c>
      <c r="I83" s="636"/>
      <c r="J83" s="637"/>
    </row>
    <row r="84" spans="2:10">
      <c r="G84" s="639" t="str">
        <f>summ!E27</f>
        <v xml:space="preserve">  </v>
      </c>
      <c r="H84" s="635" t="str">
        <f>CONCATENATE("",E1-1," Fund Mill Rate")</f>
        <v>2013 Fund Mill Rate</v>
      </c>
      <c r="I84" s="636"/>
      <c r="J84" s="637"/>
    </row>
    <row r="85" spans="2:10">
      <c r="G85" s="640">
        <f>summ!H52</f>
        <v>42.765000000000001</v>
      </c>
      <c r="H85" s="635" t="str">
        <f>CONCATENATE("Total ",E1," Mill Rate")</f>
        <v>Total 2014 Mill Rate</v>
      </c>
      <c r="I85" s="636"/>
      <c r="J85" s="637"/>
    </row>
    <row r="86" spans="2:10">
      <c r="G86" s="639">
        <f>summ!E52</f>
        <v>42.893999999999998</v>
      </c>
      <c r="H86" s="641" t="str">
        <f>CONCATENATE("Total ",E1-1," Mill Rate")</f>
        <v>Total 2013 Mill Rate</v>
      </c>
      <c r="I86" s="642"/>
      <c r="J86" s="643"/>
    </row>
    <row r="94" spans="2:10" hidden="1">
      <c r="C94" s="530" t="str">
        <f>IF(C33&gt;C35,"See Tab A","")</f>
        <v/>
      </c>
      <c r="D94" s="530" t="str">
        <f>IF(D31&gt;D35,"See Tab C","")</f>
        <v/>
      </c>
    </row>
    <row r="95" spans="2:10" hidden="1">
      <c r="C95" s="530" t="str">
        <f>IF(C34&lt;0,"See Tab B","")</f>
        <v/>
      </c>
      <c r="D95" s="530" t="str">
        <f>IF(D34&lt;0,"See Tab D","")</f>
        <v/>
      </c>
    </row>
    <row r="96" spans="2:10" hidden="1">
      <c r="C96" s="530" t="str">
        <f>IF(C71&gt;C75,"See Tab A","")</f>
        <v/>
      </c>
      <c r="D96" s="530" t="str">
        <f>IF(D71&gt;D75,"See Tab C","")</f>
        <v/>
      </c>
    </row>
    <row r="97" spans="3:4" hidden="1">
      <c r="C97" s="530" t="str">
        <f>IF(C74&lt;0,"See Tab B","")</f>
        <v/>
      </c>
      <c r="D97" s="530" t="str">
        <f>IF(D74&lt;0,"See Tab D","")</f>
        <v/>
      </c>
    </row>
  </sheetData>
  <sheetProtection sheet="1"/>
  <mergeCells count="12">
    <mergeCell ref="G24:J24"/>
    <mergeCell ref="G31:J31"/>
    <mergeCell ref="G41:J41"/>
    <mergeCell ref="G64:J64"/>
    <mergeCell ref="G71:J71"/>
    <mergeCell ref="G81:J81"/>
    <mergeCell ref="C36:D36"/>
    <mergeCell ref="C37:D37"/>
    <mergeCell ref="C80:D80"/>
    <mergeCell ref="C40:D40"/>
    <mergeCell ref="C76:D76"/>
    <mergeCell ref="C77:D77"/>
  </mergeCells>
  <phoneticPr fontId="0" type="noConversion"/>
  <conditionalFormatting sqref="E31">
    <cfRule type="cellIs" dxfId="19" priority="3" stopIfTrue="1" operator="greaterThan">
      <formula>$E$33*0.1</formula>
    </cfRule>
  </conditionalFormatting>
  <conditionalFormatting sqref="E36">
    <cfRule type="cellIs" dxfId="18" priority="4" stopIfTrue="1" operator="greaterThan">
      <formula>$E$33/0.95-$E$33</formula>
    </cfRule>
  </conditionalFormatting>
  <conditionalFormatting sqref="E71">
    <cfRule type="cellIs" dxfId="17" priority="5" stopIfTrue="1" operator="greaterThan">
      <formula>$E$73*0.1</formula>
    </cfRule>
  </conditionalFormatting>
  <conditionalFormatting sqref="E76">
    <cfRule type="cellIs" dxfId="16" priority="6" stopIfTrue="1" operator="greaterThan">
      <formula>$E$73/0.95-$E$73</formula>
    </cfRule>
  </conditionalFormatting>
  <conditionalFormatting sqref="C31">
    <cfRule type="cellIs" dxfId="15" priority="7" stopIfTrue="1" operator="greaterThan">
      <formula>$C$33*0.1</formula>
    </cfRule>
  </conditionalFormatting>
  <conditionalFormatting sqref="D31">
    <cfRule type="cellIs" dxfId="14" priority="8" stopIfTrue="1" operator="greaterThan">
      <formula>$D$33*0.1</formula>
    </cfRule>
  </conditionalFormatting>
  <conditionalFormatting sqref="D33">
    <cfRule type="cellIs" dxfId="13" priority="9" stopIfTrue="1" operator="greaterThan">
      <formula>$D$35</formula>
    </cfRule>
  </conditionalFormatting>
  <conditionalFormatting sqref="C33">
    <cfRule type="cellIs" dxfId="12" priority="10" stopIfTrue="1" operator="greaterThan">
      <formula>$C$35</formula>
    </cfRule>
  </conditionalFormatting>
  <conditionalFormatting sqref="C34 C74">
    <cfRule type="cellIs" dxfId="11" priority="11" stopIfTrue="1" operator="lessThan">
      <formula>0</formula>
    </cfRule>
  </conditionalFormatting>
  <conditionalFormatting sqref="C71">
    <cfRule type="cellIs" dxfId="10" priority="12" stopIfTrue="1" operator="greaterThan">
      <formula>$C$73*0.1</formula>
    </cfRule>
  </conditionalFormatting>
  <conditionalFormatting sqref="D71">
    <cfRule type="cellIs" dxfId="9" priority="13" stopIfTrue="1" operator="greaterThan">
      <formula>$D$73*0.1</formula>
    </cfRule>
  </conditionalFormatting>
  <conditionalFormatting sqref="D73">
    <cfRule type="cellIs" dxfId="8" priority="14" stopIfTrue="1" operator="greaterThan">
      <formula>$D$75</formula>
    </cfRule>
  </conditionalFormatting>
  <conditionalFormatting sqref="C73">
    <cfRule type="cellIs" dxfId="7" priority="15" stopIfTrue="1" operator="greaterThan">
      <formula>$C$75</formula>
    </cfRule>
  </conditionalFormatting>
  <conditionalFormatting sqref="D18">
    <cfRule type="cellIs" dxfId="6" priority="16" stopIfTrue="1" operator="greaterThan">
      <formula>$D$20*0.1</formula>
    </cfRule>
  </conditionalFormatting>
  <conditionalFormatting sqref="C18">
    <cfRule type="cellIs" dxfId="5" priority="17" stopIfTrue="1" operator="greaterThan">
      <formula>$C$20*0.1</formula>
    </cfRule>
  </conditionalFormatting>
  <conditionalFormatting sqref="D58">
    <cfRule type="cellIs" dxfId="4" priority="18" stopIfTrue="1" operator="greaterThan">
      <formula>$D$60*0.1</formula>
    </cfRule>
  </conditionalFormatting>
  <conditionalFormatting sqref="C58">
    <cfRule type="cellIs" dxfId="3" priority="19" stopIfTrue="1" operator="greaterThan">
      <formula>$C$60*0.1</formula>
    </cfRule>
  </conditionalFormatting>
  <conditionalFormatting sqref="E58">
    <cfRule type="cellIs" dxfId="2" priority="20" stopIfTrue="1" operator="greaterThan">
      <formula>$E$60*0.1+E80</formula>
    </cfRule>
  </conditionalFormatting>
  <conditionalFormatting sqref="E18">
    <cfRule type="cellIs" dxfId="1" priority="21" stopIfTrue="1" operator="greaterThan">
      <formula>$E$20*0.1+E40</formula>
    </cfRule>
  </conditionalFormatting>
  <conditionalFormatting sqref="D74 D34">
    <cfRule type="cellIs" dxfId="0" priority="2" stopIfTrue="1" operator="lessThan">
      <formula>0</formula>
    </cfRule>
  </conditionalFormatting>
  <pageMargins left="0.5" right="0.5" top="1" bottom="0.5" header="0.5" footer="0.5"/>
  <pageSetup scale="53" orientation="portrait" blackAndWhite="1" horizontalDpi="120" verticalDpi="144" r:id="rId1"/>
  <headerFooter alignWithMargins="0">
    <oddHeader>&amp;RState of Kansas
City</oddHeader>
  </headerFooter>
</worksheet>
</file>

<file path=xl/worksheets/sheet49.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pageSetUpPr fitToPage="1"/>
  </sheetPr>
  <dimension ref="B1:J101"/>
  <sheetViews>
    <sheetView workbookViewId="0">
      <selection activeCell="A31" sqref="A31"/>
    </sheetView>
  </sheetViews>
  <sheetFormatPr defaultRowHeight="15.75"/>
  <cols>
    <col min="1" max="1" width="12" style="106" customWidth="1"/>
    <col min="2" max="2" width="24.33203125" style="45" customWidth="1"/>
    <col min="3" max="3" width="10.77734375" style="45" customWidth="1"/>
    <col min="4" max="4" width="11.5546875" style="45" customWidth="1"/>
    <col min="5" max="5" width="14" style="45" customWidth="1"/>
    <col min="6" max="6" width="13.33203125" style="45" customWidth="1"/>
    <col min="7" max="7" width="12.33203125" style="45" customWidth="1"/>
    <col min="8" max="16384" width="8.88671875" style="106"/>
  </cols>
  <sheetData>
    <row r="1" spans="2:9">
      <c r="B1" s="47"/>
      <c r="C1" s="47"/>
      <c r="D1" s="46" t="s">
        <v>168</v>
      </c>
      <c r="E1" s="47"/>
      <c r="F1" s="47"/>
      <c r="G1" s="136"/>
      <c r="I1" s="32">
        <f>inputPrYr!C5</f>
        <v>2014</v>
      </c>
    </row>
    <row r="2" spans="2:9">
      <c r="B2" s="765" t="str">
        <f>CONCATENATE("To the Clerk of ",(inputPrYr!D3),", State of Kansas")</f>
        <v>To the Clerk of Anderson County, State of Kansas</v>
      </c>
      <c r="C2" s="755"/>
      <c r="D2" s="755"/>
      <c r="E2" s="755"/>
      <c r="F2" s="755"/>
      <c r="G2" s="755"/>
    </row>
    <row r="3" spans="2:9">
      <c r="B3" s="138" t="s">
        <v>669</v>
      </c>
      <c r="C3" s="56"/>
      <c r="D3" s="56"/>
      <c r="E3" s="56"/>
      <c r="F3" s="56"/>
      <c r="G3" s="56"/>
    </row>
    <row r="4" spans="2:9">
      <c r="B4" s="763" t="str">
        <f>(inputPrYr!D2)</f>
        <v>City of Garnett</v>
      </c>
      <c r="C4" s="764"/>
      <c r="D4" s="764"/>
      <c r="E4" s="764"/>
      <c r="F4" s="764"/>
      <c r="G4" s="764"/>
    </row>
    <row r="5" spans="2:9">
      <c r="B5" s="138" t="s">
        <v>81</v>
      </c>
      <c r="C5" s="56"/>
      <c r="D5" s="56"/>
      <c r="E5" s="56"/>
      <c r="F5" s="56"/>
      <c r="G5" s="56"/>
    </row>
    <row r="6" spans="2:9">
      <c r="B6" s="138" t="s">
        <v>82</v>
      </c>
      <c r="C6" s="56"/>
      <c r="D6" s="56"/>
      <c r="E6" s="56"/>
      <c r="F6" s="56"/>
      <c r="G6" s="56"/>
    </row>
    <row r="7" spans="2:9">
      <c r="B7" s="138" t="str">
        <f>CONCATENATE("maximum expenditures for the various funds for the year ",I1,"; and")</f>
        <v>maximum expenditures for the various funds for the year 2014; and</v>
      </c>
      <c r="C7" s="56"/>
      <c r="D7" s="56"/>
      <c r="E7" s="56"/>
      <c r="F7" s="56"/>
      <c r="G7" s="56"/>
    </row>
    <row r="8" spans="2:9">
      <c r="B8" s="138" t="str">
        <f>CONCATENATE("(3) the Amounts(s) of ",I1-1," Ad Valorem Tax are within statutory limitations.")</f>
        <v>(3) the Amounts(s) of 2013 Ad Valorem Tax are within statutory limitations.</v>
      </c>
      <c r="C8" s="56"/>
      <c r="D8" s="56"/>
      <c r="E8" s="56"/>
      <c r="F8" s="56"/>
      <c r="G8" s="56"/>
    </row>
    <row r="9" spans="2:9">
      <c r="B9" s="47"/>
      <c r="C9" s="47"/>
      <c r="D9" s="47"/>
      <c r="E9" s="139" t="str">
        <f>CONCATENATE("",I1," Adopted Budget")</f>
        <v>2014 Adopted Budget</v>
      </c>
      <c r="F9" s="140"/>
      <c r="G9" s="141"/>
    </row>
    <row r="10" spans="2:9" ht="21" customHeight="1">
      <c r="B10" s="47"/>
      <c r="C10" s="47"/>
      <c r="D10" s="142"/>
      <c r="E10" s="143" t="s">
        <v>83</v>
      </c>
      <c r="F10" s="144" t="str">
        <f>CONCATENATE("Amount of ",I1-1,"")</f>
        <v>Amount of 2013</v>
      </c>
      <c r="G10" s="144" t="s">
        <v>84</v>
      </c>
    </row>
    <row r="11" spans="2:9">
      <c r="B11" s="52"/>
      <c r="C11" s="47"/>
      <c r="D11" s="144" t="s">
        <v>85</v>
      </c>
      <c r="E11" s="437" t="s">
        <v>10</v>
      </c>
      <c r="F11" s="146" t="s">
        <v>279</v>
      </c>
      <c r="G11" s="145" t="s">
        <v>86</v>
      </c>
    </row>
    <row r="12" spans="2:9">
      <c r="B12" s="147" t="s">
        <v>87</v>
      </c>
      <c r="C12" s="71"/>
      <c r="D12" s="148" t="s">
        <v>88</v>
      </c>
      <c r="E12" s="438" t="s">
        <v>675</v>
      </c>
      <c r="F12" s="149" t="s">
        <v>280</v>
      </c>
      <c r="G12" s="148" t="s">
        <v>89</v>
      </c>
    </row>
    <row r="13" spans="2:9">
      <c r="B13" s="150" t="str">
        <f>CONCATENATE("Computation to Determine Limit for ",I1,"")</f>
        <v>Computation to Determine Limit for 2014</v>
      </c>
      <c r="C13" s="93"/>
      <c r="D13" s="151">
        <v>2</v>
      </c>
      <c r="E13" s="152"/>
      <c r="F13" s="152"/>
      <c r="G13" s="152"/>
    </row>
    <row r="14" spans="2:9">
      <c r="B14" s="150" t="s">
        <v>948</v>
      </c>
      <c r="C14" s="71"/>
      <c r="D14" s="148">
        <v>3</v>
      </c>
      <c r="E14" s="145"/>
      <c r="F14" s="145"/>
      <c r="G14" s="145"/>
    </row>
    <row r="15" spans="2:9">
      <c r="B15" s="150" t="s">
        <v>233</v>
      </c>
      <c r="C15" s="71"/>
      <c r="D15" s="148">
        <v>4</v>
      </c>
      <c r="E15" s="145"/>
      <c r="F15" s="145"/>
      <c r="G15" s="145"/>
    </row>
    <row r="16" spans="2:9">
      <c r="B16" s="150" t="s">
        <v>90</v>
      </c>
      <c r="C16" s="93"/>
      <c r="D16" s="151">
        <v>5</v>
      </c>
      <c r="E16" s="153"/>
      <c r="F16" s="153"/>
      <c r="G16" s="153"/>
    </row>
    <row r="17" spans="2:10">
      <c r="B17" s="150" t="s">
        <v>91</v>
      </c>
      <c r="C17" s="93"/>
      <c r="D17" s="151">
        <v>6</v>
      </c>
      <c r="E17" s="153"/>
      <c r="F17" s="153"/>
      <c r="G17" s="153"/>
    </row>
    <row r="18" spans="2:10">
      <c r="B18" s="285" t="str">
        <f>IF(inputPrYr!D19="","","Computation to Determine State Library Grant")</f>
        <v>Computation to Determine State Library Grant</v>
      </c>
      <c r="C18" s="93"/>
      <c r="D18" s="161">
        <f>IF(inputPrYr!D19="","",'Library Grant'!F40)</f>
        <v>7</v>
      </c>
      <c r="E18" s="153"/>
      <c r="F18" s="153"/>
      <c r="G18" s="153"/>
    </row>
    <row r="19" spans="2:10">
      <c r="B19" s="154" t="s">
        <v>92</v>
      </c>
      <c r="C19" s="155" t="s">
        <v>93</v>
      </c>
      <c r="D19" s="156"/>
      <c r="E19" s="157"/>
      <c r="F19" s="157"/>
      <c r="G19" s="157"/>
    </row>
    <row r="20" spans="2:10">
      <c r="B20" s="64" t="s">
        <v>76</v>
      </c>
      <c r="C20" s="158" t="str">
        <f>IF(inputPrYr!C17&gt;0,(inputPrYr!C17),"  ")</f>
        <v>12-101a</v>
      </c>
      <c r="D20" s="151">
        <f>'general page 7'!C59</f>
        <v>8</v>
      </c>
      <c r="E20" s="721">
        <f>IF('general page 7'!$E$111&lt;&gt;0,'general page 7'!$E$111,"  ")</f>
        <v>647406</v>
      </c>
      <c r="F20" s="722">
        <f>IF('general page 7'!$E$118&lt;&gt;0,'general page 7'!$E$118,0)</f>
        <v>0</v>
      </c>
      <c r="G20" s="723" t="str">
        <f>IF($G$59=0,"",ROUND(F20/$G$59*1000,3))</f>
        <v/>
      </c>
    </row>
    <row r="21" spans="2:10">
      <c r="B21" s="64" t="s">
        <v>47</v>
      </c>
      <c r="C21" s="158" t="str">
        <f>IF(inputPrYr!C18&gt;0,(inputPrYr!C18),"  ")</f>
        <v>10-113</v>
      </c>
      <c r="D21" s="151">
        <f>IF('DebtSvs-library page 9'!C82&gt;0,'DebtSvs-library page 9'!C82,"  ")</f>
        <v>9</v>
      </c>
      <c r="E21" s="721">
        <f>IF('DebtSvs-library page 9'!E34&lt;&gt;0,'DebtSvs-library page 9'!E34,"  ")</f>
        <v>103660</v>
      </c>
      <c r="F21" s="722">
        <f>IF('DebtSvs-library page 9'!E41&lt;&gt;0,'DebtSvs-library page 9'!E41,0)</f>
        <v>43187</v>
      </c>
      <c r="G21" s="723" t="str">
        <f t="shared" ref="G21:G32" si="0">IF($G$59=0,"",ROUND(F21/$G$59*1000,3))</f>
        <v/>
      </c>
    </row>
    <row r="22" spans="2:10">
      <c r="B22" s="87" t="str">
        <f>IF(inputPrYr!$B19&gt;"  ",(inputPrYr!$B19),"  ")</f>
        <v>Library</v>
      </c>
      <c r="C22" s="158" t="str">
        <f>IF(inputPrYr!C19&gt;0,(inputPrYr!C19),"  ")</f>
        <v>12-1220</v>
      </c>
      <c r="D22" s="151">
        <f>IF('DebtSvs-library page 9'!C82&gt;0,'DebtSvs-library page 9'!C82,"  ")</f>
        <v>9</v>
      </c>
      <c r="E22" s="721">
        <f>IF('DebtSvs-library page 9'!E74&lt;&gt;0,'DebtSvs-library page 9'!E74,"  ")</f>
        <v>142426</v>
      </c>
      <c r="F22" s="722">
        <f>IF('DebtSvs-library page 9'!E81&lt;&gt;0,'DebtSvs-library page 9'!E81,0)</f>
        <v>107910</v>
      </c>
      <c r="G22" s="723" t="str">
        <f t="shared" si="0"/>
        <v/>
      </c>
      <c r="I22" s="560"/>
      <c r="J22" s="560"/>
    </row>
    <row r="23" spans="2:10">
      <c r="B23" s="87" t="str">
        <f>IF(inputPrYr!$B21&gt;"  ",(inputPrYr!$B21),"  ")</f>
        <v>Airport</v>
      </c>
      <c r="C23" s="158" t="str">
        <f>IF(inputPrYr!C21&gt;0,(inputPrYr!C21),"  ")</f>
        <v xml:space="preserve">  </v>
      </c>
      <c r="D23" s="151">
        <f>IF('Airport_Park page 10'!C81&gt;0,'Airport_Park page 10'!C81,"  ")</f>
        <v>10</v>
      </c>
      <c r="E23" s="721">
        <f>IF('Airport_Park page 10'!$E$33&gt;0,'Airport_Park page 10'!$E$33,"  ")</f>
        <v>67101</v>
      </c>
      <c r="F23" s="722">
        <f>IF('Airport_Park page 10'!E40&lt;&gt;0,'Airport_Park page 10'!E40,0)</f>
        <v>29394</v>
      </c>
      <c r="G23" s="723" t="str">
        <f t="shared" si="0"/>
        <v/>
      </c>
      <c r="I23" s="560"/>
      <c r="J23" s="560"/>
    </row>
    <row r="24" spans="2:10">
      <c r="B24" s="87" t="str">
        <f>IF(inputPrYr!$B22&gt;"  ",(inputPrYr!$B22),"  ")</f>
        <v>Park</v>
      </c>
      <c r="C24" s="158" t="str">
        <f>IF(inputPrYr!C22&gt;0,(inputPrYr!C22),"  ")</f>
        <v xml:space="preserve">  </v>
      </c>
      <c r="D24" s="151">
        <f>IF('Airport_Park page 10'!C81&gt;0,'Airport_Park page 10'!C81,"  ")</f>
        <v>10</v>
      </c>
      <c r="E24" s="721">
        <f>IF('Airport_Park page 10'!$E$73&gt;0,'Airport_Park page 10'!$E$73,"  ")</f>
        <v>156143</v>
      </c>
      <c r="F24" s="722">
        <f>IF('Airport_Park page 10'!E80&lt;&gt;0,'Airport_Park page 10'!E80,0)</f>
        <v>90630</v>
      </c>
      <c r="G24" s="723" t="str">
        <f t="shared" si="0"/>
        <v/>
      </c>
      <c r="I24" s="560"/>
      <c r="J24" s="560"/>
    </row>
    <row r="25" spans="2:10">
      <c r="B25" s="87" t="str">
        <f>IF(inputPrYr!$B23&gt;"  ",(inputPrYr!$B23),"  ")</f>
        <v xml:space="preserve">Recreation </v>
      </c>
      <c r="C25" s="158" t="str">
        <f>IF(inputPrYr!C23&gt;0,(inputPrYr!C23),"  ")</f>
        <v xml:space="preserve">  </v>
      </c>
      <c r="D25" s="151">
        <f>IF('Rec_Law Enf page11'!C84&gt;0,'Rec_Law Enf page11'!C84,"  ")</f>
        <v>11</v>
      </c>
      <c r="E25" s="721">
        <f>IF('Rec_Law Enf page11'!$E$35&gt;0,'Rec_Law Enf page11'!$E$35,"  ")</f>
        <v>168464</v>
      </c>
      <c r="F25" s="722">
        <f>IF('Rec_Law Enf page11'!E42&lt;&gt;0,'Rec_Law Enf page11'!E42,0)</f>
        <v>69486</v>
      </c>
      <c r="G25" s="723" t="str">
        <f t="shared" si="0"/>
        <v/>
      </c>
      <c r="I25" s="560"/>
      <c r="J25" s="560"/>
    </row>
    <row r="26" spans="2:10">
      <c r="B26" s="87" t="str">
        <f>IF(inputPrYr!$B24&gt;"  ",(inputPrYr!$B24),"  ")</f>
        <v>Law Enforcement</v>
      </c>
      <c r="C26" s="158" t="str">
        <f>IF(inputPrYr!C24&gt;0,(inputPrYr!C24),"  ")</f>
        <v xml:space="preserve">  </v>
      </c>
      <c r="D26" s="151">
        <f>IF('Rec_Law Enf page11'!C84&gt;0,'Rec_Law Enf page11'!C84,"  ")</f>
        <v>11</v>
      </c>
      <c r="E26" s="721">
        <f>IF('Rec_Law Enf page11'!$E$75&gt;0,'Rec_Law Enf page11'!$E$75,"  ")</f>
        <v>453228</v>
      </c>
      <c r="F26" s="722">
        <f>IF('Rec_Law Enf page11'!E82&lt;&gt;0,'Rec_Law Enf page11'!E82,0)</f>
        <v>257258</v>
      </c>
      <c r="G26" s="723" t="str">
        <f t="shared" si="0"/>
        <v/>
      </c>
      <c r="I26" s="560"/>
      <c r="J26" s="560"/>
    </row>
    <row r="27" spans="2:10">
      <c r="B27" s="87" t="str">
        <f>IF(inputPrYr!$B25&gt;"  ",(inputPrYr!$B25),"  ")</f>
        <v>Employee Benefits</v>
      </c>
      <c r="C27" s="158" t="str">
        <f>IF(inputPrYr!C25&gt;0,(inputPrYr!C25),"  ")</f>
        <v xml:space="preserve">  </v>
      </c>
      <c r="D27" s="151">
        <f>IF('Emp Ben page12'!C85&gt;0,'Emp Ben page12'!C85,"  ")</f>
        <v>12</v>
      </c>
      <c r="E27" s="721">
        <f>IF('Emp Ben page12'!$E$36&gt;0,'Emp Ben page12'!$E$36,"  ")</f>
        <v>1101904</v>
      </c>
      <c r="F27" s="722">
        <f>IF('Emp Ben page12'!E43&lt;&gt;0,'Emp Ben page12'!E43,0)</f>
        <v>163617</v>
      </c>
      <c r="G27" s="723" t="str">
        <f t="shared" si="0"/>
        <v/>
      </c>
      <c r="I27" s="560"/>
      <c r="J27" s="560"/>
    </row>
    <row r="28" spans="2:10">
      <c r="B28" s="87" t="str">
        <f>IF(inputPrYr!$B26&gt;"  ",(inputPrYr!$B26),"  ")</f>
        <v xml:space="preserve">  </v>
      </c>
      <c r="C28" s="158" t="str">
        <f>IF(inputPrYr!C26&gt;0,(inputPrYr!C26),"  ")</f>
        <v xml:space="preserve">  </v>
      </c>
      <c r="D28" s="151">
        <f>IF('Emp Ben page12'!C85&gt;0,'Emp Ben page12'!C85,"  ")</f>
        <v>12</v>
      </c>
      <c r="E28" s="721" t="str">
        <f>IF('Emp Ben page12'!$E$76&gt;0,'Emp Ben page12'!$E$76,"  ")</f>
        <v xml:space="preserve">  </v>
      </c>
      <c r="F28" s="722">
        <f>IF('Emp Ben page12'!E83&lt;&gt;0,'Emp Ben page12'!E83,0)</f>
        <v>0</v>
      </c>
      <c r="G28" s="723" t="str">
        <f t="shared" si="0"/>
        <v/>
      </c>
      <c r="I28" s="560"/>
      <c r="J28" s="560"/>
    </row>
    <row r="29" spans="2:10">
      <c r="B29" s="87" t="str">
        <f>IF(inputPrYr!$B27&gt;"  ",(inputPrYr!$B27),"  ")</f>
        <v xml:space="preserve">  </v>
      </c>
      <c r="C29" s="158" t="str">
        <f>IF(inputPrYr!C27&gt;0,(inputPrYr!C27),"  ")</f>
        <v xml:space="preserve">  </v>
      </c>
      <c r="D29" s="151" t="str">
        <f>IF('levy page12'!C82&gt;0,'levy page12'!C82,"  ")</f>
        <v xml:space="preserve">  </v>
      </c>
      <c r="E29" s="721" t="str">
        <f>IF('levy page12'!$E$33&gt;0,'levy page12'!$E$33,"  ")</f>
        <v xml:space="preserve">  </v>
      </c>
      <c r="F29" s="722">
        <f>IF('levy page12'!E40&lt;&gt;0,'levy page12'!E40,0)</f>
        <v>0</v>
      </c>
      <c r="G29" s="723" t="str">
        <f t="shared" si="0"/>
        <v/>
      </c>
      <c r="I29" s="560"/>
      <c r="J29" s="560"/>
    </row>
    <row r="30" spans="2:10">
      <c r="B30" s="87" t="str">
        <f>IF(inputPrYr!$B28&gt;"  ",(inputPrYr!$B28),"  ")</f>
        <v xml:space="preserve">  </v>
      </c>
      <c r="C30" s="158" t="str">
        <f>IF(inputPrYr!C28&gt;0,(inputPrYr!C28),"  ")</f>
        <v xml:space="preserve">  </v>
      </c>
      <c r="D30" s="151" t="str">
        <f>IF('levy page12'!C82&gt;0,'levy page12'!C82,"  ")</f>
        <v xml:space="preserve">  </v>
      </c>
      <c r="E30" s="721" t="str">
        <f>IF('levy page12'!$E$73&gt;0,'levy page12'!$E$73,"  ")</f>
        <v xml:space="preserve">  </v>
      </c>
      <c r="F30" s="722">
        <f>IF('levy page12'!E80&lt;&gt;0,'levy page12'!E80,0)</f>
        <v>0</v>
      </c>
      <c r="G30" s="723" t="str">
        <f t="shared" si="0"/>
        <v/>
      </c>
      <c r="I30" s="560"/>
      <c r="J30" s="560"/>
    </row>
    <row r="31" spans="2:10">
      <c r="B31" s="87" t="str">
        <f>IF(inputPrYr!$B29&gt;"  ",(inputPrYr!$B29),"  ")</f>
        <v xml:space="preserve">  </v>
      </c>
      <c r="C31" s="158" t="str">
        <f>IF(inputPrYr!C29&gt;0,(inputPrYr!C29),"  ")</f>
        <v xml:space="preserve">  </v>
      </c>
      <c r="D31" s="151" t="str">
        <f>IF('levy page13'!C82&gt;0,'levy page13'!C82,"  ")</f>
        <v xml:space="preserve">  </v>
      </c>
      <c r="E31" s="721" t="str">
        <f>IF('levy page13'!$E$33&gt;0,'levy page13'!$E$33,"  ")</f>
        <v xml:space="preserve">  </v>
      </c>
      <c r="F31" s="722">
        <f>IF('levy page13'!E40&lt;&gt;0,'levy page13'!E40,0)</f>
        <v>0</v>
      </c>
      <c r="G31" s="723" t="str">
        <f t="shared" si="0"/>
        <v/>
      </c>
      <c r="I31" s="560"/>
      <c r="J31" s="560"/>
    </row>
    <row r="32" spans="2:10">
      <c r="B32" s="87" t="str">
        <f>IF(inputPrYr!B30&gt;"  ",(inputPrYr!B30),"  ")</f>
        <v xml:space="preserve">  </v>
      </c>
      <c r="C32" s="158" t="str">
        <f>IF(inputPrYr!C30&gt;0,(inputPrYr!C30),"  ")</f>
        <v xml:space="preserve">  </v>
      </c>
      <c r="D32" s="151" t="str">
        <f>IF('levy page13'!C82&gt;0,'levy page13'!C82,"  ")</f>
        <v xml:space="preserve">  </v>
      </c>
      <c r="E32" s="721" t="str">
        <f>IF('levy page13'!$E$73&gt;0,'levy page13'!$E$73,"  ")</f>
        <v xml:space="preserve">  </v>
      </c>
      <c r="F32" s="722">
        <f>IF('levy page13'!E80&lt;&gt;0,'levy page13'!E80,0)</f>
        <v>0</v>
      </c>
      <c r="G32" s="723" t="str">
        <f t="shared" si="0"/>
        <v/>
      </c>
      <c r="I32" s="558"/>
    </row>
    <row r="33" spans="2:7">
      <c r="B33" s="159" t="str">
        <f>IF(inputPrYr!$B34&gt;"  ",(inputPrYr!$B34),"  ")</f>
        <v>Special Highway</v>
      </c>
      <c r="C33" s="160"/>
      <c r="D33" s="161">
        <f>IF('Sp Hiway_State Aid page 13'!C67&gt;0,'Sp Hiway_State Aid page 13'!C67,"  ")</f>
        <v>13</v>
      </c>
      <c r="E33" s="721">
        <f>IF('Sp Hiway_State Aid page 13'!$E$30&gt;0,'Sp Hiway_State Aid page 13'!$E$30,"  ")</f>
        <v>91290</v>
      </c>
      <c r="F33" s="721"/>
      <c r="G33" s="724"/>
    </row>
    <row r="34" spans="2:7">
      <c r="B34" s="159" t="str">
        <f>IF(inputPrYr!$B35&gt;"  ",(inputPrYr!$B35),"  ")</f>
        <v>State Aid</v>
      </c>
      <c r="C34" s="160"/>
      <c r="D34" s="161">
        <f>IF('Sp Hiway_State Aid page 13'!C67&gt;0,'Sp Hiway_State Aid page 13'!C67,"  ")</f>
        <v>13</v>
      </c>
      <c r="E34" s="721">
        <f>IF('Sp Hiway_State Aid page 13'!$E$61&gt;0,'Sp Hiway_State Aid page 13'!$E$61,"  ")</f>
        <v>1217</v>
      </c>
      <c r="F34" s="721"/>
      <c r="G34" s="724"/>
    </row>
    <row r="35" spans="2:7">
      <c r="B35" s="159" t="str">
        <f>IF(inputPrYr!$B36&gt;"  ",(inputPrYr!$B36),"  ")</f>
        <v>SEK</v>
      </c>
      <c r="C35" s="162"/>
      <c r="D35" s="161">
        <f>IF('SEK_Special Park_Rec page14'!C65&gt;0,'SEK_Special Park_Rec page14'!C65,"  ")</f>
        <v>14</v>
      </c>
      <c r="E35" s="721">
        <f>IF('SEK_Special Park_Rec page14'!$E$28&gt;0,'SEK_Special Park_Rec page14'!$E$28,"  ")</f>
        <v>13511</v>
      </c>
      <c r="F35" s="721"/>
      <c r="G35" s="724"/>
    </row>
    <row r="36" spans="2:7">
      <c r="B36" s="159" t="str">
        <f>IF(inputPrYr!$B37&gt;"  ",(inputPrYr!$B37),"  ")</f>
        <v>Special Parks &amp; Rec</v>
      </c>
      <c r="C36" s="160"/>
      <c r="D36" s="161">
        <f>IF('SEK_Special Park_Rec page14'!C65&gt;0,'SEK_Special Park_Rec page14'!C65,"  ")</f>
        <v>14</v>
      </c>
      <c r="E36" s="721">
        <f>IF('SEK_Special Park_Rec page14'!$E$59&gt;0,'SEK_Special Park_Rec page14'!$E$59,"  ")</f>
        <v>8500</v>
      </c>
      <c r="F36" s="721"/>
      <c r="G36" s="724"/>
    </row>
    <row r="37" spans="2:7">
      <c r="B37" s="159" t="str">
        <f>IF(inputPrYr!$B38&gt;"  ",(inputPrYr!$B38),"  ")</f>
        <v>Electric</v>
      </c>
      <c r="C37" s="162"/>
      <c r="D37" s="161">
        <f>IF('Elec_Water page15'!C67&gt;0,'Elec_Water page15'!C67,"  ")</f>
        <v>15</v>
      </c>
      <c r="E37" s="721">
        <f>IF('Elec_Water page15'!$E$29&gt;0,'Elec_Water page15'!$E$29,"  ")</f>
        <v>3427433</v>
      </c>
      <c r="F37" s="721"/>
      <c r="G37" s="724"/>
    </row>
    <row r="38" spans="2:7">
      <c r="B38" s="159" t="str">
        <f>IF(inputPrYr!$B39&gt;"  ",(inputPrYr!$B39),"  ")</f>
        <v>Water</v>
      </c>
      <c r="C38" s="163"/>
      <c r="D38" s="161">
        <f>IF('Elec_Water page15'!C67&gt;0,'Elec_Water page15'!C67,"  ")</f>
        <v>15</v>
      </c>
      <c r="E38" s="721">
        <f>IF('Elec_Water page15'!$E$61&gt;0,'Elec_Water page15'!$E$61,"  ")</f>
        <v>1758254</v>
      </c>
      <c r="F38" s="721"/>
      <c r="G38" s="724"/>
    </row>
    <row r="39" spans="2:7">
      <c r="B39" s="159" t="str">
        <f>IF(inputPrYr!$B40&gt;"  ",(inputPrYr!$B40),"  ")</f>
        <v>Gas</v>
      </c>
      <c r="C39" s="163"/>
      <c r="D39" s="161">
        <f>IF('Gas_Refuse page16'!C65&gt;0,'Gas_Refuse page16'!C65,"  ")</f>
        <v>16</v>
      </c>
      <c r="E39" s="721">
        <f>IF('Gas_Refuse page16'!$E$28&gt;0,'Gas_Refuse page16'!$E$28,"  ")</f>
        <v>1303812</v>
      </c>
      <c r="F39" s="721"/>
      <c r="G39" s="724"/>
    </row>
    <row r="40" spans="2:7">
      <c r="B40" s="159" t="str">
        <f>IF(inputPrYr!$B41&gt;"  ",(inputPrYr!$B41),"  ")</f>
        <v>Refuse</v>
      </c>
      <c r="C40" s="163"/>
      <c r="D40" s="161">
        <f>IF('Gas_Refuse page16'!C65&gt;0,'Gas_Refuse page16'!C65,"  ")</f>
        <v>16</v>
      </c>
      <c r="E40" s="721">
        <f>IF('Gas_Refuse page16'!$E$59&gt;0,'Gas_Refuse page16'!$E$59,"  ")</f>
        <v>327862</v>
      </c>
      <c r="F40" s="721"/>
      <c r="G40" s="724"/>
    </row>
    <row r="41" spans="2:7">
      <c r="B41" s="159" t="str">
        <f>IF(inputPrYr!$B42&gt;"  ",(inputPrYr!$B42),"  ")</f>
        <v>Capital Outlay</v>
      </c>
      <c r="C41" s="160"/>
      <c r="D41" s="161">
        <f>IF('Capital Out_Comb Util page17'!C69&gt;0,'Capital Out_Comb Util page17'!C69,"  ")</f>
        <v>17</v>
      </c>
      <c r="E41" s="721">
        <f>IF('Capital Out_Comb Util page17'!$E$32&gt;0,'Capital Out_Comb Util page17'!$E$32,"  ")</f>
        <v>308811</v>
      </c>
      <c r="F41" s="721"/>
      <c r="G41" s="724"/>
    </row>
    <row r="42" spans="2:7">
      <c r="B42" s="159" t="str">
        <f>IF(inputPrYr!$B43&gt;"  ",(inputPrYr!$B43),"  ")</f>
        <v>Combined Utility</v>
      </c>
      <c r="C42" s="160"/>
      <c r="D42" s="161">
        <f>IF('Capital Out_Comb Util page17'!C69&gt;0,'Capital Out_Comb Util page17'!C69,"  ")</f>
        <v>17</v>
      </c>
      <c r="E42" s="721">
        <f>IF('Capital Out_Comb Util page17'!$E$63&gt;0,'Capital Out_Comb Util page17'!$E$63,"  ")</f>
        <v>560863</v>
      </c>
      <c r="F42" s="721"/>
      <c r="G42" s="724"/>
    </row>
    <row r="43" spans="2:7">
      <c r="B43" s="159" t="str">
        <f>IF(inputPrYr!$B44&gt;"  ",(inputPrYr!$B44),"  ")</f>
        <v>Economic Development</v>
      </c>
      <c r="C43" s="160"/>
      <c r="D43" s="161">
        <f>IF('Econ Dev_PS #1 page18'!C65&gt;0,'Econ Dev_PS #1 page18'!C65,"  ")</f>
        <v>18</v>
      </c>
      <c r="E43" s="721">
        <f>IF('Econ Dev_PS #1 page18'!$E$28&gt;0,'Econ Dev_PS #1 page18'!$E$28,"  ")</f>
        <v>51512</v>
      </c>
      <c r="F43" s="721"/>
      <c r="G43" s="724"/>
    </row>
    <row r="44" spans="2:7">
      <c r="B44" s="159" t="str">
        <f>IF(inputPrYr!$B45&gt;"  ",(inputPrYr!$B45),"  ")</f>
        <v>Parkside # 1</v>
      </c>
      <c r="C44" s="160"/>
      <c r="D44" s="161">
        <f>IF('Econ Dev_PS #1 page18'!C65&gt;0,'Econ Dev_PS #1 page18'!C65,"  ")</f>
        <v>18</v>
      </c>
      <c r="E44" s="721">
        <f>IF('Econ Dev_PS #1 page18'!$E$59&gt;0,'Econ Dev_PS #1 page18'!$E$59,"  ")</f>
        <v>153308</v>
      </c>
      <c r="F44" s="721"/>
      <c r="G44" s="724"/>
    </row>
    <row r="45" spans="2:7">
      <c r="B45" s="159" t="str">
        <f>IF(inputPrYr!$B46&gt;"  ",(inputPrYr!$B46),"  ")</f>
        <v>Parkside # 2</v>
      </c>
      <c r="C45" s="160"/>
      <c r="D45" s="161">
        <f>IF('PS # 2_Park Plaza N page 19'!C65&gt;0,'PS # 2_Park Plaza N page 19'!C65,"  ")</f>
        <v>19</v>
      </c>
      <c r="E45" s="721">
        <f>IF('PS # 2_Park Plaza N page 19'!$E$28&gt;0,'PS # 2_Park Plaza N page 19'!$E$28,"  ")</f>
        <v>207821</v>
      </c>
      <c r="F45" s="721"/>
      <c r="G45" s="724"/>
    </row>
    <row r="46" spans="2:7">
      <c r="B46" s="159" t="str">
        <f>IF(inputPrYr!$B47&gt;"  ",(inputPrYr!$B47),"  ")</f>
        <v>Park Plaza North</v>
      </c>
      <c r="C46" s="160"/>
      <c r="D46" s="161">
        <f>IF('PS # 2_Park Plaza N page 19'!C65&gt;0,'PS # 2_Park Plaza N page 19'!C65,"  ")</f>
        <v>19</v>
      </c>
      <c r="E46" s="721">
        <f>IF('PS # 2_Park Plaza N page 19'!$E$59&gt;0,'PS # 2_Park Plaza N page 19'!$E$59,"  ")</f>
        <v>333596</v>
      </c>
      <c r="F46" s="721"/>
      <c r="G46" s="724"/>
    </row>
    <row r="47" spans="2:7">
      <c r="B47" s="159" t="str">
        <f>IF(inputPrYr!$B48&gt;"  ",(inputPrYr!$B48),"  ")</f>
        <v>Recreation Center</v>
      </c>
      <c r="C47" s="162"/>
      <c r="D47" s="161">
        <f>IF('PS # 2_Park Plaza N page 19'!C65&gt;0,'Rec Ctr_Comm Dev page 20'!C66,"  ")</f>
        <v>20</v>
      </c>
      <c r="E47" s="721">
        <f>IF('Rec Ctr_Comm Dev page 20'!$E$29&gt;0,'Rec Ctr_Comm Dev page 20'!$E$29,"  ")</f>
        <v>55549</v>
      </c>
      <c r="F47" s="721"/>
      <c r="G47" s="724"/>
    </row>
    <row r="48" spans="2:7">
      <c r="B48" s="159" t="str">
        <f>IF(inputPrYr!$B49&gt;"  ",(inputPrYr!$B49),"  ")</f>
        <v>Community Development</v>
      </c>
      <c r="C48" s="163"/>
      <c r="D48" s="161">
        <f>IF('Rec Ctr_Comm Dev page 20'!C66&gt;0,'Rec Ctr_Comm Dev page 20'!C66,"  ")</f>
        <v>20</v>
      </c>
      <c r="E48" s="721">
        <f>IF('Rec Ctr_Comm Dev page 20'!$E$60&gt;0,'Rec Ctr_Comm Dev page 20'!$E$60,"  ")</f>
        <v>25250</v>
      </c>
      <c r="F48" s="721"/>
      <c r="G48" s="724"/>
    </row>
    <row r="49" spans="2:7">
      <c r="B49" s="159" t="str">
        <f>IF(inputPrYr!$B51&gt;"  ",(inputPrYr!$B51),"  ")</f>
        <v xml:space="preserve">  </v>
      </c>
      <c r="C49" s="160"/>
      <c r="D49" s="161" t="str">
        <f>IF(SinNoLevy22!C53&gt;0,SinNoLevy22!C53,"  ")</f>
        <v xml:space="preserve">  </v>
      </c>
      <c r="E49" s="721" t="str">
        <f>IF(SinNoLevy22!$E$47&gt;0,SinNoLevy22!$E$47,"  ")</f>
        <v xml:space="preserve">  </v>
      </c>
      <c r="F49" s="721"/>
      <c r="G49" s="724"/>
    </row>
    <row r="50" spans="2:7">
      <c r="B50" s="159" t="str">
        <f>IF(inputPrYr!$B52&gt;"  ",(inputPrYr!$B52),"  ")</f>
        <v xml:space="preserve">  </v>
      </c>
      <c r="C50" s="160"/>
      <c r="D50" s="161" t="str">
        <f>IF(SinNoLevy23!C53&gt;0,SinNoLevy23!C53,"  ")</f>
        <v xml:space="preserve">  </v>
      </c>
      <c r="E50" s="721" t="str">
        <f>IF(SinNoLevy23!$E$47&gt;0,SinNoLevy23!$E$47,"  ")</f>
        <v xml:space="preserve">  </v>
      </c>
      <c r="F50" s="721"/>
      <c r="G50" s="724"/>
    </row>
    <row r="51" spans="2:7">
      <c r="B51" s="159" t="str">
        <f>IF(inputPrYr!$B53&gt;"  ",(inputPrYr!$B53),"  ")</f>
        <v xml:space="preserve">  </v>
      </c>
      <c r="C51" s="162"/>
      <c r="D51" s="161" t="str">
        <f>IF(SinNoLevy24!C53&gt;0,SinNoLevy24!C53,"  ")</f>
        <v xml:space="preserve">  </v>
      </c>
      <c r="E51" s="721" t="str">
        <f>IF(SinNoLevy24!$E$47&gt;0,SinNoLevy24!$E$47,"  ")</f>
        <v xml:space="preserve">  </v>
      </c>
      <c r="F51" s="721"/>
      <c r="G51" s="724"/>
    </row>
    <row r="52" spans="2:7">
      <c r="B52" s="159" t="str">
        <f>IF(inputPrYr!$B54&gt;"  ",(inputPrYr!$B54),"  ")</f>
        <v xml:space="preserve">  </v>
      </c>
      <c r="C52" s="163"/>
      <c r="D52" s="161" t="str">
        <f>IF(SinNoLevy25!C53&gt;0,SinNoLevy25!C53,"  ")</f>
        <v xml:space="preserve">  </v>
      </c>
      <c r="E52" s="721" t="str">
        <f>IF(SinNoLevy25!$E$47&gt;0,SinNoLevy25!$E$47,"  ")</f>
        <v xml:space="preserve">  </v>
      </c>
      <c r="F52" s="721"/>
      <c r="G52" s="724"/>
    </row>
    <row r="53" spans="2:7">
      <c r="B53" s="159" t="str">
        <f>IF(inputPrYr!$B57&gt;"  ",(NonBudA!$A3),"  ")</f>
        <v xml:space="preserve">  </v>
      </c>
      <c r="C53" s="163"/>
      <c r="D53" s="161" t="str">
        <f>IF(NonBudA!F33&gt;0,NonBudA!F33,"  ")</f>
        <v xml:space="preserve">  </v>
      </c>
      <c r="E53" s="721"/>
      <c r="F53" s="721"/>
      <c r="G53" s="724"/>
    </row>
    <row r="54" spans="2:7">
      <c r="B54" s="159" t="str">
        <f>IF(inputPrYr!$B63&gt;"  ",(NonBudB!$A3),"  ")</f>
        <v xml:space="preserve">  </v>
      </c>
      <c r="C54" s="163"/>
      <c r="D54" s="161" t="str">
        <f>IF(NonBudB!F33&gt;0,NonBudB!F33,"  ")</f>
        <v xml:space="preserve">  </v>
      </c>
      <c r="E54" s="721"/>
      <c r="F54" s="721"/>
      <c r="G54" s="724"/>
    </row>
    <row r="55" spans="2:7">
      <c r="B55" s="159" t="str">
        <f>IF(inputPrYr!$B69&gt;"  ",(NonBudC!$A3),"  ")</f>
        <v xml:space="preserve">  </v>
      </c>
      <c r="C55" s="160"/>
      <c r="D55" s="161" t="str">
        <f>IF(NonBudC!F33&gt;0,NonBudC!F33,"  ")</f>
        <v xml:space="preserve">  </v>
      </c>
      <c r="E55" s="721"/>
      <c r="F55" s="721"/>
      <c r="G55" s="724"/>
    </row>
    <row r="56" spans="2:7" ht="16.5" thickBot="1">
      <c r="B56" s="159" t="str">
        <f>IF(inputPrYr!$B75&gt;"  ",(NonBudD!$A3),"  ")</f>
        <v xml:space="preserve">  </v>
      </c>
      <c r="C56" s="162"/>
      <c r="D56" s="161" t="str">
        <f>IF(NonBudD!F33&gt;0,NonBudD!F33,"  ")</f>
        <v xml:space="preserve">  </v>
      </c>
      <c r="E56" s="725"/>
      <c r="F56" s="725"/>
      <c r="G56" s="726"/>
    </row>
    <row r="57" spans="2:7">
      <c r="B57" s="409" t="s">
        <v>774</v>
      </c>
      <c r="C57" s="93"/>
      <c r="D57" s="259" t="s">
        <v>95</v>
      </c>
      <c r="E57" s="727">
        <f>SUM(E20:E56)</f>
        <v>11468921</v>
      </c>
      <c r="F57" s="727">
        <f>SUM(F20:F56)</f>
        <v>761482</v>
      </c>
      <c r="G57" s="728" t="str">
        <f>IF(SUM(G20:G56)=0,"",SUM(G20:G56))</f>
        <v/>
      </c>
    </row>
    <row r="58" spans="2:7">
      <c r="B58" s="164" t="s">
        <v>336</v>
      </c>
      <c r="C58" s="165"/>
      <c r="D58" s="166"/>
      <c r="E58" s="167"/>
      <c r="F58" s="168" t="str">
        <f>IF(F57&gt;computation!J40,"Yes","No")</f>
        <v>No</v>
      </c>
      <c r="G58" s="436" t="s">
        <v>237</v>
      </c>
    </row>
    <row r="59" spans="2:7">
      <c r="B59" s="150" t="s">
        <v>335</v>
      </c>
      <c r="C59" s="93"/>
      <c r="D59" s="151">
        <f>summ!D70</f>
        <v>21</v>
      </c>
      <c r="E59" s="47"/>
      <c r="F59" s="47"/>
      <c r="G59" s="534"/>
    </row>
    <row r="60" spans="2:7">
      <c r="B60" s="150" t="s">
        <v>13</v>
      </c>
      <c r="C60" s="93"/>
      <c r="D60" s="151">
        <f>IF(nhood!C39&gt;0,nhood!C39,"")</f>
        <v>22</v>
      </c>
      <c r="E60" s="47"/>
      <c r="F60" s="47"/>
      <c r="G60" s="768" t="str">
        <f>CONCATENATE("Nov 1, ",I1-1," Total Assessed Valuation")</f>
        <v>Nov 1, 2013 Total Assessed Valuation</v>
      </c>
    </row>
    <row r="61" spans="2:7">
      <c r="B61" s="107" t="s">
        <v>96</v>
      </c>
      <c r="C61" s="76"/>
      <c r="D61" s="76"/>
      <c r="E61" s="76"/>
      <c r="F61" s="76"/>
      <c r="G61" s="769"/>
    </row>
    <row r="62" spans="2:7">
      <c r="B62" s="352"/>
      <c r="C62" s="76"/>
      <c r="D62" s="47"/>
      <c r="E62" s="289"/>
      <c r="F62" s="76"/>
      <c r="G62" s="76"/>
    </row>
    <row r="63" spans="2:7">
      <c r="B63" s="353"/>
      <c r="C63" s="76"/>
      <c r="D63" s="77" t="s">
        <v>945</v>
      </c>
      <c r="E63" s="289"/>
      <c r="F63" s="76"/>
      <c r="G63" s="76"/>
    </row>
    <row r="64" spans="2:7">
      <c r="B64" s="107" t="s">
        <v>250</v>
      </c>
      <c r="C64" s="47"/>
      <c r="D64" s="75"/>
      <c r="E64" s="289"/>
      <c r="F64" s="76"/>
      <c r="G64" s="76"/>
    </row>
    <row r="65" spans="2:7">
      <c r="B65" s="352"/>
      <c r="C65" s="76"/>
      <c r="D65" s="76" t="s">
        <v>946</v>
      </c>
      <c r="E65" s="289"/>
      <c r="F65" s="289"/>
      <c r="G65" s="289"/>
    </row>
    <row r="66" spans="2:7">
      <c r="B66" s="353"/>
      <c r="C66" s="169"/>
      <c r="D66" s="76"/>
      <c r="E66" s="76"/>
      <c r="F66" s="711"/>
      <c r="G66" s="711"/>
    </row>
    <row r="67" spans="2:7">
      <c r="B67" s="76" t="s">
        <v>947</v>
      </c>
      <c r="C67" s="169"/>
      <c r="D67" s="76" t="s">
        <v>946</v>
      </c>
      <c r="E67" s="76"/>
      <c r="F67" s="712"/>
      <c r="G67" s="712"/>
    </row>
    <row r="68" spans="2:7">
      <c r="B68" s="353"/>
      <c r="C68" s="170"/>
      <c r="D68" s="76"/>
      <c r="E68" s="76"/>
      <c r="F68" s="98"/>
      <c r="G68" s="98"/>
    </row>
    <row r="69" spans="2:7">
      <c r="B69" s="564" t="s">
        <v>5</v>
      </c>
      <c r="C69" s="171">
        <f>I1-1</f>
        <v>2013</v>
      </c>
      <c r="D69" s="76" t="s">
        <v>946</v>
      </c>
      <c r="E69" s="76"/>
      <c r="F69" s="712"/>
      <c r="G69" s="712"/>
    </row>
    <row r="70" spans="2:7">
      <c r="B70" s="289"/>
      <c r="C70" s="171"/>
      <c r="D70" s="76"/>
      <c r="E70" s="76"/>
      <c r="F70" s="138"/>
      <c r="G70" s="47"/>
    </row>
    <row r="71" spans="2:7">
      <c r="B71" s="565"/>
      <c r="C71" s="47"/>
      <c r="D71" s="76" t="s">
        <v>946</v>
      </c>
      <c r="E71" s="76"/>
      <c r="F71" s="76"/>
      <c r="G71" s="76"/>
    </row>
    <row r="72" spans="2:7">
      <c r="B72" s="137" t="s">
        <v>98</v>
      </c>
      <c r="C72" s="47"/>
      <c r="D72" s="766" t="s">
        <v>97</v>
      </c>
      <c r="E72" s="767"/>
      <c r="F72" s="767"/>
      <c r="G72" s="767"/>
    </row>
    <row r="73" spans="2:7">
      <c r="B73" s="32"/>
    </row>
    <row r="83" spans="2:7" ht="15">
      <c r="B83" s="106"/>
      <c r="C83" s="106"/>
      <c r="D83" s="106"/>
      <c r="E83" s="106"/>
      <c r="F83" s="106"/>
      <c r="G83" s="106"/>
    </row>
    <row r="84" spans="2:7" ht="15">
      <c r="B84" s="106"/>
      <c r="C84" s="106"/>
      <c r="D84" s="106"/>
      <c r="E84" s="106"/>
      <c r="F84" s="106"/>
      <c r="G84" s="106"/>
    </row>
    <row r="85" spans="2:7" ht="15">
      <c r="B85" s="106"/>
      <c r="C85" s="106"/>
      <c r="D85" s="106"/>
      <c r="E85" s="106"/>
      <c r="F85" s="106"/>
      <c r="G85" s="106"/>
    </row>
    <row r="86" spans="2:7" ht="15">
      <c r="B86" s="106"/>
      <c r="C86" s="106"/>
      <c r="D86" s="106"/>
      <c r="E86" s="106"/>
      <c r="F86" s="106"/>
      <c r="G86" s="106"/>
    </row>
    <row r="87" spans="2:7" ht="15">
      <c r="B87" s="106"/>
      <c r="C87" s="106"/>
      <c r="D87" s="106"/>
      <c r="E87" s="106"/>
      <c r="F87" s="106"/>
      <c r="G87" s="106"/>
    </row>
    <row r="88" spans="2:7" ht="15">
      <c r="B88" s="106"/>
      <c r="C88" s="106"/>
      <c r="D88" s="106"/>
      <c r="E88" s="106"/>
      <c r="F88" s="106"/>
      <c r="G88" s="106"/>
    </row>
    <row r="89" spans="2:7" ht="15">
      <c r="B89" s="106"/>
      <c r="C89" s="106"/>
      <c r="D89" s="106"/>
      <c r="E89" s="106"/>
      <c r="F89" s="106"/>
      <c r="G89" s="106"/>
    </row>
    <row r="90" spans="2:7" ht="15">
      <c r="B90" s="106"/>
      <c r="C90" s="106"/>
      <c r="D90" s="106"/>
      <c r="E90" s="106"/>
      <c r="F90" s="106"/>
      <c r="G90" s="106"/>
    </row>
    <row r="91" spans="2:7" ht="15">
      <c r="B91" s="106"/>
      <c r="C91" s="106"/>
      <c r="D91" s="106"/>
      <c r="E91" s="106"/>
      <c r="F91" s="106"/>
      <c r="G91" s="106"/>
    </row>
    <row r="92" spans="2:7" ht="15">
      <c r="B92" s="106"/>
      <c r="C92" s="106"/>
      <c r="D92" s="106"/>
      <c r="E92" s="106"/>
      <c r="F92" s="106"/>
      <c r="G92" s="106"/>
    </row>
    <row r="93" spans="2:7" ht="15">
      <c r="B93" s="106"/>
      <c r="C93" s="106"/>
      <c r="D93" s="106"/>
      <c r="E93" s="106"/>
      <c r="F93" s="106"/>
      <c r="G93" s="106"/>
    </row>
    <row r="94" spans="2:7" ht="15">
      <c r="B94" s="106"/>
      <c r="C94" s="106"/>
      <c r="D94" s="106"/>
      <c r="E94" s="106"/>
      <c r="F94" s="106"/>
      <c r="G94" s="106"/>
    </row>
    <row r="95" spans="2:7" ht="15">
      <c r="B95" s="106"/>
      <c r="C95" s="106"/>
      <c r="D95" s="106"/>
      <c r="E95" s="106"/>
      <c r="F95" s="106"/>
      <c r="G95" s="106"/>
    </row>
    <row r="96" spans="2:7" ht="15">
      <c r="B96" s="106"/>
      <c r="C96" s="106"/>
      <c r="D96" s="106"/>
      <c r="E96" s="106"/>
      <c r="F96" s="106"/>
      <c r="G96" s="106"/>
    </row>
    <row r="97" spans="2:7" ht="15">
      <c r="B97" s="106"/>
      <c r="C97" s="106"/>
      <c r="D97" s="106"/>
      <c r="E97" s="106"/>
      <c r="F97" s="106"/>
      <c r="G97" s="106"/>
    </row>
    <row r="98" spans="2:7" ht="15">
      <c r="B98" s="106"/>
      <c r="C98" s="106"/>
      <c r="D98" s="106"/>
      <c r="E98" s="106"/>
      <c r="F98" s="106"/>
      <c r="G98" s="106"/>
    </row>
    <row r="101" spans="2:7">
      <c r="B101" s="32"/>
      <c r="C101" s="32"/>
      <c r="D101" s="32"/>
      <c r="E101" s="32"/>
      <c r="F101" s="32"/>
      <c r="G101" s="32"/>
    </row>
  </sheetData>
  <mergeCells count="4">
    <mergeCell ref="B4:G4"/>
    <mergeCell ref="B2:G2"/>
    <mergeCell ref="D72:G72"/>
    <mergeCell ref="G60:G61"/>
  </mergeCells>
  <phoneticPr fontId="0" type="noConversion"/>
  <pageMargins left="1" right="0.5" top="0.5" bottom="0.5" header="0.25" footer="0.25"/>
  <pageSetup scale="63" orientation="portrait" blackAndWhite="1" r:id="rId1"/>
  <headerFooter alignWithMargins="0">
    <oddHeader xml:space="preserve">&amp;RState of Kansas
City
</oddHeader>
    <oddFooter>&amp;C   Page No. 1</oddFooter>
  </headerFooter>
</worksheet>
</file>

<file path=xl/worksheets/sheet50.xml><?xml version="1.0" encoding="utf-8"?>
<worksheet xmlns="http://schemas.openxmlformats.org/spreadsheetml/2006/main" xmlns:r="http://schemas.openxmlformats.org/officeDocument/2006/relationships">
  <dimension ref="A1"/>
  <sheetViews>
    <sheetView tabSelected="1" workbookViewId="0"/>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pageSetUpPr fitToPage="1"/>
  </sheetPr>
  <dimension ref="A1:J44"/>
  <sheetViews>
    <sheetView topLeftCell="B1" zoomScale="85" workbookViewId="0">
      <selection activeCell="J40" sqref="J40"/>
    </sheetView>
  </sheetViews>
  <sheetFormatPr defaultRowHeight="15.95" customHeight="1"/>
  <cols>
    <col min="1" max="2" width="3.33203125" style="32" customWidth="1"/>
    <col min="3" max="3" width="31.33203125" style="32" customWidth="1"/>
    <col min="4" max="4" width="2.33203125" style="32" customWidth="1"/>
    <col min="5" max="5" width="15.77734375" style="32" customWidth="1"/>
    <col min="6" max="6" width="2" style="32" customWidth="1"/>
    <col min="7" max="7" width="15.77734375" style="32" customWidth="1"/>
    <col min="8" max="8" width="1.88671875" style="32" customWidth="1"/>
    <col min="9" max="9" width="1.77734375" style="32" customWidth="1"/>
    <col min="10" max="10" width="15.77734375" style="32" customWidth="1"/>
    <col min="11" max="16384" width="8.88671875" style="32"/>
  </cols>
  <sheetData>
    <row r="1" spans="1:10" ht="15.95" customHeight="1">
      <c r="A1" s="173"/>
      <c r="B1" s="173"/>
      <c r="C1" s="174" t="str">
        <f>inputPrYr!D2</f>
        <v>City of Garnett</v>
      </c>
      <c r="D1" s="173"/>
      <c r="E1" s="173"/>
      <c r="F1" s="173"/>
      <c r="G1" s="173"/>
      <c r="H1" s="173"/>
      <c r="I1" s="173"/>
      <c r="J1" s="173">
        <f>inputPrYr!C5</f>
        <v>2014</v>
      </c>
    </row>
    <row r="2" spans="1:10" ht="15.95" customHeight="1">
      <c r="A2" s="173"/>
      <c r="B2" s="173"/>
      <c r="C2" s="173"/>
      <c r="D2" s="173"/>
      <c r="E2" s="173"/>
      <c r="F2" s="173"/>
      <c r="G2" s="173"/>
      <c r="H2" s="173"/>
      <c r="I2" s="173"/>
      <c r="J2" s="173"/>
    </row>
    <row r="3" spans="1:10" ht="15.75">
      <c r="A3" s="771" t="str">
        <f>CONCATENATE("Computation to Determine Limit for ",J1,"")</f>
        <v>Computation to Determine Limit for 2014</v>
      </c>
      <c r="B3" s="772"/>
      <c r="C3" s="772"/>
      <c r="D3" s="772"/>
      <c r="E3" s="772"/>
      <c r="F3" s="772"/>
      <c r="G3" s="772"/>
      <c r="H3" s="772"/>
      <c r="I3" s="772"/>
      <c r="J3" s="772"/>
    </row>
    <row r="4" spans="1:10" ht="15.75">
      <c r="A4" s="173"/>
      <c r="B4" s="173"/>
      <c r="C4" s="173"/>
      <c r="D4" s="173"/>
      <c r="E4" s="772"/>
      <c r="F4" s="772"/>
      <c r="G4" s="772"/>
      <c r="H4" s="175"/>
      <c r="I4" s="173"/>
      <c r="J4" s="176" t="s">
        <v>181</v>
      </c>
    </row>
    <row r="5" spans="1:10" ht="15.75">
      <c r="A5" s="177" t="s">
        <v>182</v>
      </c>
      <c r="B5" s="173" t="str">
        <f>CONCATENATE("Total Tax Levy Amount in ",J1-1," Budget")</f>
        <v>Total Tax Levy Amount in 2013 Budget</v>
      </c>
      <c r="C5" s="173"/>
      <c r="D5" s="173"/>
      <c r="E5" s="178"/>
      <c r="F5" s="178"/>
      <c r="G5" s="178"/>
      <c r="H5" s="179" t="s">
        <v>183</v>
      </c>
      <c r="I5" s="178" t="s">
        <v>184</v>
      </c>
      <c r="J5" s="180">
        <f>inputPrYr!E31</f>
        <v>774336</v>
      </c>
    </row>
    <row r="6" spans="1:10" ht="15.75">
      <c r="A6" s="177" t="s">
        <v>185</v>
      </c>
      <c r="B6" s="173" t="str">
        <f>CONCATENATE("Debt Service Levy in ",J1-1," Budget")</f>
        <v>Debt Service Levy in 2013 Budget</v>
      </c>
      <c r="C6" s="173"/>
      <c r="D6" s="173"/>
      <c r="E6" s="178"/>
      <c r="F6" s="178"/>
      <c r="G6" s="178"/>
      <c r="H6" s="179" t="s">
        <v>186</v>
      </c>
      <c r="I6" s="178" t="s">
        <v>184</v>
      </c>
      <c r="J6" s="181">
        <f>inputPrYr!E18</f>
        <v>37151</v>
      </c>
    </row>
    <row r="7" spans="1:10" ht="15.75">
      <c r="A7" s="177" t="s">
        <v>213</v>
      </c>
      <c r="B7" s="182" t="s">
        <v>210</v>
      </c>
      <c r="C7" s="173"/>
      <c r="D7" s="173"/>
      <c r="E7" s="178"/>
      <c r="F7" s="178"/>
      <c r="G7" s="178"/>
      <c r="H7" s="178"/>
      <c r="I7" s="178" t="s">
        <v>184</v>
      </c>
      <c r="J7" s="183">
        <f>J5-J6</f>
        <v>737185</v>
      </c>
    </row>
    <row r="8" spans="1:10" ht="15.75">
      <c r="A8" s="173"/>
      <c r="B8" s="173"/>
      <c r="C8" s="173"/>
      <c r="D8" s="173"/>
      <c r="E8" s="178"/>
      <c r="F8" s="178"/>
      <c r="G8" s="178"/>
      <c r="H8" s="178"/>
      <c r="I8" s="178"/>
      <c r="J8" s="178"/>
    </row>
    <row r="9" spans="1:10" ht="15.75">
      <c r="A9" s="173"/>
      <c r="B9" s="182" t="str">
        <f>CONCATENATE("",J1-1," Valuation Information for Valuation Adjustments:")</f>
        <v>2013 Valuation Information for Valuation Adjustments:</v>
      </c>
      <c r="C9" s="173"/>
      <c r="D9" s="173"/>
      <c r="E9" s="178"/>
      <c r="F9" s="178"/>
      <c r="G9" s="178"/>
      <c r="H9" s="178"/>
      <c r="I9" s="178"/>
      <c r="J9" s="178"/>
    </row>
    <row r="10" spans="1:10" ht="15.75">
      <c r="A10" s="173"/>
      <c r="B10" s="173"/>
      <c r="C10" s="182"/>
      <c r="D10" s="173"/>
      <c r="E10" s="178"/>
      <c r="F10" s="178"/>
      <c r="G10" s="178"/>
      <c r="H10" s="178"/>
      <c r="I10" s="178"/>
      <c r="J10" s="178"/>
    </row>
    <row r="11" spans="1:10" ht="15.75">
      <c r="A11" s="177" t="s">
        <v>187</v>
      </c>
      <c r="B11" s="182" t="str">
        <f>CONCATENATE("New Improvements for ",J1-1,":")</f>
        <v>New Improvements for 2013:</v>
      </c>
      <c r="C11" s="173"/>
      <c r="D11" s="173"/>
      <c r="E11" s="179"/>
      <c r="F11" s="179" t="s">
        <v>183</v>
      </c>
      <c r="G11" s="184">
        <f>inputOth!E8</f>
        <v>38369</v>
      </c>
      <c r="H11" s="185"/>
      <c r="I11" s="178"/>
      <c r="J11" s="178"/>
    </row>
    <row r="12" spans="1:10" ht="15.75">
      <c r="A12" s="177"/>
      <c r="B12" s="186"/>
      <c r="C12" s="173"/>
      <c r="D12" s="173"/>
      <c r="E12" s="179"/>
      <c r="F12" s="179"/>
      <c r="G12" s="185"/>
      <c r="H12" s="185"/>
      <c r="I12" s="178"/>
      <c r="J12" s="178"/>
    </row>
    <row r="13" spans="1:10" ht="15.75">
      <c r="A13" s="177" t="s">
        <v>188</v>
      </c>
      <c r="B13" s="182" t="str">
        <f>CONCATENATE("Increase in Personal Property for ",J1-1,":")</f>
        <v>Increase in Personal Property for 2013:</v>
      </c>
      <c r="C13" s="173"/>
      <c r="D13" s="173"/>
      <c r="E13" s="179"/>
      <c r="F13" s="179"/>
      <c r="G13" s="185"/>
      <c r="H13" s="185"/>
      <c r="I13" s="178"/>
      <c r="J13" s="178"/>
    </row>
    <row r="14" spans="1:10" ht="15.75">
      <c r="A14" s="187"/>
      <c r="B14" s="173" t="s">
        <v>189</v>
      </c>
      <c r="C14" s="173" t="str">
        <f>CONCATENATE("Personal Property ",J1-1,"")</f>
        <v>Personal Property 2013</v>
      </c>
      <c r="D14" s="186" t="s">
        <v>183</v>
      </c>
      <c r="E14" s="184">
        <f>inputOth!E9</f>
        <v>638039</v>
      </c>
      <c r="F14" s="179"/>
      <c r="G14" s="178"/>
      <c r="H14" s="178"/>
      <c r="I14" s="185"/>
      <c r="J14" s="178"/>
    </row>
    <row r="15" spans="1:10" ht="15.75">
      <c r="A15" s="186"/>
      <c r="B15" s="173" t="s">
        <v>190</v>
      </c>
      <c r="C15" s="173" t="str">
        <f>CONCATENATE("Personal Property ",J1-2,"")</f>
        <v>Personal Property 2012</v>
      </c>
      <c r="D15" s="186" t="s">
        <v>186</v>
      </c>
      <c r="E15" s="188">
        <f>inputOth!E15</f>
        <v>0</v>
      </c>
      <c r="F15" s="179"/>
      <c r="G15" s="185"/>
      <c r="H15" s="185"/>
      <c r="I15" s="178"/>
      <c r="J15" s="178"/>
    </row>
    <row r="16" spans="1:10" ht="15.75">
      <c r="A16" s="186"/>
      <c r="B16" s="173" t="s">
        <v>191</v>
      </c>
      <c r="C16" s="173" t="s">
        <v>212</v>
      </c>
      <c r="D16" s="173"/>
      <c r="E16" s="178"/>
      <c r="F16" s="178" t="s">
        <v>183</v>
      </c>
      <c r="G16" s="180">
        <f>IF(E14&gt;E15,E14-E15,0)</f>
        <v>638039</v>
      </c>
      <c r="H16" s="185"/>
      <c r="I16" s="178"/>
      <c r="J16" s="178"/>
    </row>
    <row r="17" spans="1:10" ht="15.75">
      <c r="A17" s="186"/>
      <c r="B17" s="186"/>
      <c r="C17" s="173"/>
      <c r="D17" s="173"/>
      <c r="E17" s="178"/>
      <c r="F17" s="178"/>
      <c r="G17" s="185" t="s">
        <v>204</v>
      </c>
      <c r="H17" s="185"/>
      <c r="I17" s="178"/>
      <c r="J17" s="178"/>
    </row>
    <row r="18" spans="1:10" ht="15.75">
      <c r="A18" s="186" t="s">
        <v>192</v>
      </c>
      <c r="B18" s="182" t="str">
        <f>CONCATENATE("Valuation of annexed territory for ",J1-1,"")</f>
        <v>Valuation of annexed territory for 2013</v>
      </c>
      <c r="C18" s="173"/>
      <c r="D18" s="173"/>
      <c r="E18" s="185"/>
      <c r="F18" s="178"/>
      <c r="G18" s="178"/>
      <c r="H18" s="178"/>
      <c r="I18" s="178"/>
      <c r="J18" s="178"/>
    </row>
    <row r="19" spans="1:10" ht="15.75">
      <c r="A19" s="186"/>
      <c r="B19" s="173" t="s">
        <v>193</v>
      </c>
      <c r="C19" s="173" t="s">
        <v>214</v>
      </c>
      <c r="D19" s="186" t="s">
        <v>183</v>
      </c>
      <c r="E19" s="184">
        <f>inputOth!E11</f>
        <v>16725453</v>
      </c>
      <c r="F19" s="178"/>
      <c r="G19" s="178"/>
      <c r="H19" s="178"/>
      <c r="I19" s="178"/>
      <c r="J19" s="178"/>
    </row>
    <row r="20" spans="1:10" ht="15.75">
      <c r="A20" s="186"/>
      <c r="B20" s="173" t="s">
        <v>194</v>
      </c>
      <c r="C20" s="173" t="s">
        <v>215</v>
      </c>
      <c r="D20" s="186" t="s">
        <v>183</v>
      </c>
      <c r="E20" s="184">
        <f>inputOth!E12</f>
        <v>442608</v>
      </c>
      <c r="F20" s="178"/>
      <c r="G20" s="185"/>
      <c r="H20" s="185"/>
      <c r="I20" s="178"/>
      <c r="J20" s="178"/>
    </row>
    <row r="21" spans="1:10" ht="15.75">
      <c r="A21" s="186"/>
      <c r="B21" s="173" t="s">
        <v>195</v>
      </c>
      <c r="C21" s="173" t="s">
        <v>211</v>
      </c>
      <c r="D21" s="186" t="s">
        <v>186</v>
      </c>
      <c r="E21" s="184">
        <f>inputOth!E13</f>
        <v>38369</v>
      </c>
      <c r="F21" s="178"/>
      <c r="G21" s="185"/>
      <c r="H21" s="185"/>
      <c r="I21" s="178"/>
      <c r="J21" s="178"/>
    </row>
    <row r="22" spans="1:10" ht="15.75">
      <c r="A22" s="186"/>
      <c r="B22" s="173" t="s">
        <v>196</v>
      </c>
      <c r="C22" s="173" t="s">
        <v>216</v>
      </c>
      <c r="D22" s="186"/>
      <c r="E22" s="185"/>
      <c r="F22" s="178" t="s">
        <v>183</v>
      </c>
      <c r="G22" s="180">
        <f>E19+E20-E21</f>
        <v>17129692</v>
      </c>
      <c r="H22" s="185"/>
      <c r="I22" s="178"/>
      <c r="J22" s="178"/>
    </row>
    <row r="23" spans="1:10" ht="15.75">
      <c r="A23" s="186"/>
      <c r="B23" s="186"/>
      <c r="C23" s="173"/>
      <c r="D23" s="186"/>
      <c r="E23" s="185"/>
      <c r="F23" s="178"/>
      <c r="G23" s="185"/>
      <c r="H23" s="185"/>
      <c r="I23" s="178"/>
      <c r="J23" s="178"/>
    </row>
    <row r="24" spans="1:10" ht="15.75">
      <c r="A24" s="186" t="s">
        <v>197</v>
      </c>
      <c r="B24" s="182" t="str">
        <f>CONCATENATE("Valuation of Property that has Changed in Use during ",J1-1,"")</f>
        <v>Valuation of Property that has Changed in Use during 2013</v>
      </c>
      <c r="C24" s="173"/>
      <c r="D24" s="173"/>
      <c r="E24" s="178"/>
      <c r="F24" s="178"/>
      <c r="G24" s="97">
        <f>inputOth!E14</f>
        <v>530574</v>
      </c>
      <c r="H24" s="178"/>
      <c r="I24" s="178"/>
      <c r="J24" s="178"/>
    </row>
    <row r="25" spans="1:10" ht="15.75">
      <c r="A25" s="173" t="s">
        <v>83</v>
      </c>
      <c r="B25" s="173"/>
      <c r="C25" s="173"/>
      <c r="D25" s="186"/>
      <c r="E25" s="185"/>
      <c r="F25" s="178"/>
      <c r="G25" s="189"/>
      <c r="H25" s="185"/>
      <c r="I25" s="178"/>
      <c r="J25" s="178"/>
    </row>
    <row r="26" spans="1:10" ht="15.75">
      <c r="A26" s="186" t="s">
        <v>198</v>
      </c>
      <c r="B26" s="182" t="s">
        <v>217</v>
      </c>
      <c r="C26" s="173"/>
      <c r="D26" s="173"/>
      <c r="E26" s="178"/>
      <c r="F26" s="178"/>
      <c r="G26" s="180">
        <f>G11+G16+G22+G24</f>
        <v>18336674</v>
      </c>
      <c r="H26" s="185"/>
      <c r="I26" s="178"/>
      <c r="J26" s="178"/>
    </row>
    <row r="27" spans="1:10" ht="15.75">
      <c r="A27" s="186"/>
      <c r="B27" s="186"/>
      <c r="C27" s="182"/>
      <c r="D27" s="173"/>
      <c r="E27" s="178"/>
      <c r="F27" s="178"/>
      <c r="G27" s="185"/>
      <c r="H27" s="185"/>
      <c r="I27" s="178"/>
      <c r="J27" s="178"/>
    </row>
    <row r="28" spans="1:10" ht="15.75">
      <c r="A28" s="186" t="s">
        <v>199</v>
      </c>
      <c r="B28" s="173" t="str">
        <f>CONCATENATE("Total Estimated Valuation July 1,",J1-1,"")</f>
        <v>Total Estimated Valuation July 1,2013</v>
      </c>
      <c r="C28" s="173"/>
      <c r="D28" s="173"/>
      <c r="E28" s="180">
        <f>inputOth!E7</f>
        <v>17806100</v>
      </c>
      <c r="F28" s="178"/>
      <c r="G28" s="178"/>
      <c r="H28" s="178"/>
      <c r="I28" s="179"/>
      <c r="J28" s="178"/>
    </row>
    <row r="29" spans="1:10" ht="15.75">
      <c r="A29" s="186"/>
      <c r="B29" s="186"/>
      <c r="C29" s="173"/>
      <c r="D29" s="173"/>
      <c r="E29" s="185"/>
      <c r="F29" s="178"/>
      <c r="G29" s="178"/>
      <c r="H29" s="178"/>
      <c r="I29" s="179"/>
      <c r="J29" s="178"/>
    </row>
    <row r="30" spans="1:10" ht="15.75">
      <c r="A30" s="186" t="s">
        <v>200</v>
      </c>
      <c r="B30" s="182" t="s">
        <v>218</v>
      </c>
      <c r="C30" s="173"/>
      <c r="D30" s="173"/>
      <c r="E30" s="178"/>
      <c r="F30" s="178"/>
      <c r="G30" s="180">
        <f>E28-G26</f>
        <v>-530574</v>
      </c>
      <c r="H30" s="185"/>
      <c r="I30" s="179"/>
      <c r="J30" s="178"/>
    </row>
    <row r="31" spans="1:10" ht="15.75">
      <c r="A31" s="186"/>
      <c r="B31" s="186"/>
      <c r="C31" s="182"/>
      <c r="D31" s="173"/>
      <c r="E31" s="173"/>
      <c r="F31" s="173"/>
      <c r="G31" s="190"/>
      <c r="H31" s="191"/>
      <c r="I31" s="186"/>
      <c r="J31" s="173"/>
    </row>
    <row r="32" spans="1:10" ht="15.75">
      <c r="A32" s="186" t="s">
        <v>201</v>
      </c>
      <c r="B32" s="173" t="s">
        <v>219</v>
      </c>
      <c r="C32" s="173"/>
      <c r="D32" s="173"/>
      <c r="E32" s="173"/>
      <c r="F32" s="173"/>
      <c r="G32" s="192">
        <f>IF(G30&gt;0,G26/G30,0)</f>
        <v>0</v>
      </c>
      <c r="H32" s="191"/>
      <c r="I32" s="173"/>
      <c r="J32" s="173"/>
    </row>
    <row r="33" spans="1:10" ht="15.75">
      <c r="A33" s="186"/>
      <c r="B33" s="186"/>
      <c r="C33" s="173"/>
      <c r="D33" s="173"/>
      <c r="E33" s="173"/>
      <c r="F33" s="173"/>
      <c r="G33" s="191"/>
      <c r="H33" s="191"/>
      <c r="I33" s="173"/>
      <c r="J33" s="173"/>
    </row>
    <row r="34" spans="1:10" ht="15.75">
      <c r="A34" s="186" t="s">
        <v>202</v>
      </c>
      <c r="B34" s="173" t="s">
        <v>220</v>
      </c>
      <c r="C34" s="173"/>
      <c r="D34" s="173"/>
      <c r="E34" s="173"/>
      <c r="F34" s="173"/>
      <c r="G34" s="191"/>
      <c r="H34" s="193" t="s">
        <v>183</v>
      </c>
      <c r="I34" s="173" t="s">
        <v>184</v>
      </c>
      <c r="J34" s="180">
        <f>ROUND(G32*J7,0)</f>
        <v>0</v>
      </c>
    </row>
    <row r="35" spans="1:10" ht="15.75">
      <c r="A35" s="186"/>
      <c r="B35" s="186"/>
      <c r="C35" s="173"/>
      <c r="D35" s="173"/>
      <c r="E35" s="173"/>
      <c r="F35" s="173"/>
      <c r="G35" s="191"/>
      <c r="H35" s="193"/>
      <c r="I35" s="173"/>
      <c r="J35" s="185"/>
    </row>
    <row r="36" spans="1:10" ht="16.5" thickBot="1">
      <c r="A36" s="186" t="s">
        <v>203</v>
      </c>
      <c r="B36" s="182" t="s">
        <v>226</v>
      </c>
      <c r="C36" s="173"/>
      <c r="D36" s="173"/>
      <c r="E36" s="173"/>
      <c r="F36" s="173"/>
      <c r="G36" s="173"/>
      <c r="H36" s="173"/>
      <c r="I36" s="173" t="s">
        <v>184</v>
      </c>
      <c r="J36" s="194">
        <f>J7+J34</f>
        <v>737185</v>
      </c>
    </row>
    <row r="37" spans="1:10" ht="16.5" thickTop="1">
      <c r="A37" s="173"/>
      <c r="B37" s="173"/>
      <c r="C37" s="173"/>
      <c r="D37" s="173"/>
      <c r="E37" s="173"/>
      <c r="F37" s="173"/>
      <c r="G37" s="173"/>
      <c r="H37" s="173"/>
      <c r="I37" s="173"/>
      <c r="J37" s="173"/>
    </row>
    <row r="38" spans="1:10" ht="15.75">
      <c r="A38" s="186" t="s">
        <v>224</v>
      </c>
      <c r="B38" s="182" t="str">
        <f>CONCATENATE("Debt Service in this ",J1," Budget")</f>
        <v>Debt Service in this 2014 Budget</v>
      </c>
      <c r="C38" s="173"/>
      <c r="D38" s="173"/>
      <c r="E38" s="173"/>
      <c r="F38" s="173"/>
      <c r="G38" s="173"/>
      <c r="H38" s="173"/>
      <c r="I38" s="173"/>
      <c r="J38" s="195">
        <f>'DebtSvs-library page 9'!E41</f>
        <v>43187</v>
      </c>
    </row>
    <row r="39" spans="1:10" ht="15.75">
      <c r="A39" s="186"/>
      <c r="B39" s="182"/>
      <c r="C39" s="173"/>
      <c r="D39" s="173"/>
      <c r="E39" s="173"/>
      <c r="F39" s="173"/>
      <c r="G39" s="173"/>
      <c r="H39" s="173"/>
      <c r="I39" s="173"/>
      <c r="J39" s="191"/>
    </row>
    <row r="40" spans="1:10" ht="16.5" thickBot="1">
      <c r="A40" s="186" t="s">
        <v>225</v>
      </c>
      <c r="B40" s="182" t="s">
        <v>227</v>
      </c>
      <c r="C40" s="173"/>
      <c r="D40" s="173"/>
      <c r="E40" s="173"/>
      <c r="F40" s="173"/>
      <c r="G40" s="173"/>
      <c r="H40" s="173"/>
      <c r="I40" s="173"/>
      <c r="J40" s="194">
        <f>J36+J38</f>
        <v>780372</v>
      </c>
    </row>
    <row r="41" spans="1:10" ht="16.5" thickTop="1">
      <c r="A41" s="173"/>
      <c r="B41" s="173"/>
      <c r="C41" s="173"/>
      <c r="D41" s="173"/>
      <c r="E41" s="173"/>
      <c r="F41" s="173"/>
      <c r="G41" s="173"/>
      <c r="H41" s="173"/>
      <c r="I41" s="173"/>
      <c r="J41" s="173"/>
    </row>
    <row r="42" spans="1:10" s="196" customFormat="1" ht="18.75">
      <c r="A42" s="770" t="str">
        <f>CONCATENATE("If the ",J1," budget includes tax levies exceeding the total on line 15, you must")</f>
        <v>If the 2014 budget includes tax levies exceeding the total on line 15, you must</v>
      </c>
      <c r="B42" s="770"/>
      <c r="C42" s="770"/>
      <c r="D42" s="770"/>
      <c r="E42" s="770"/>
      <c r="F42" s="770"/>
      <c r="G42" s="770"/>
      <c r="H42" s="770"/>
      <c r="I42" s="770"/>
      <c r="J42" s="770"/>
    </row>
    <row r="43" spans="1:10" s="196" customFormat="1" ht="18.75">
      <c r="A43" s="770" t="s">
        <v>295</v>
      </c>
      <c r="B43" s="770"/>
      <c r="C43" s="770"/>
      <c r="D43" s="770"/>
      <c r="E43" s="770"/>
      <c r="F43" s="770"/>
      <c r="G43" s="770"/>
      <c r="H43" s="770"/>
      <c r="I43" s="770"/>
      <c r="J43" s="770"/>
    </row>
    <row r="44" spans="1:10" s="196" customFormat="1" ht="18.75">
      <c r="A44" s="770" t="s">
        <v>296</v>
      </c>
      <c r="B44" s="770"/>
      <c r="C44" s="770"/>
      <c r="D44" s="770"/>
      <c r="E44" s="770"/>
      <c r="F44" s="770"/>
      <c r="G44" s="770"/>
      <c r="H44" s="770"/>
      <c r="I44" s="770"/>
      <c r="J44" s="770"/>
    </row>
  </sheetData>
  <sheetProtection sheet="1"/>
  <mergeCells count="5">
    <mergeCell ref="A42:J42"/>
    <mergeCell ref="A44:J44"/>
    <mergeCell ref="A3:J3"/>
    <mergeCell ref="E4:G4"/>
    <mergeCell ref="A43:J43"/>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H30"/>
  <sheetViews>
    <sheetView workbookViewId="0">
      <selection activeCell="F11" sqref="F11"/>
    </sheetView>
  </sheetViews>
  <sheetFormatPr defaultRowHeight="15.75"/>
  <cols>
    <col min="1" max="1" width="8.88671875" style="45"/>
    <col min="2" max="2" width="17.88671875" style="45" customWidth="1"/>
    <col min="3" max="3" width="16.109375" style="45" customWidth="1"/>
    <col min="4" max="6" width="12.77734375" style="45" customWidth="1"/>
    <col min="7" max="7" width="10.21875" style="45" customWidth="1"/>
    <col min="8" max="16384" width="8.88671875" style="45"/>
  </cols>
  <sheetData>
    <row r="1" spans="1:8">
      <c r="A1" s="710"/>
      <c r="B1" s="197" t="str">
        <f>inputPrYr!D2</f>
        <v>City of Garnett</v>
      </c>
      <c r="C1" s="197"/>
      <c r="D1" s="47"/>
      <c r="E1" s="47"/>
      <c r="F1" s="47"/>
      <c r="G1" s="47">
        <f>inputPrYr!C5</f>
        <v>2014</v>
      </c>
    </row>
    <row r="2" spans="1:8">
      <c r="A2" s="710"/>
      <c r="B2" s="47"/>
      <c r="C2" s="47"/>
      <c r="D2" s="47"/>
      <c r="E2" s="47"/>
      <c r="F2" s="47"/>
      <c r="G2" s="47"/>
    </row>
    <row r="3" spans="1:8">
      <c r="A3" s="710"/>
      <c r="B3" s="773" t="s">
        <v>8</v>
      </c>
      <c r="C3" s="773"/>
      <c r="D3" s="773"/>
      <c r="E3" s="773"/>
      <c r="F3" s="773"/>
      <c r="G3" s="47"/>
    </row>
    <row r="4" spans="1:8">
      <c r="A4" s="710"/>
      <c r="B4" s="47"/>
      <c r="C4" s="198"/>
      <c r="D4" s="198"/>
      <c r="E4" s="198"/>
      <c r="F4" s="47"/>
      <c r="G4" s="76"/>
    </row>
    <row r="5" spans="1:8" ht="21" customHeight="1">
      <c r="A5" s="710"/>
      <c r="B5" s="199" t="s">
        <v>294</v>
      </c>
      <c r="C5" s="144" t="s">
        <v>949</v>
      </c>
      <c r="D5" s="774" t="str">
        <f>CONCATENATE("Allocation for Year ",G1,"")</f>
        <v>Allocation for Year 2014</v>
      </c>
      <c r="E5" s="775"/>
      <c r="F5" s="776"/>
      <c r="G5" s="47"/>
      <c r="H5" s="629"/>
    </row>
    <row r="6" spans="1:8">
      <c r="A6" s="710"/>
      <c r="B6" s="200" t="str">
        <f>CONCATENATE("for ",G1-1,"")</f>
        <v>for 2013</v>
      </c>
      <c r="C6" s="200" t="str">
        <f>CONCATENATE("Amount for ",G1-2,"")</f>
        <v>Amount for 2012</v>
      </c>
      <c r="D6" s="148" t="s">
        <v>177</v>
      </c>
      <c r="E6" s="148" t="s">
        <v>178</v>
      </c>
      <c r="F6" s="148" t="s">
        <v>176</v>
      </c>
      <c r="G6" s="709"/>
    </row>
    <row r="7" spans="1:8">
      <c r="A7" s="710"/>
      <c r="B7" s="87" t="str">
        <f>(inputPrYr!B17)</f>
        <v>General</v>
      </c>
      <c r="C7" s="151">
        <f>(inputPrYr!E17)</f>
        <v>0</v>
      </c>
      <c r="D7" s="151">
        <f>IF(inputPrYr!E17=0,0,D22-SUM(D8:D19))</f>
        <v>0</v>
      </c>
      <c r="E7" s="151">
        <f>IF(inputPrYr!E17=0,0,E23-SUM(E8:E19))</f>
        <v>0</v>
      </c>
      <c r="F7" s="151">
        <f>IF(inputPrYr!E17=0,0,F24-SUM(F8:F19))</f>
        <v>0</v>
      </c>
      <c r="G7" s="710"/>
    </row>
    <row r="8" spans="1:8">
      <c r="A8" s="710"/>
      <c r="B8" s="87" t="str">
        <f>IF(inputPrYr!$B18&gt;"  ",(inputPrYr!$B18),"  ")</f>
        <v>Debt Service</v>
      </c>
      <c r="C8" s="151">
        <f>IF(inputPrYr!$E18&gt;0,(inputPrYr!$E18),"  ")</f>
        <v>37151</v>
      </c>
      <c r="D8" s="151">
        <f>IF(inputPrYr!E18&gt;0,ROUND(C8*$D$26,0),"  ")</f>
        <v>5172</v>
      </c>
      <c r="E8" s="151">
        <f>IF(inputPrYr!E18&gt;0,ROUND(+C8*E$27,0)," ")</f>
        <v>79</v>
      </c>
      <c r="F8" s="151">
        <f>IF(inputPrYr!E18&gt;0,ROUND(C8*F$28,0)," ")</f>
        <v>85</v>
      </c>
      <c r="G8" s="710"/>
    </row>
    <row r="9" spans="1:8">
      <c r="A9" s="710"/>
      <c r="B9" s="87" t="str">
        <f>IF(inputPrYr!$B19&gt;"  ",(inputPrYr!$B19),"  ")</f>
        <v>Library</v>
      </c>
      <c r="C9" s="151">
        <f>IF(inputPrYr!$E19&gt;0,(inputPrYr!$E19),"  ")</f>
        <v>102263</v>
      </c>
      <c r="D9" s="151">
        <f>IF(inputPrYr!E19&gt;0,ROUND(C9*$D$26,0),"  ")</f>
        <v>14238</v>
      </c>
      <c r="E9" s="151">
        <f>IF(inputPrYr!E19&gt;0,ROUND(+C9*E$27,0)," ")</f>
        <v>216</v>
      </c>
      <c r="F9" s="151">
        <f>IF(inputPrYr!E19&gt;0,ROUND(+C9*F$28,0)," ")</f>
        <v>233</v>
      </c>
      <c r="G9" s="710"/>
    </row>
    <row r="10" spans="1:8">
      <c r="A10" s="710"/>
      <c r="B10" s="87" t="str">
        <f>IF(inputPrYr!$B21&gt;"  ",(inputPrYr!$B21),"  ")</f>
        <v>Airport</v>
      </c>
      <c r="C10" s="151">
        <f>IF(inputPrYr!$E21&gt;0,(inputPrYr!$E21),"  ")</f>
        <v>37553</v>
      </c>
      <c r="D10" s="151">
        <f>IF(inputPrYr!E21&gt;0,ROUND(C10*$D$26,0),"  ")</f>
        <v>5228</v>
      </c>
      <c r="E10" s="151">
        <f>IF(inputPrYr!E21&gt;0,ROUND(+C10*E$27,0)," ")</f>
        <v>79</v>
      </c>
      <c r="F10" s="151">
        <f>IF(inputPrYr!E21&gt;0,ROUND(+C10*F$28,0)," ")</f>
        <v>86</v>
      </c>
      <c r="G10" s="710"/>
    </row>
    <row r="11" spans="1:8">
      <c r="A11" s="710"/>
      <c r="B11" s="87" t="str">
        <f>IF(inputPrYr!$B22&gt;"  ",(inputPrYr!$B22),"  ")</f>
        <v>Park</v>
      </c>
      <c r="C11" s="151">
        <f>IF(inputPrYr!$E22&gt;0,(inputPrYr!$E22),"  ")</f>
        <v>100573</v>
      </c>
      <c r="D11" s="151">
        <f>IF(inputPrYr!E22&gt;0,ROUND(C11*$D$26,0),"  ")</f>
        <v>14002</v>
      </c>
      <c r="E11" s="151">
        <f>IF(inputPrYr!E22&gt;0,ROUND(+C11*E$27,0)," ")</f>
        <v>213</v>
      </c>
      <c r="F11" s="151">
        <f>IF(inputPrYr!E22&gt;0,ROUND(+C11*F$28,0)," ")</f>
        <v>229</v>
      </c>
      <c r="G11" s="710"/>
    </row>
    <row r="12" spans="1:8">
      <c r="A12" s="710"/>
      <c r="B12" s="87" t="str">
        <f>IF(inputPrYr!$B23&gt;"  ",(inputPrYr!$B23),"  ")</f>
        <v xml:space="preserve">Recreation </v>
      </c>
      <c r="C12" s="151">
        <f>IF(inputPrYr!$E23&gt;0,(inputPrYr!$E23),"  ")</f>
        <v>67307</v>
      </c>
      <c r="D12" s="151">
        <f>IF(inputPrYr!E23&gt;0,ROUND(C12*$D$26,0),"  ")</f>
        <v>9371</v>
      </c>
      <c r="E12" s="151">
        <f>IF(inputPrYr!E23&gt;0,ROUND(+C12*E$27,0)," ")</f>
        <v>142</v>
      </c>
      <c r="F12" s="151">
        <f>IF(inputPrYr!E23&gt;0,ROUND(+C12*F$28,0)," ")</f>
        <v>153</v>
      </c>
      <c r="G12" s="710"/>
    </row>
    <row r="13" spans="1:8">
      <c r="A13" s="710"/>
      <c r="B13" s="87" t="str">
        <f>IF(inputPrYr!$B24&gt;"  ",(inputPrYr!$B24),"  ")</f>
        <v>Law Enforcement</v>
      </c>
      <c r="C13" s="151">
        <f>IF(inputPrYr!$E24&gt;0,(inputPrYr!$E24),"  ")</f>
        <v>265118</v>
      </c>
      <c r="D13" s="151">
        <f>IF(inputPrYr!E24&gt;0,ROUND(C13*$D$26,0),"  ")</f>
        <v>36911</v>
      </c>
      <c r="E13" s="151">
        <f>IF(inputPrYr!E24&gt;0,ROUND(+C13*E$27,0)," ")</f>
        <v>561</v>
      </c>
      <c r="F13" s="151">
        <f>IF(inputPrYr!E24&gt;0,ROUND(+C13*F$28,0)," ")</f>
        <v>604</v>
      </c>
      <c r="G13" s="710"/>
    </row>
    <row r="14" spans="1:8">
      <c r="A14" s="710"/>
      <c r="B14" s="87" t="str">
        <f>IF(inputPrYr!$B25&gt;"  ",(inputPrYr!$B25),"  ")</f>
        <v>Employee Benefits</v>
      </c>
      <c r="C14" s="151">
        <f>IF(inputPrYr!$E25&gt;0,(inputPrYr!$E25),"  ")</f>
        <v>164371</v>
      </c>
      <c r="D14" s="151">
        <f>IF(inputPrYr!E25&gt;0,ROUND(C14*$D$26,0),"  ")</f>
        <v>22885</v>
      </c>
      <c r="E14" s="151">
        <f>IF(inputPrYr!E25&gt;0,ROUND(+C14*E$27,0)," ")</f>
        <v>348</v>
      </c>
      <c r="F14" s="151">
        <f>IF(inputPrYr!E25&gt;0,ROUND(+C14*F$28,0)," ")</f>
        <v>374</v>
      </c>
      <c r="G14" s="710"/>
    </row>
    <row r="15" spans="1:8">
      <c r="A15" s="710"/>
      <c r="B15" s="87" t="str">
        <f>IF(inputPrYr!$B26&gt;"  ",(inputPrYr!$B26),"  ")</f>
        <v xml:space="preserve">  </v>
      </c>
      <c r="C15" s="151" t="str">
        <f>IF(inputPrYr!$E26&gt;0,(inputPrYr!$E26),"  ")</f>
        <v xml:space="preserve">  </v>
      </c>
      <c r="D15" s="151" t="str">
        <f>IF(inputPrYr!E26&gt;0,ROUND(C15*$D$26,0),"  ")</f>
        <v xml:space="preserve">  </v>
      </c>
      <c r="E15" s="151" t="str">
        <f>IF(inputPrYr!E26&gt;0,ROUND(+C15*E$27,0)," ")</f>
        <v xml:space="preserve"> </v>
      </c>
      <c r="F15" s="151" t="str">
        <f>IF(inputPrYr!E26&gt;0,ROUND(+C15*F$28,0)," ")</f>
        <v xml:space="preserve"> </v>
      </c>
      <c r="G15" s="710"/>
    </row>
    <row r="16" spans="1:8">
      <c r="A16" s="710"/>
      <c r="B16" s="87" t="str">
        <f>IF(inputPrYr!$B27&gt;"  ",(inputPrYr!$B27),"  ")</f>
        <v xml:space="preserve">  </v>
      </c>
      <c r="C16" s="151" t="str">
        <f>IF(inputPrYr!$E27&gt;0,(inputPrYr!$E27),"  ")</f>
        <v xml:space="preserve">  </v>
      </c>
      <c r="D16" s="151" t="str">
        <f>IF(inputPrYr!E27&gt;0,ROUND(C16*$D$26,0),"  ")</f>
        <v xml:space="preserve">  </v>
      </c>
      <c r="E16" s="151" t="str">
        <f>IF(inputPrYr!E27&gt;0,ROUND(+C16*E$27,0)," ")</f>
        <v xml:space="preserve"> </v>
      </c>
      <c r="F16" s="151" t="str">
        <f>IF(inputPrYr!E27&gt;0,ROUND(+C16*F$28,0)," ")</f>
        <v xml:space="preserve"> </v>
      </c>
      <c r="G16" s="710"/>
    </row>
    <row r="17" spans="1:7">
      <c r="A17" s="710"/>
      <c r="B17" s="87" t="str">
        <f>IF(inputPrYr!$B28&gt;"  ",(inputPrYr!$B28),"  ")</f>
        <v xml:space="preserve">  </v>
      </c>
      <c r="C17" s="151" t="str">
        <f>IF(inputPrYr!$E28&gt;0,(inputPrYr!$E28),"  ")</f>
        <v xml:space="preserve">  </v>
      </c>
      <c r="D17" s="151" t="str">
        <f>IF(inputPrYr!E28&gt;0,ROUND(C17*$D$26,0),"  ")</f>
        <v xml:space="preserve">  </v>
      </c>
      <c r="E17" s="151" t="str">
        <f>IF(inputPrYr!E28&gt;0,ROUND(+C17*E$27,0)," ")</f>
        <v xml:space="preserve"> </v>
      </c>
      <c r="F17" s="151" t="str">
        <f>IF(inputPrYr!E28&gt;0,ROUND(+C17*F$28,0)," ")</f>
        <v xml:space="preserve"> </v>
      </c>
      <c r="G17" s="710"/>
    </row>
    <row r="18" spans="1:7">
      <c r="A18" s="710"/>
      <c r="B18" s="87" t="str">
        <f>IF(inputPrYr!$B29&gt;"  ",(inputPrYr!$B29),"  ")</f>
        <v xml:space="preserve">  </v>
      </c>
      <c r="C18" s="151" t="str">
        <f>IF(inputPrYr!$E29&gt;0,(inputPrYr!$E29),"  ")</f>
        <v xml:space="preserve">  </v>
      </c>
      <c r="D18" s="151" t="str">
        <f>IF(inputPrYr!E29&gt;0,ROUND(C18*$D$26,0),"  ")</f>
        <v xml:space="preserve">  </v>
      </c>
      <c r="E18" s="151" t="str">
        <f>IF(inputPrYr!E29&gt;0,ROUND(+C18*E$27,0)," ")</f>
        <v xml:space="preserve"> </v>
      </c>
      <c r="F18" s="151" t="str">
        <f>IF(inputPrYr!E29&gt;0,ROUND(+C18*F$28,0)," ")</f>
        <v xml:space="preserve"> </v>
      </c>
      <c r="G18" s="710"/>
    </row>
    <row r="19" spans="1:7">
      <c r="A19" s="710"/>
      <c r="B19" s="87" t="str">
        <f>IF(inputPrYr!B30&gt;"  ",(inputPrYr!B30),"  ")</f>
        <v xml:space="preserve">  </v>
      </c>
      <c r="C19" s="151" t="str">
        <f>IF(inputPrYr!E30&gt;0,(inputPrYr!E30),"  ")</f>
        <v xml:space="preserve">  </v>
      </c>
      <c r="D19" s="151" t="str">
        <f>IF(inputPrYr!E30&gt;0,ROUND(C19*$D$26,0),"  ")</f>
        <v xml:space="preserve">  </v>
      </c>
      <c r="E19" s="151" t="str">
        <f>IF(inputPrYr!E30&gt;0,ROUND(+C19*E$27,0)," ")</f>
        <v xml:space="preserve"> </v>
      </c>
      <c r="F19" s="151" t="str">
        <f>IF(inputPrYr!E30&gt;0,ROUND(+C19*F$28,0)," ")</f>
        <v xml:space="preserve"> </v>
      </c>
      <c r="G19" s="710"/>
    </row>
    <row r="20" spans="1:7">
      <c r="A20" s="710"/>
      <c r="B20" s="47" t="s">
        <v>101</v>
      </c>
      <c r="C20" s="158">
        <f>SUM(C7:C19)</f>
        <v>774336</v>
      </c>
      <c r="D20" s="158">
        <f>SUM(D7:D19)</f>
        <v>107807</v>
      </c>
      <c r="E20" s="158">
        <f>SUM(E7:E19)</f>
        <v>1638</v>
      </c>
      <c r="F20" s="158">
        <f>SUM(F7:F19)</f>
        <v>1764</v>
      </c>
      <c r="G20" s="47"/>
    </row>
    <row r="21" spans="1:7">
      <c r="A21" s="710"/>
      <c r="B21" s="47"/>
      <c r="C21" s="77"/>
      <c r="D21" s="77"/>
      <c r="E21" s="77"/>
      <c r="F21" s="77"/>
      <c r="G21" s="47"/>
    </row>
    <row r="22" spans="1:7">
      <c r="A22" s="710"/>
      <c r="B22" s="52" t="s">
        <v>102</v>
      </c>
      <c r="C22" s="201"/>
      <c r="D22" s="202">
        <f>(inputOth!E39)</f>
        <v>107807</v>
      </c>
      <c r="E22" s="201"/>
      <c r="F22" s="47"/>
      <c r="G22" s="47"/>
    </row>
    <row r="23" spans="1:7">
      <c r="A23" s="710"/>
      <c r="B23" s="52" t="s">
        <v>103</v>
      </c>
      <c r="C23" s="47"/>
      <c r="D23" s="47"/>
      <c r="E23" s="202">
        <f>(inputOth!E40)</f>
        <v>1639</v>
      </c>
      <c r="F23" s="47"/>
      <c r="G23" s="47"/>
    </row>
    <row r="24" spans="1:7">
      <c r="A24" s="710"/>
      <c r="B24" s="52" t="s">
        <v>179</v>
      </c>
      <c r="C24" s="47"/>
      <c r="D24" s="47"/>
      <c r="E24" s="47"/>
      <c r="F24" s="202">
        <f>inputOth!E41</f>
        <v>1764</v>
      </c>
      <c r="G24" s="47"/>
    </row>
    <row r="25" spans="1:7">
      <c r="A25" s="710"/>
      <c r="B25" s="52"/>
      <c r="C25" s="47"/>
      <c r="D25" s="47"/>
      <c r="E25" s="47"/>
      <c r="F25" s="77"/>
      <c r="G25" s="383"/>
    </row>
    <row r="26" spans="1:7">
      <c r="A26" s="710"/>
      <c r="B26" s="52" t="s">
        <v>104</v>
      </c>
      <c r="C26" s="47"/>
      <c r="D26" s="203">
        <f>IF(C20=0,0,D22/C20)</f>
        <v>0.13922509091660468</v>
      </c>
      <c r="E26" s="47"/>
      <c r="F26" s="47"/>
      <c r="G26" s="47"/>
    </row>
    <row r="27" spans="1:7">
      <c r="A27" s="710"/>
      <c r="B27" s="47"/>
      <c r="C27" s="52" t="s">
        <v>105</v>
      </c>
      <c r="D27" s="47"/>
      <c r="E27" s="203">
        <f>IF(C20=0,0,E23/C20)</f>
        <v>2.1166522026613769E-3</v>
      </c>
      <c r="F27" s="47"/>
      <c r="G27" s="47"/>
    </row>
    <row r="28" spans="1:7">
      <c r="A28" s="710"/>
      <c r="B28" s="47"/>
      <c r="C28" s="47"/>
      <c r="D28" s="52" t="s">
        <v>180</v>
      </c>
      <c r="E28" s="47"/>
      <c r="F28" s="203">
        <f>IF(C20=0,0,F24/C20)</f>
        <v>2.2780808331267048E-3</v>
      </c>
      <c r="G28" s="47"/>
    </row>
    <row r="29" spans="1:7">
      <c r="A29" s="710"/>
      <c r="B29" s="47"/>
      <c r="C29" s="47"/>
      <c r="D29" s="47"/>
      <c r="E29" s="47"/>
      <c r="F29" s="47"/>
      <c r="G29" s="47"/>
    </row>
    <row r="30" spans="1:7">
      <c r="A30" s="710"/>
      <c r="B30" s="68"/>
      <c r="C30" s="68"/>
      <c r="D30" s="68"/>
      <c r="E30" s="68"/>
      <c r="F30" s="68"/>
      <c r="G30" s="68"/>
    </row>
  </sheetData>
  <sheetProtection sheet="1"/>
  <mergeCells count="2">
    <mergeCell ref="B3:F3"/>
    <mergeCell ref="D5:F5"/>
  </mergeCells>
  <phoneticPr fontId="0" type="noConversion"/>
  <pageMargins left="0.5" right="0.5" top="1" bottom="0.5" header="0.5" footer="0.5"/>
  <pageSetup scale="87" orientation="portrait" blackAndWhite="1" r:id="rId1"/>
  <headerFooter alignWithMargins="0">
    <oddHeader xml:space="preserve">&amp;RState of Kansas
City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B1:G36"/>
  <sheetViews>
    <sheetView workbookViewId="0">
      <selection activeCell="G30" sqref="G30"/>
    </sheetView>
  </sheetViews>
  <sheetFormatPr defaultRowHeight="15.75"/>
  <cols>
    <col min="1" max="1" width="4.21875" style="32" customWidth="1"/>
    <col min="2" max="3" width="17.77734375" style="32" customWidth="1"/>
    <col min="4" max="7" width="12.77734375" style="32" customWidth="1"/>
    <col min="8" max="16384" width="8.88671875" style="32"/>
  </cols>
  <sheetData>
    <row r="1" spans="2:7">
      <c r="B1" s="174" t="str">
        <f>inputPrYr!D2</f>
        <v>City of Garnett</v>
      </c>
      <c r="C1" s="174"/>
      <c r="D1" s="173"/>
      <c r="E1" s="173"/>
      <c r="F1" s="173"/>
      <c r="G1" s="173">
        <f>inputPrYr!$C$5</f>
        <v>2014</v>
      </c>
    </row>
    <row r="2" spans="2:7">
      <c r="B2" s="173"/>
      <c r="C2" s="173"/>
      <c r="D2" s="173"/>
      <c r="E2" s="173"/>
      <c r="F2" s="173"/>
      <c r="G2" s="173"/>
    </row>
    <row r="3" spans="2:7">
      <c r="B3" s="777" t="s">
        <v>233</v>
      </c>
      <c r="C3" s="777"/>
      <c r="D3" s="777"/>
      <c r="E3" s="777"/>
      <c r="F3" s="777"/>
      <c r="G3" s="777"/>
    </row>
    <row r="4" spans="2:7">
      <c r="B4" s="204"/>
      <c r="C4" s="204"/>
      <c r="D4" s="204"/>
      <c r="E4" s="204"/>
      <c r="F4" s="204"/>
      <c r="G4" s="204"/>
    </row>
    <row r="5" spans="2:7">
      <c r="B5" s="205" t="s">
        <v>660</v>
      </c>
      <c r="C5" s="205" t="s">
        <v>661</v>
      </c>
      <c r="D5" s="205" t="s">
        <v>128</v>
      </c>
      <c r="E5" s="205" t="s">
        <v>247</v>
      </c>
      <c r="F5" s="205" t="s">
        <v>248</v>
      </c>
      <c r="G5" s="205" t="s">
        <v>286</v>
      </c>
    </row>
    <row r="6" spans="2:7">
      <c r="B6" s="206" t="s">
        <v>662</v>
      </c>
      <c r="C6" s="206" t="s">
        <v>663</v>
      </c>
      <c r="D6" s="206" t="s">
        <v>287</v>
      </c>
      <c r="E6" s="206" t="s">
        <v>287</v>
      </c>
      <c r="F6" s="206" t="s">
        <v>287</v>
      </c>
      <c r="G6" s="206" t="s">
        <v>288</v>
      </c>
    </row>
    <row r="7" spans="2:7" ht="15" customHeight="1">
      <c r="B7" s="207" t="s">
        <v>289</v>
      </c>
      <c r="C7" s="207" t="s">
        <v>290</v>
      </c>
      <c r="D7" s="208">
        <f>G1-2</f>
        <v>2012</v>
      </c>
      <c r="E7" s="208">
        <f>G1-1</f>
        <v>2013</v>
      </c>
      <c r="F7" s="208">
        <f>G1</f>
        <v>2014</v>
      </c>
      <c r="G7" s="207" t="s">
        <v>291</v>
      </c>
    </row>
    <row r="8" spans="2:7" ht="14.25" customHeight="1">
      <c r="B8" s="209" t="s">
        <v>1033</v>
      </c>
      <c r="C8" s="209" t="s">
        <v>1097</v>
      </c>
      <c r="D8" s="210">
        <v>11410</v>
      </c>
      <c r="E8" s="210">
        <v>11000</v>
      </c>
      <c r="F8" s="210">
        <v>10500</v>
      </c>
      <c r="G8" s="211" t="s">
        <v>1138</v>
      </c>
    </row>
    <row r="9" spans="2:7" ht="15" customHeight="1">
      <c r="B9" s="212" t="s">
        <v>1136</v>
      </c>
      <c r="C9" s="212" t="s">
        <v>1097</v>
      </c>
      <c r="D9" s="213">
        <v>11410</v>
      </c>
      <c r="E9" s="213">
        <v>11000</v>
      </c>
      <c r="F9" s="213">
        <v>10500</v>
      </c>
      <c r="G9" s="211" t="s">
        <v>1138</v>
      </c>
    </row>
    <row r="10" spans="2:7" ht="15" customHeight="1">
      <c r="B10" s="212" t="s">
        <v>1035</v>
      </c>
      <c r="C10" s="212" t="s">
        <v>1097</v>
      </c>
      <c r="D10" s="213">
        <v>11410</v>
      </c>
      <c r="E10" s="213">
        <v>11000</v>
      </c>
      <c r="F10" s="213">
        <v>10500</v>
      </c>
      <c r="G10" s="211" t="s">
        <v>1138</v>
      </c>
    </row>
    <row r="11" spans="2:7" ht="15" customHeight="1">
      <c r="B11" s="212" t="s">
        <v>1016</v>
      </c>
      <c r="C11" s="212" t="s">
        <v>1097</v>
      </c>
      <c r="D11" s="213">
        <v>6224</v>
      </c>
      <c r="E11" s="213">
        <v>5998</v>
      </c>
      <c r="F11" s="213">
        <v>5773</v>
      </c>
      <c r="G11" s="211" t="s">
        <v>270</v>
      </c>
    </row>
    <row r="12" spans="2:7" ht="15" customHeight="1">
      <c r="B12" s="212" t="s">
        <v>1033</v>
      </c>
      <c r="C12" s="212" t="s">
        <v>1137</v>
      </c>
      <c r="D12" s="213">
        <v>10000</v>
      </c>
      <c r="E12" s="213">
        <v>10000</v>
      </c>
      <c r="F12" s="213">
        <v>15000</v>
      </c>
      <c r="G12" s="211" t="s">
        <v>1139</v>
      </c>
    </row>
    <row r="13" spans="2:7" ht="15" customHeight="1">
      <c r="B13" s="212" t="s">
        <v>1136</v>
      </c>
      <c r="C13" s="212" t="s">
        <v>1137</v>
      </c>
      <c r="D13" s="213">
        <v>10000</v>
      </c>
      <c r="E13" s="213">
        <v>10000</v>
      </c>
      <c r="F13" s="213">
        <v>15000</v>
      </c>
      <c r="G13" s="211" t="s">
        <v>1139</v>
      </c>
    </row>
    <row r="14" spans="2:7" ht="15" customHeight="1">
      <c r="B14" s="212" t="s">
        <v>1035</v>
      </c>
      <c r="C14" s="212" t="s">
        <v>1137</v>
      </c>
      <c r="D14" s="213">
        <v>10000</v>
      </c>
      <c r="E14" s="213">
        <v>10000</v>
      </c>
      <c r="F14" s="213">
        <v>15000</v>
      </c>
      <c r="G14" s="211" t="s">
        <v>1139</v>
      </c>
    </row>
    <row r="15" spans="2:7" ht="15" customHeight="1">
      <c r="B15" s="212" t="s">
        <v>1033</v>
      </c>
      <c r="C15" s="212" t="s">
        <v>1037</v>
      </c>
      <c r="D15" s="213">
        <v>287520</v>
      </c>
      <c r="E15" s="213">
        <v>288138</v>
      </c>
      <c r="F15" s="213">
        <v>291129</v>
      </c>
      <c r="G15" s="211" t="s">
        <v>1138</v>
      </c>
    </row>
    <row r="16" spans="2:7" ht="15" customHeight="1">
      <c r="B16" s="212" t="s">
        <v>1033</v>
      </c>
      <c r="C16" s="212" t="s">
        <v>1038</v>
      </c>
      <c r="D16" s="213">
        <v>0</v>
      </c>
      <c r="E16" s="213">
        <v>20000</v>
      </c>
      <c r="F16" s="213">
        <v>20000</v>
      </c>
      <c r="G16" s="211" t="s">
        <v>1138</v>
      </c>
    </row>
    <row r="17" spans="2:7" ht="15" customHeight="1">
      <c r="B17" s="212" t="s">
        <v>1136</v>
      </c>
      <c r="C17" s="212" t="s">
        <v>1037</v>
      </c>
      <c r="D17" s="213">
        <v>265392</v>
      </c>
      <c r="E17" s="213">
        <v>265974</v>
      </c>
      <c r="F17" s="213">
        <v>268734</v>
      </c>
      <c r="G17" s="211" t="s">
        <v>1138</v>
      </c>
    </row>
    <row r="18" spans="2:7" ht="15" customHeight="1">
      <c r="B18" s="212" t="s">
        <v>1041</v>
      </c>
      <c r="C18" s="212" t="s">
        <v>1039</v>
      </c>
      <c r="D18" s="213">
        <v>25373</v>
      </c>
      <c r="E18" s="213">
        <v>0</v>
      </c>
      <c r="F18" s="213">
        <v>0</v>
      </c>
      <c r="G18" s="211" t="s">
        <v>1138</v>
      </c>
    </row>
    <row r="19" spans="2:7" ht="15" customHeight="1">
      <c r="B19" s="212" t="s">
        <v>1040</v>
      </c>
      <c r="C19" s="212" t="s">
        <v>1039</v>
      </c>
      <c r="D19" s="213">
        <v>0</v>
      </c>
      <c r="E19" s="213">
        <v>20000</v>
      </c>
      <c r="F19" s="213">
        <v>20000</v>
      </c>
      <c r="G19" s="211" t="s">
        <v>1138</v>
      </c>
    </row>
    <row r="20" spans="2:7" ht="15" customHeight="1">
      <c r="B20" s="212" t="s">
        <v>1041</v>
      </c>
      <c r="C20" s="212" t="s">
        <v>1040</v>
      </c>
      <c r="D20" s="213">
        <v>15563</v>
      </c>
      <c r="E20" s="213">
        <v>0</v>
      </c>
      <c r="F20" s="213">
        <v>0</v>
      </c>
      <c r="G20" s="211" t="s">
        <v>1138</v>
      </c>
    </row>
    <row r="21" spans="2:7" ht="15" customHeight="1">
      <c r="B21" s="212" t="s">
        <v>1033</v>
      </c>
      <c r="C21" s="212" t="s">
        <v>76</v>
      </c>
      <c r="D21" s="213">
        <v>0</v>
      </c>
      <c r="E21" s="213">
        <v>188659</v>
      </c>
      <c r="F21" s="213">
        <v>0</v>
      </c>
      <c r="G21" s="211" t="s">
        <v>1138</v>
      </c>
    </row>
    <row r="22" spans="2:7" ht="15" customHeight="1">
      <c r="B22" s="212" t="s">
        <v>1151</v>
      </c>
      <c r="C22" s="212" t="s">
        <v>1137</v>
      </c>
      <c r="D22" s="213">
        <v>0</v>
      </c>
      <c r="E22" s="213">
        <v>0</v>
      </c>
      <c r="F22" s="213">
        <v>20000</v>
      </c>
      <c r="G22" s="211" t="s">
        <v>1152</v>
      </c>
    </row>
    <row r="23" spans="2:7" ht="15" customHeight="1">
      <c r="B23" s="212" t="s">
        <v>1033</v>
      </c>
      <c r="C23" s="212" t="s">
        <v>1016</v>
      </c>
      <c r="D23" s="213">
        <v>74700</v>
      </c>
      <c r="E23" s="213">
        <v>0</v>
      </c>
      <c r="F23" s="213">
        <v>0</v>
      </c>
      <c r="G23" s="211" t="s">
        <v>1153</v>
      </c>
    </row>
    <row r="24" spans="2:7" ht="15" customHeight="1">
      <c r="B24" s="212" t="s">
        <v>1136</v>
      </c>
      <c r="C24" s="212" t="s">
        <v>1016</v>
      </c>
      <c r="D24" s="213">
        <v>75725</v>
      </c>
      <c r="E24" s="213">
        <v>0</v>
      </c>
      <c r="F24" s="213">
        <v>0</v>
      </c>
      <c r="G24" s="211" t="s">
        <v>1153</v>
      </c>
    </row>
    <row r="25" spans="2:7" ht="15" customHeight="1">
      <c r="B25" s="212" t="s">
        <v>1035</v>
      </c>
      <c r="C25" s="212" t="s">
        <v>1016</v>
      </c>
      <c r="D25" s="213">
        <v>16435</v>
      </c>
      <c r="E25" s="213">
        <v>0</v>
      </c>
      <c r="F25" s="213">
        <v>0</v>
      </c>
      <c r="G25" s="211" t="s">
        <v>1153</v>
      </c>
    </row>
    <row r="26" spans="2:7" ht="15" customHeight="1">
      <c r="B26" s="212" t="s">
        <v>1035</v>
      </c>
      <c r="C26" s="212" t="s">
        <v>1038</v>
      </c>
      <c r="D26" s="213">
        <v>15000</v>
      </c>
      <c r="E26" s="213">
        <v>0</v>
      </c>
      <c r="F26" s="213">
        <v>0</v>
      </c>
      <c r="G26" s="211" t="s">
        <v>1138</v>
      </c>
    </row>
    <row r="27" spans="2:7" ht="15" customHeight="1">
      <c r="B27" s="212" t="s">
        <v>1036</v>
      </c>
      <c r="C27" s="212" t="s">
        <v>1016</v>
      </c>
      <c r="D27" s="213">
        <v>6940</v>
      </c>
      <c r="E27" s="213">
        <v>0</v>
      </c>
      <c r="F27" s="213">
        <v>0</v>
      </c>
      <c r="G27" s="211" t="s">
        <v>1153</v>
      </c>
    </row>
    <row r="28" spans="2:7" ht="15" customHeight="1">
      <c r="B28" s="212"/>
      <c r="C28" s="212"/>
      <c r="D28" s="213"/>
      <c r="E28" s="213"/>
      <c r="F28" s="213"/>
      <c r="G28" s="211"/>
    </row>
    <row r="29" spans="2:7" ht="15" customHeight="1">
      <c r="B29" s="212"/>
      <c r="C29" s="212"/>
      <c r="D29" s="213"/>
      <c r="E29" s="213"/>
      <c r="F29" s="213"/>
      <c r="G29" s="211"/>
    </row>
    <row r="30" spans="2:7" ht="15" customHeight="1">
      <c r="B30" s="98"/>
      <c r="C30" s="214" t="s">
        <v>94</v>
      </c>
      <c r="D30" s="215">
        <f>SUM(D8:D29)</f>
        <v>853102</v>
      </c>
      <c r="E30" s="215">
        <f>SUM(E8:E29)</f>
        <v>851769</v>
      </c>
      <c r="F30" s="215">
        <f>SUM(F8:F29)</f>
        <v>702136</v>
      </c>
      <c r="G30" s="216"/>
    </row>
    <row r="31" spans="2:7" ht="15" customHeight="1">
      <c r="B31" s="98"/>
      <c r="C31" s="217" t="s">
        <v>292</v>
      </c>
      <c r="D31" s="156"/>
      <c r="E31" s="218"/>
      <c r="F31" s="218"/>
      <c r="G31" s="216"/>
    </row>
    <row r="32" spans="2:7" ht="15" customHeight="1">
      <c r="B32" s="98"/>
      <c r="C32" s="214" t="s">
        <v>293</v>
      </c>
      <c r="D32" s="215">
        <f>D30</f>
        <v>853102</v>
      </c>
      <c r="E32" s="215">
        <f>SUM(E30-E31)</f>
        <v>851769</v>
      </c>
      <c r="F32" s="215">
        <f>SUM(F30-F31)</f>
        <v>702136</v>
      </c>
      <c r="G32" s="216"/>
    </row>
    <row r="33" spans="2:7" ht="15" customHeight="1">
      <c r="B33" s="98"/>
      <c r="C33" s="98"/>
      <c r="D33" s="98"/>
      <c r="E33" s="98"/>
      <c r="F33" s="98"/>
      <c r="G33" s="98"/>
    </row>
    <row r="34" spans="2:7" ht="15" customHeight="1">
      <c r="B34" s="98"/>
      <c r="C34" s="98"/>
      <c r="D34" s="98"/>
      <c r="E34" s="98"/>
      <c r="F34" s="98"/>
      <c r="G34" s="98"/>
    </row>
    <row r="35" spans="2:7" ht="15" customHeight="1">
      <c r="B35" s="376" t="s">
        <v>659</v>
      </c>
      <c r="C35" s="377" t="str">
        <f>CONCATENATE("Adjustments are required only if the transfer is being made in ",E7," and/or ",F7," from a non-budgeted fund.")</f>
        <v>Adjustments are required only if the transfer is being made in 2013 and/or 2014 from a non-budgeted fund.</v>
      </c>
      <c r="D35" s="98"/>
      <c r="E35" s="98"/>
      <c r="F35" s="98"/>
      <c r="G35" s="98"/>
    </row>
    <row r="36" spans="2:7" ht="15" customHeight="1"/>
  </sheetData>
  <mergeCells count="1">
    <mergeCell ref="B3:G3"/>
  </mergeCells>
  <phoneticPr fontId="9" type="noConversion"/>
  <pageMargins left="0.75" right="0.75" top="1" bottom="1" header="0.5" footer="0.5"/>
  <pageSetup scale="89" orientation="landscape" blackAndWhite="1" r:id="rId1"/>
  <headerFooter alignWithMargins="0">
    <oddHeader>&amp;RState of Kansas
City</oddHeader>
    <oddFooter>&amp;CPage No. 4</oddFooter>
  </headerFooter>
</worksheet>
</file>

<file path=xl/worksheets/sheet9.xml><?xml version="1.0" encoding="utf-8"?>
<worksheet xmlns="http://schemas.openxmlformats.org/spreadsheetml/2006/main" xmlns:r="http://schemas.openxmlformats.org/officeDocument/2006/relationships">
  <dimension ref="A1:A68"/>
  <sheetViews>
    <sheetView workbookViewId="0">
      <selection activeCell="B51" sqref="B51"/>
    </sheetView>
  </sheetViews>
  <sheetFormatPr defaultRowHeight="15"/>
  <cols>
    <col min="1" max="1" width="70.5546875" style="499" customWidth="1"/>
    <col min="2" max="16384" width="8.88671875" style="499"/>
  </cols>
  <sheetData>
    <row r="1" spans="1:1" ht="18.75">
      <c r="A1" s="500" t="s">
        <v>383</v>
      </c>
    </row>
    <row r="2" spans="1:1" ht="18.75">
      <c r="A2" s="500"/>
    </row>
    <row r="3" spans="1:1" ht="18.75">
      <c r="A3" s="500"/>
    </row>
    <row r="4" spans="1:1" ht="51.75" customHeight="1">
      <c r="A4" s="510" t="s">
        <v>756</v>
      </c>
    </row>
    <row r="5" spans="1:1" ht="18.75">
      <c r="A5" s="500"/>
    </row>
    <row r="6" spans="1:1" ht="15.75">
      <c r="A6" s="501"/>
    </row>
    <row r="7" spans="1:1" ht="47.25">
      <c r="A7" s="502" t="s">
        <v>384</v>
      </c>
    </row>
    <row r="8" spans="1:1" ht="15.75">
      <c r="A8" s="501"/>
    </row>
    <row r="9" spans="1:1" ht="15.75">
      <c r="A9" s="501"/>
    </row>
    <row r="10" spans="1:1" ht="63">
      <c r="A10" s="502" t="s">
        <v>385</v>
      </c>
    </row>
    <row r="11" spans="1:1" ht="15.75">
      <c r="A11" s="503"/>
    </row>
    <row r="12" spans="1:1" ht="15.75">
      <c r="A12" s="501"/>
    </row>
    <row r="13" spans="1:1" ht="47.25">
      <c r="A13" s="502" t="s">
        <v>386</v>
      </c>
    </row>
    <row r="14" spans="1:1" ht="15.75">
      <c r="A14" s="503"/>
    </row>
    <row r="15" spans="1:1" ht="15.75">
      <c r="A15" s="501"/>
    </row>
    <row r="16" spans="1:1" ht="47.25">
      <c r="A16" s="502" t="s">
        <v>387</v>
      </c>
    </row>
    <row r="17" spans="1:1" ht="15.75">
      <c r="A17" s="503"/>
    </row>
    <row r="18" spans="1:1" ht="15.75">
      <c r="A18" s="503"/>
    </row>
    <row r="19" spans="1:1" ht="47.25">
      <c r="A19" s="502" t="s">
        <v>388</v>
      </c>
    </row>
    <row r="20" spans="1:1" ht="15.75">
      <c r="A20" s="503"/>
    </row>
    <row r="21" spans="1:1" ht="15.75">
      <c r="A21" s="503"/>
    </row>
    <row r="22" spans="1:1" ht="47.25">
      <c r="A22" s="502" t="s">
        <v>389</v>
      </c>
    </row>
    <row r="23" spans="1:1" ht="15.75">
      <c r="A23" s="503"/>
    </row>
    <row r="24" spans="1:1" ht="15.75">
      <c r="A24" s="503"/>
    </row>
    <row r="25" spans="1:1" ht="31.5">
      <c r="A25" s="502" t="s">
        <v>390</v>
      </c>
    </row>
    <row r="26" spans="1:1" ht="15.75">
      <c r="A26" s="501"/>
    </row>
    <row r="27" spans="1:1" ht="15.75">
      <c r="A27" s="501"/>
    </row>
    <row r="28" spans="1:1" ht="60">
      <c r="A28" s="504" t="s">
        <v>391</v>
      </c>
    </row>
    <row r="29" spans="1:1">
      <c r="A29" s="505"/>
    </row>
    <row r="30" spans="1:1">
      <c r="A30" s="505"/>
    </row>
    <row r="31" spans="1:1" ht="47.25">
      <c r="A31" s="502" t="s">
        <v>392</v>
      </c>
    </row>
    <row r="32" spans="1:1" ht="15.75">
      <c r="A32" s="501"/>
    </row>
    <row r="33" spans="1:1" ht="15.75">
      <c r="A33" s="501"/>
    </row>
    <row r="34" spans="1:1" ht="66.75" customHeight="1">
      <c r="A34" s="509" t="s">
        <v>757</v>
      </c>
    </row>
    <row r="35" spans="1:1" ht="15.75">
      <c r="A35" s="501"/>
    </row>
    <row r="36" spans="1:1" ht="15.75">
      <c r="A36" s="501"/>
    </row>
    <row r="37" spans="1:1" ht="63">
      <c r="A37" s="506" t="s">
        <v>393</v>
      </c>
    </row>
    <row r="38" spans="1:1" ht="15.75">
      <c r="A38" s="503"/>
    </row>
    <row r="39" spans="1:1" ht="15.75">
      <c r="A39" s="501"/>
    </row>
    <row r="40" spans="1:1" ht="63">
      <c r="A40" s="502" t="s">
        <v>394</v>
      </c>
    </row>
    <row r="41" spans="1:1" ht="15.75">
      <c r="A41" s="503"/>
    </row>
    <row r="42" spans="1:1" ht="15.75">
      <c r="A42" s="503"/>
    </row>
    <row r="43" spans="1:1" ht="82.5" customHeight="1">
      <c r="A43" s="498" t="s">
        <v>758</v>
      </c>
    </row>
    <row r="44" spans="1:1" ht="15.75">
      <c r="A44" s="503"/>
    </row>
    <row r="45" spans="1:1" ht="15.75">
      <c r="A45" s="503"/>
    </row>
    <row r="46" spans="1:1" ht="69" customHeight="1">
      <c r="A46" s="498" t="s">
        <v>759</v>
      </c>
    </row>
    <row r="47" spans="1:1" ht="15.75">
      <c r="A47" s="503"/>
    </row>
    <row r="48" spans="1:1" ht="15.75">
      <c r="A48" s="503"/>
    </row>
    <row r="49" spans="1:1" ht="69" customHeight="1">
      <c r="A49" s="498" t="s">
        <v>760</v>
      </c>
    </row>
    <row r="50" spans="1:1" ht="15.75">
      <c r="A50" s="503"/>
    </row>
    <row r="51" spans="1:1" ht="15.75">
      <c r="A51" s="503"/>
    </row>
    <row r="52" spans="1:1" ht="53.25" customHeight="1">
      <c r="A52" s="498" t="s">
        <v>824</v>
      </c>
    </row>
    <row r="53" spans="1:1" ht="15.75">
      <c r="A53" s="503"/>
    </row>
    <row r="54" spans="1:1" ht="15.75">
      <c r="A54" s="503"/>
    </row>
    <row r="55" spans="1:1" ht="63">
      <c r="A55" s="502" t="s">
        <v>395</v>
      </c>
    </row>
    <row r="56" spans="1:1" ht="15.75">
      <c r="A56" s="503"/>
    </row>
    <row r="57" spans="1:1" ht="15.75">
      <c r="A57" s="503"/>
    </row>
    <row r="58" spans="1:1" ht="63">
      <c r="A58" s="502" t="s">
        <v>396</v>
      </c>
    </row>
    <row r="59" spans="1:1" ht="15.75">
      <c r="A59" s="503"/>
    </row>
    <row r="60" spans="1:1" ht="15.75">
      <c r="A60" s="503"/>
    </row>
    <row r="61" spans="1:1" ht="47.25">
      <c r="A61" s="502" t="s">
        <v>397</v>
      </c>
    </row>
    <row r="62" spans="1:1" ht="15.75">
      <c r="A62" s="503"/>
    </row>
    <row r="63" spans="1:1" ht="15.75">
      <c r="A63" s="503"/>
    </row>
    <row r="64" spans="1:1" ht="47.25">
      <c r="A64" s="502" t="s">
        <v>398</v>
      </c>
    </row>
    <row r="65" spans="1:1" ht="15.75">
      <c r="A65" s="503"/>
    </row>
    <row r="66" spans="1:1" ht="15.75">
      <c r="A66" s="503"/>
    </row>
    <row r="67" spans="1:1" ht="78.75">
      <c r="A67" s="502" t="s">
        <v>399</v>
      </c>
    </row>
    <row r="68" spans="1:1">
      <c r="A68" s="507"/>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11</vt:i4>
      </vt:variant>
    </vt:vector>
  </HeadingPairs>
  <TitlesOfParts>
    <vt:vector size="61" baseType="lpstr">
      <vt:lpstr>Instructions</vt:lpstr>
      <vt:lpstr>inputPrYr</vt:lpstr>
      <vt:lpstr>inputOth</vt:lpstr>
      <vt:lpstr>inputBudSum</vt:lpstr>
      <vt:lpstr>cert pg 2</vt:lpstr>
      <vt:lpstr>computation</vt:lpstr>
      <vt:lpstr>mvalloc</vt:lpstr>
      <vt:lpstr>transfers</vt:lpstr>
      <vt:lpstr>TransferStatutes</vt:lpstr>
      <vt:lpstr>debt</vt:lpstr>
      <vt:lpstr>lpform</vt:lpstr>
      <vt:lpstr>Library Grant</vt:lpstr>
      <vt:lpstr>general page 7</vt:lpstr>
      <vt:lpstr>GenDetail</vt:lpstr>
      <vt:lpstr>DebtSvs-library page 9</vt:lpstr>
      <vt:lpstr>Airport_Park page 10</vt:lpstr>
      <vt:lpstr>Rec_Law Enf page11</vt:lpstr>
      <vt:lpstr>Emp Ben page12</vt:lpstr>
      <vt:lpstr>Sp Hiway_State Aid page 13</vt:lpstr>
      <vt:lpstr>SEK_Special Park_Rec page14</vt:lpstr>
      <vt:lpstr>Elec_Water page15</vt:lpstr>
      <vt:lpstr>Gas_Refuse page16</vt:lpstr>
      <vt:lpstr>Capital Out_Comb Util page17</vt:lpstr>
      <vt:lpstr>Econ Dev_PS #1 page18</vt:lpstr>
      <vt:lpstr>PS # 2_Park Plaza N page 19</vt:lpstr>
      <vt:lpstr>Rec Ctr_Comm Dev page 20</vt:lpstr>
      <vt:lpstr>summ</vt:lpstr>
      <vt:lpstr>nhood</vt:lpstr>
      <vt:lpstr>SinNoLevy22</vt:lpstr>
      <vt:lpstr>SinNoLevy23</vt:lpstr>
      <vt:lpstr>SinNoLevy24</vt:lpstr>
      <vt:lpstr>SinNoLevy25</vt:lpstr>
      <vt:lpstr>NonBudA</vt:lpstr>
      <vt:lpstr>NonBudB</vt:lpstr>
      <vt:lpstr>NonBudC</vt:lpstr>
      <vt:lpstr>NonBudD</vt:lpstr>
      <vt:lpstr>NonBudFunds</vt:lpstr>
      <vt:lpstr>ordinance</vt:lpstr>
      <vt:lpstr>Tab A</vt:lpstr>
      <vt:lpstr>Tab B</vt:lpstr>
      <vt:lpstr>Tab C</vt:lpstr>
      <vt:lpstr>Tab D</vt:lpstr>
      <vt:lpstr>Tab E</vt:lpstr>
      <vt:lpstr>Mill Rate Computation</vt:lpstr>
      <vt:lpstr>Helpful Links</vt:lpstr>
      <vt:lpstr>legend</vt:lpstr>
      <vt:lpstr>levy page12</vt:lpstr>
      <vt:lpstr>levy page13</vt:lpstr>
      <vt:lpstr>Signed cert</vt:lpstr>
      <vt:lpstr>Pub</vt:lpstr>
      <vt:lpstr>'Airport_Park page 10'!Print_Area</vt:lpstr>
      <vt:lpstr>'DebtSvs-library page 9'!Print_Area</vt:lpstr>
      <vt:lpstr>'Emp Ben page12'!Print_Area</vt:lpstr>
      <vt:lpstr>'general page 7'!Print_Area</vt:lpstr>
      <vt:lpstr>inputPrYr!Print_Area</vt:lpstr>
      <vt:lpstr>'levy page12'!Print_Area</vt:lpstr>
      <vt:lpstr>'levy page13'!Print_Area</vt:lpstr>
      <vt:lpstr>'Library Grant'!Print_Area</vt:lpstr>
      <vt:lpstr>lpform!Print_Area</vt:lpstr>
      <vt:lpstr>'Rec_Law Enf page11'!Print_Area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2013-10-09T17:14:11Z</cp:lastPrinted>
  <dcterms:created xsi:type="dcterms:W3CDTF">1999-08-03T13:11:47Z</dcterms:created>
  <dcterms:modified xsi:type="dcterms:W3CDTF">2014-01-22T14:49:58Z</dcterms:modified>
</cp:coreProperties>
</file>