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960" windowHeight="10050" tabRatio="90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Detail" sheetId="14" r:id="rId14"/>
    <sheet name="DebtSvs-library" sheetId="15" r:id="rId15"/>
    <sheet name="Ind Dev" sheetId="16" r:id="rId16"/>
    <sheet name="Sp Hwy|Sp Pk" sheetId="17" r:id="rId17"/>
    <sheet name="WT|EL" sheetId="18" r:id="rId18"/>
    <sheet name="SW|TR" sheetId="19" r:id="rId19"/>
    <sheet name="Half % Cap|Tor" sheetId="20" r:id="rId20"/>
    <sheet name="Half % Inf|1% Pool" sheetId="21" r:id="rId21"/>
    <sheet name="NonBudA" sheetId="22" r:id="rId22"/>
    <sheet name="NonBudB" sheetId="23" r:id="rId23"/>
    <sheet name="NonBudC" sheetId="24" r:id="rId24"/>
    <sheet name="NonBudD" sheetId="25" r:id="rId25"/>
    <sheet name="NonBudFunds" sheetId="26" r:id="rId26"/>
    <sheet name="summ" sheetId="27" r:id="rId27"/>
    <sheet name="nhood" sheetId="28" r:id="rId28"/>
    <sheet name="ordinance" sheetId="29" r:id="rId29"/>
    <sheet name="Tab A" sheetId="30" r:id="rId30"/>
    <sheet name="Tab B" sheetId="31" r:id="rId31"/>
    <sheet name="Tab C" sheetId="32" r:id="rId32"/>
    <sheet name="Tab D" sheetId="33" r:id="rId33"/>
    <sheet name="Tab E" sheetId="34" r:id="rId34"/>
    <sheet name="Mill Rate Computation" sheetId="35" r:id="rId35"/>
    <sheet name="Helpful Links" sheetId="36" r:id="rId36"/>
    <sheet name="legend" sheetId="37" r:id="rId37"/>
  </sheets>
  <definedNames>
    <definedName name="_xlnm.Print_Area" localSheetId="14">'DebtSvs-library'!$B$1:$E$83</definedName>
    <definedName name="_xlnm.Print_Area" localSheetId="13">'GenDetail'!$A$1:$D$68</definedName>
    <definedName name="_xlnm.Print_Area" localSheetId="12">'general'!$B$1:$E$120</definedName>
    <definedName name="_xlnm.Print_Area" localSheetId="15">'Ind Dev'!$A$1:$E$81</definedName>
    <definedName name="_xlnm.Print_Area" localSheetId="1">'inputPrYr'!$A$1:$E$125</definedName>
    <definedName name="_xlnm.Print_Area" localSheetId="11">'Library Grant'!$A$1:$J$40</definedName>
    <definedName name="_xlnm.Print_Area" localSheetId="10">'lpform'!$B$1:$I$38</definedName>
    <definedName name="_xlnm.Print_Area" localSheetId="34">'Mill Rate Computation'!#REF!</definedName>
    <definedName name="_xlnm.Print_Area" localSheetId="26">'summ'!$A$1:$H$70</definedName>
  </definedNames>
  <calcPr fullCalcOnLoad="1"/>
</workbook>
</file>

<file path=xl/sharedStrings.xml><?xml version="1.0" encoding="utf-8"?>
<sst xmlns="http://schemas.openxmlformats.org/spreadsheetml/2006/main" count="2064" uniqueCount="1173">
  <si>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</si>
  <si>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</si>
  <si>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</si>
  <si>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</si>
  <si>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</si>
  <si>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</si>
  <si>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</si>
  <si>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</si>
  <si>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</si>
  <si>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</si>
  <si>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</si>
  <si>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</si>
  <si>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</si>
  <si>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</si>
  <si>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</si>
  <si>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</si>
  <si>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</si>
  <si>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</si>
  <si>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</si>
  <si>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</si>
  <si>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</si>
  <si>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</si>
  <si>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</si>
  <si>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</si>
  <si>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</si>
  <si>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</si>
  <si>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</si>
  <si>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</si>
  <si>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</si>
  <si>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</si>
  <si>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</si>
  <si>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</si>
  <si>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</si>
  <si>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</si>
  <si>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</si>
  <si>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</si>
  <si>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</si>
  <si>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</si>
  <si>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</si>
  <si>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</si>
  <si>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</si>
  <si>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</si>
  <si>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</si>
  <si>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</si>
  <si>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</si>
  <si>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</si>
  <si>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</si>
  <si>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</si>
  <si>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</si>
  <si>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</si>
  <si>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</si>
  <si>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</si>
  <si>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</si>
  <si>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</si>
  <si>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</si>
  <si>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</si>
  <si>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</si>
  <si>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</si>
  <si>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</si>
  <si>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</si>
  <si>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</si>
  <si>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</si>
  <si>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</si>
  <si>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</si>
  <si>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</si>
  <si>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</si>
  <si>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</si>
  <si>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</si>
  <si>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</si>
  <si>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</si>
  <si>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</si>
  <si>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</si>
  <si>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</si>
  <si>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</si>
  <si>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</si>
  <si>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</si>
  <si>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</si>
  <si>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</si>
  <si>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</si>
  <si>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</si>
  <si>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</si>
  <si>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</si>
  <si>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</si>
  <si>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</si>
  <si>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</si>
  <si>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</si>
  <si>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</si>
  <si>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</si>
  <si>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</si>
  <si>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</si>
  <si>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</si>
  <si>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</si>
  <si>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</si>
  <si>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</si>
  <si>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</si>
  <si>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</si>
  <si>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</si>
  <si>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</si>
  <si>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</si>
  <si>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</si>
  <si>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</si>
  <si>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</si>
  <si>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</si>
  <si>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</si>
  <si>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</si>
  <si>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</si>
  <si>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</si>
  <si>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</si>
  <si>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</si>
  <si>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</si>
  <si>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</si>
  <si>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</si>
  <si>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</si>
  <si>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</si>
  <si>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</si>
  <si>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</si>
  <si>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</si>
  <si>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</si>
  <si>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</si>
  <si>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</si>
  <si>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</si>
  <si>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</si>
  <si>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</si>
  <si>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</si>
  <si>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</si>
  <si>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</si>
  <si>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</si>
  <si>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</si>
  <si>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</si>
  <si>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</si>
  <si>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</si>
  <si>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</si>
  <si>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</si>
  <si>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</si>
  <si>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</si>
  <si>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</si>
  <si>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</si>
  <si>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</si>
  <si>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</si>
  <si>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</si>
  <si>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</si>
  <si>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</si>
  <si>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</si>
  <si>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</si>
  <si>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</si>
  <si>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</si>
  <si>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</si>
  <si>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</si>
  <si>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</si>
  <si>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</si>
  <si>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</si>
  <si>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</si>
  <si>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</si>
  <si>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</si>
  <si>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</si>
  <si>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</si>
  <si>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</si>
  <si>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</si>
  <si>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</si>
  <si>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</si>
  <si>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</si>
  <si>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</si>
  <si>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</si>
  <si>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</si>
  <si>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</si>
  <si>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</si>
  <si>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</si>
  <si>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</si>
  <si>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</si>
  <si>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</si>
  <si>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</si>
  <si>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</si>
  <si>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</si>
  <si>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</si>
  <si>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</si>
  <si>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</si>
  <si>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</si>
  <si>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</si>
  <si>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</si>
  <si>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</si>
  <si>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</si>
  <si>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</si>
  <si>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</si>
  <si>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</si>
  <si>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</si>
  <si>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</si>
  <si>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</si>
  <si>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</si>
  <si>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</si>
  <si>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</si>
  <si>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</si>
  <si>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</si>
  <si>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</si>
  <si>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</si>
  <si>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</si>
  <si>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</si>
  <si>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</si>
  <si>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</si>
  <si>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</si>
  <si>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</si>
  <si>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</si>
  <si>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</si>
  <si>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</si>
  <si>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</si>
  <si>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</si>
  <si>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</si>
  <si>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</si>
  <si>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</si>
  <si>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</si>
  <si>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</si>
  <si>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</si>
  <si>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</si>
  <si>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</si>
  <si>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</si>
  <si>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</si>
  <si>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</si>
  <si>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</si>
  <si>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</si>
  <si>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</si>
  <si>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</si>
  <si>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</si>
  <si>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</si>
  <si>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</si>
  <si>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</si>
  <si>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</si>
  <si>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</si>
  <si>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</si>
  <si>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</si>
  <si>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</si>
  <si>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</si>
  <si>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</si>
  <si>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</si>
  <si>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</si>
  <si>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</si>
  <si>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</si>
  <si>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</si>
  <si>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</si>
  <si>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</si>
  <si>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</si>
  <si>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</si>
  <si>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</si>
  <si>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</si>
  <si>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</si>
  <si>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</si>
  <si>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</si>
  <si>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</si>
  <si>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</si>
  <si>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</si>
  <si>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</si>
  <si>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</si>
  <si>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</si>
  <si>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</si>
  <si>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</si>
  <si>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</si>
  <si>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</si>
  <si>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</si>
  <si>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</si>
  <si>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</si>
  <si>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</si>
  <si>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</si>
  <si>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</si>
  <si>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</si>
  <si>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</si>
  <si>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</si>
  <si>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</si>
  <si>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</si>
  <si>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</si>
  <si>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</si>
  <si>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</si>
  <si>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</si>
  <si>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</si>
  <si>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</si>
  <si>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</si>
  <si>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</si>
  <si>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</si>
  <si>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</si>
  <si>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</si>
  <si>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</si>
  <si>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</si>
  <si>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</si>
  <si>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</si>
  <si>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</si>
  <si>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</si>
  <si>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</si>
  <si>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</si>
  <si>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</si>
  <si>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</si>
  <si>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</si>
  <si>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</si>
  <si>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</si>
  <si>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</si>
  <si>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</si>
  <si>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</si>
  <si>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</si>
  <si>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</si>
  <si>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</si>
  <si>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</si>
  <si>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</si>
  <si>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</si>
  <si>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</si>
  <si>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</si>
  <si>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</si>
  <si>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</si>
  <si>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</si>
  <si>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</si>
  <si>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</si>
  <si>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</si>
  <si>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</si>
  <si>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</si>
  <si>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</si>
  <si>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</si>
  <si>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</si>
  <si>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</si>
  <si>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</si>
  <si>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</si>
  <si>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</si>
  <si>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</si>
  <si>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</si>
  <si>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</si>
  <si>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</si>
  <si>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</si>
  <si>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</si>
  <si>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</si>
  <si>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</si>
  <si>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</si>
  <si>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</si>
  <si>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</si>
  <si>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</si>
  <si>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</si>
  <si>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</si>
  <si>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</si>
  <si>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</si>
  <si>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</si>
  <si>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</si>
  <si>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</si>
  <si>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</si>
  <si>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</si>
  <si>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</si>
  <si>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</si>
  <si>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</si>
  <si>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</si>
  <si>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</si>
  <si>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</si>
  <si>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</si>
  <si>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</si>
  <si>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</si>
  <si>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</si>
  <si>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</si>
  <si>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</si>
  <si>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</si>
  <si>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</si>
  <si>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</si>
  <si>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</si>
  <si>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</si>
  <si>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</si>
  <si>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</si>
  <si>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</si>
  <si>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</si>
  <si>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</si>
  <si>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</si>
  <si>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</si>
  <si>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</si>
  <si>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</si>
  <si>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</si>
  <si>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</si>
  <si>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</si>
  <si>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</si>
  <si>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</si>
  <si>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</si>
  <si>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</si>
  <si>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</si>
  <si>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</si>
  <si>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</si>
  <si>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</si>
  <si>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</si>
  <si>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</si>
  <si>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</si>
  <si>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</si>
  <si>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</si>
  <si>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</si>
  <si>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</si>
  <si>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</si>
  <si>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</si>
  <si>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</si>
  <si>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</si>
  <si>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</si>
  <si>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</si>
  <si>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</si>
  <si>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</si>
  <si>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</si>
  <si>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</si>
  <si>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</si>
  <si>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</si>
  <si>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</si>
  <si>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</si>
  <si>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</si>
  <si>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</si>
  <si>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</si>
  <si>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</si>
  <si>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</si>
  <si>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</si>
  <si>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</si>
  <si>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</si>
  <si>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</si>
  <si>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</si>
  <si>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</si>
  <si>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</si>
  <si>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</si>
  <si>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</si>
  <si>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</si>
  <si>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</si>
  <si>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</si>
  <si>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</si>
  <si>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</si>
  <si>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</si>
  <si>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</si>
  <si>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</si>
  <si>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</si>
  <si>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</si>
  <si>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</si>
  <si>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</si>
  <si>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</si>
  <si>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</si>
  <si>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</si>
  <si>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</si>
  <si>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</si>
  <si>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</si>
  <si>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</si>
  <si>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</si>
  <si>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</si>
  <si>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</si>
  <si>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</si>
  <si>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</si>
  <si>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</si>
  <si>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</si>
  <si>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</si>
  <si>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</si>
  <si>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</si>
  <si>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</si>
  <si>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</si>
  <si>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</si>
  <si>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</si>
  <si>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</si>
  <si>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</si>
  <si>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</si>
  <si>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</si>
  <si>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</si>
  <si>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</si>
  <si>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</si>
  <si>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</si>
  <si>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</si>
  <si>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</si>
  <si>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</si>
  <si>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</si>
  <si>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</si>
  <si>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</si>
  <si>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</si>
  <si>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</si>
  <si>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</si>
  <si>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</si>
  <si>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</si>
  <si>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</si>
  <si>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</si>
  <si>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</si>
  <si>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</si>
  <si>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</si>
  <si>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</si>
  <si>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</si>
  <si>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</si>
  <si>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</si>
  <si>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</si>
  <si>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</si>
  <si>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</si>
  <si>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</si>
  <si>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</si>
  <si>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</si>
  <si>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</si>
  <si>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</si>
  <si>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</si>
  <si>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</si>
  <si>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</si>
  <si>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</si>
  <si>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</si>
  <si>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</si>
  <si>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</si>
  <si>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</si>
  <si>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</si>
  <si>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</si>
  <si>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</si>
  <si>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</si>
  <si>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</si>
  <si>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</si>
  <si>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</si>
  <si>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</si>
  <si>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</si>
  <si>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</si>
  <si>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</si>
  <si>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</si>
  <si>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</si>
  <si>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</si>
  <si>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</si>
  <si>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</si>
  <si>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</si>
  <si>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</si>
  <si>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</si>
  <si>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</si>
  <si>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</si>
  <si>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</si>
  <si>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</si>
  <si>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</si>
  <si>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</si>
  <si>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</si>
  <si>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</si>
  <si>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</si>
  <si>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</si>
  <si>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</si>
  <si>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</si>
  <si>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</si>
  <si>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</si>
  <si>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</si>
  <si>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</si>
  <si>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</si>
  <si>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</si>
  <si>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</si>
  <si>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</si>
  <si>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</si>
  <si>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</si>
  <si>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</si>
  <si>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</si>
  <si>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</si>
  <si>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</si>
  <si>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</si>
  <si>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</si>
  <si>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</si>
  <si>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</si>
  <si>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</si>
  <si>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</si>
  <si>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</si>
  <si>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</si>
  <si>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</si>
  <si>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</si>
  <si>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</si>
  <si>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</si>
  <si>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</si>
  <si>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</si>
  <si>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</si>
  <si>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</si>
  <si>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</si>
  <si>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</si>
  <si>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</si>
  <si>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</si>
  <si>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</si>
  <si>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</si>
  <si>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</si>
  <si>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</si>
  <si>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</si>
  <si>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</si>
  <si>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</si>
  <si>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</si>
  <si>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</si>
  <si>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</si>
  <si>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</si>
  <si>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</si>
  <si>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</si>
  <si>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</si>
  <si>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</si>
  <si>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</si>
  <si>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</si>
  <si>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</si>
  <si>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</si>
  <si>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</si>
  <si>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</si>
  <si>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</si>
  <si>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</si>
  <si>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</si>
  <si>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</si>
  <si>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</si>
  <si>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</si>
  <si>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</si>
  <si>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</si>
  <si>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</si>
  <si>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</si>
  <si>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</si>
  <si>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</si>
  <si>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</si>
  <si>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</si>
  <si>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</si>
  <si>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</si>
  <si>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</si>
  <si>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</si>
  <si>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</si>
  <si>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</si>
  <si>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</si>
  <si>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</si>
  <si>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</si>
  <si>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</si>
  <si>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</si>
  <si>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</si>
  <si>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</si>
  <si>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</si>
  <si>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</si>
  <si>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</si>
  <si>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</si>
  <si>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</si>
  <si>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</si>
  <si>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</si>
  <si>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</si>
  <si>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</si>
  <si>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</si>
  <si>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</si>
  <si>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</si>
  <si>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</si>
  <si>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</si>
  <si>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</si>
  <si>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</si>
  <si>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</si>
  <si>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</si>
  <si>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</si>
  <si>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</si>
  <si>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</si>
  <si>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</si>
  <si>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</si>
  <si>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</si>
  <si>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</si>
  <si>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</si>
  <si>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</si>
  <si>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</si>
  <si>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</si>
  <si>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</si>
  <si>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</si>
  <si>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</si>
  <si>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</si>
  <si>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</si>
  <si>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</si>
  <si>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</si>
  <si>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</si>
  <si>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</si>
  <si>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</si>
  <si>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</si>
  <si>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</si>
  <si>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</si>
  <si>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</si>
  <si>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</si>
  <si>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</si>
  <si>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</si>
  <si>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</si>
  <si>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</si>
  <si>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</si>
  <si>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</si>
  <si>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</si>
  <si>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</si>
  <si>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</si>
  <si>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</si>
  <si>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</si>
  <si>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</si>
  <si>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</si>
  <si>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</si>
  <si>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</si>
  <si>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</si>
  <si>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</si>
  <si>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</si>
  <si>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</si>
  <si>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</si>
  <si>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</si>
  <si>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</si>
  <si>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</si>
  <si>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</si>
  <si>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</si>
  <si>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</si>
  <si>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</si>
  <si>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</si>
  <si>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</si>
  <si>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</si>
  <si>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</si>
  <si>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</si>
  <si>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</si>
  <si>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</si>
  <si>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</si>
  <si>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</si>
  <si>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</si>
  <si>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</si>
  <si>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</si>
  <si>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</si>
  <si>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</si>
  <si>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</si>
  <si>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</si>
  <si>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</si>
  <si>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</si>
  <si>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</si>
  <si>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</si>
  <si>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</si>
  <si>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</si>
  <si>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</si>
  <si>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</si>
  <si>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</si>
  <si>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</si>
  <si>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</si>
  <si>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</si>
  <si>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</si>
  <si>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</si>
  <si>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</si>
  <si>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</si>
  <si>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</si>
  <si>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</si>
  <si>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</si>
  <si>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</si>
  <si>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</si>
  <si>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</si>
  <si>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</si>
  <si>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</si>
  <si>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</si>
  <si>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</si>
  <si>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</si>
  <si>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</si>
  <si>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</si>
  <si>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</si>
  <si>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</si>
  <si>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</si>
  <si>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</si>
  <si>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</si>
  <si>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</si>
  <si>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</si>
  <si>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</si>
  <si>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</si>
  <si>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</si>
  <si>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</si>
  <si>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</si>
  <si>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</si>
  <si>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</si>
  <si>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</si>
  <si>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</si>
  <si>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</si>
  <si>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</si>
  <si>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</si>
  <si>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</si>
  <si>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</si>
  <si>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</si>
  <si>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</si>
  <si>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</si>
  <si>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</si>
  <si>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</si>
  <si>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</si>
  <si>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</si>
  <si>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</si>
  <si>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</si>
  <si>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</si>
  <si>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</si>
  <si>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</si>
  <si>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</si>
  <si>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</si>
  <si>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</si>
  <si>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</si>
  <si>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</si>
  <si>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</si>
  <si>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</si>
  <si>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</si>
  <si>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</si>
  <si>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</si>
  <si>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</si>
  <si>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</si>
  <si>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</si>
  <si>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</si>
  <si>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Desired Carryover Amount:</t>
  </si>
  <si>
    <t>Estimated Mill Rate Impact:</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</si>
  <si>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</si>
  <si>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</si>
  <si>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</si>
  <si>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</si>
  <si>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</si>
  <si>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</si>
  <si>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</si>
  <si>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</si>
  <si>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</si>
  <si>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</si>
  <si>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</si>
  <si>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</si>
  <si>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</si>
  <si>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</si>
  <si>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</si>
  <si>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</si>
  <si>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</si>
  <si>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</si>
  <si>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</si>
  <si>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</si>
  <si>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</si>
  <si>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</si>
  <si>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</si>
  <si>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</si>
  <si>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</si>
  <si>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</si>
  <si>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</si>
  <si>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</si>
  <si>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</si>
  <si>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</si>
  <si>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</si>
  <si>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</si>
  <si>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</si>
  <si>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</si>
  <si>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</si>
  <si>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</si>
  <si>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</si>
  <si>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</si>
  <si>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</si>
  <si>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</si>
  <si>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</si>
  <si>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</si>
  <si>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</si>
  <si>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</si>
  <si>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</si>
  <si>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</si>
  <si>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</si>
  <si>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The following were changed to this spreadsheet on 6/23/11</t>
  </si>
  <si>
    <t>1. Tabs no levy pages 19-21, changes to fund name and budget authority links</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</si>
  <si>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</si>
  <si>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</si>
  <si>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</si>
  <si>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</si>
  <si>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</si>
  <si>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</si>
  <si>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</si>
  <si>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</si>
  <si>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</si>
  <si>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</si>
  <si>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</si>
  <si>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</si>
  <si>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</si>
  <si>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</si>
  <si>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</si>
  <si>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</si>
  <si>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</si>
  <si>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</si>
  <si>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</si>
  <si>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</si>
  <si>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</si>
  <si>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</si>
  <si>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</si>
  <si>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</si>
  <si>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</si>
  <si>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</si>
  <si>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</si>
  <si>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</si>
  <si>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</si>
  <si>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</si>
  <si>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</si>
  <si>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</si>
  <si>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</si>
  <si>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</si>
  <si>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</si>
  <si>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Added KSA 14-568 to the transfer tab</t>
  </si>
  <si>
    <t>35. Certificate tab added a place for the email address of the assisted by</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</si>
  <si>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</si>
  <si>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</si>
  <si>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</si>
  <si>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</si>
  <si>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</si>
  <si>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</si>
  <si>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 Debt</t>
  </si>
  <si>
    <t>Type of</t>
  </si>
  <si>
    <t xml:space="preserve"> Purchased</t>
  </si>
  <si>
    <t>Item</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</si>
  <si>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</si>
  <si>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</si>
  <si>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Library</t>
  </si>
  <si>
    <t>12-1220</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</si>
  <si>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</si>
  <si>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</si>
  <si>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</si>
  <si>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</si>
  <si>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</si>
  <si>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</si>
  <si>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</si>
  <si>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</si>
  <si>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</si>
  <si>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</si>
  <si>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</si>
  <si>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</si>
  <si>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</si>
  <si>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</si>
  <si>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</si>
  <si>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</si>
  <si>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</si>
  <si>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</si>
  <si>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</si>
  <si>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</si>
  <si>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</si>
  <si>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</si>
  <si>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</si>
  <si>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</si>
  <si>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</si>
  <si>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</si>
  <si>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</si>
  <si>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</si>
  <si>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</si>
  <si>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</si>
  <si>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</si>
  <si>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</si>
  <si>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</si>
  <si>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</si>
  <si>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</si>
  <si>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</si>
  <si>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</si>
  <si>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</si>
  <si>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</si>
  <si>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</si>
  <si>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</si>
  <si>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</si>
  <si>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</si>
  <si>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</si>
  <si>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</si>
  <si>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</si>
  <si>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</si>
  <si>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</si>
  <si>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</si>
  <si>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</si>
  <si>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</si>
  <si>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</si>
  <si>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</si>
  <si>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</si>
  <si>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</si>
  <si>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</si>
  <si>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</si>
  <si>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</si>
  <si>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</si>
  <si>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</si>
  <si>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</si>
  <si>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</si>
  <si>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</si>
  <si>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</si>
  <si>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</si>
  <si>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</si>
  <si>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</si>
  <si>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</si>
  <si>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</si>
  <si>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</si>
  <si>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</si>
  <si>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Allocation of MVT, RVT, 16/20M Veh Tax</t>
  </si>
  <si>
    <t xml:space="preserve">Budget Tax Levy </t>
  </si>
  <si>
    <t xml:space="preserve">Prior Year </t>
  </si>
  <si>
    <t xml:space="preserve">Current Year </t>
  </si>
  <si>
    <t xml:space="preserve">Proposed Budget </t>
  </si>
  <si>
    <t>City 2 spreadsheets has General Fund page (general), Debt Service and Library tax levy fund page (DebtSvs-Library),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</si>
  <si>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</si>
  <si>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</si>
  <si>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</si>
  <si>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</si>
  <si>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</si>
  <si>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</si>
  <si>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</si>
  <si>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</si>
  <si>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</si>
  <si>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</si>
  <si>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</si>
  <si>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</si>
  <si>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</si>
  <si>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</si>
  <si>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</si>
  <si>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</si>
  <si>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</si>
  <si>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</si>
  <si>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</si>
  <si>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</si>
  <si>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</si>
  <si>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</si>
  <si>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</si>
  <si>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</si>
  <si>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</si>
  <si>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</si>
  <si>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</si>
  <si>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</si>
  <si>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</si>
  <si>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</si>
  <si>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</si>
  <si>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</si>
  <si>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</si>
  <si>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</si>
  <si>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</si>
  <si>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</si>
  <si>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</si>
  <si>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11a. General Fund page and General Fund Detail page number are linked.   If the municipality has a Library Fund, the Library Grant page becomes number 7 and the General Fund page would be numbered 8, otherwise the General would be 7.</t>
  </si>
  <si>
    <t>5. The information for the Computation to Determine Limit Page (computation) comes from data on the Input Pages (inputpryr and inputOth) and Debt Service Page (DebtSvs-Library). If there is incorrect information on the Computation Page, please correct the source of the information from either the Input Pages or Debt Service Page. If you can not correct the error, please call us for assistance.</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</si>
  <si>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</si>
  <si>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</si>
  <si>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showing new table on Certificate page for Library tab</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</si>
  <si>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</si>
  <si>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</si>
  <si>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</si>
  <si>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</si>
  <si>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</si>
  <si>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 xml:space="preserve">Ad Valorem </t>
  </si>
  <si>
    <t xml:space="preserve">Recreational Vehicle Tax </t>
  </si>
  <si>
    <t xml:space="preserve">16/20M Vehicle Tax </t>
  </si>
  <si>
    <t>1.  Corrected the Library Grant Tab.  Added the line item Ad Valorem Tax under the first test, and corrected the links for the taxes on the Library Fund Page</t>
  </si>
  <si>
    <t>The following were changed to this spreadsheet on 6/13/12</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</si>
  <si>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</si>
  <si>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</si>
  <si>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</si>
  <si>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</si>
  <si>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</si>
  <si>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</si>
  <si>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</si>
  <si>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</si>
  <si>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Fredonia</t>
  </si>
  <si>
    <t>Wilson County</t>
  </si>
  <si>
    <t>Industrial Development</t>
  </si>
  <si>
    <t>12-1617h</t>
  </si>
  <si>
    <t>Special Park</t>
  </si>
  <si>
    <t>Water</t>
  </si>
  <si>
    <t>Electric</t>
  </si>
  <si>
    <t>Sewer</t>
  </si>
  <si>
    <t>Solid Waste</t>
  </si>
  <si>
    <t>1/2% Capital Sales Tax</t>
  </si>
  <si>
    <t>Tourism</t>
  </si>
  <si>
    <t>1/2% Infrastructure Sales Tax</t>
  </si>
  <si>
    <t>1% Swimming Pool Sales Tax</t>
  </si>
  <si>
    <t>Water Bond Reserve</t>
  </si>
  <si>
    <t>Emergency Depreciation</t>
  </si>
  <si>
    <t>Fire Capital Reserve</t>
  </si>
  <si>
    <t>Water Meter Fund</t>
  </si>
  <si>
    <t>Light Meter Fund</t>
  </si>
  <si>
    <t>CDBG Fund</t>
  </si>
  <si>
    <t>Water Reserve Fund</t>
  </si>
  <si>
    <t>Electric Capital Reserve</t>
  </si>
  <si>
    <t>Capital Improvement Res.</t>
  </si>
  <si>
    <t>Sewer Reserve</t>
  </si>
  <si>
    <t>Court Bond Fund</t>
  </si>
  <si>
    <t>Court Diversion Fund</t>
  </si>
  <si>
    <t>Police Drucg Fund</t>
  </si>
  <si>
    <t>Payroll Clearing Fund</t>
  </si>
  <si>
    <t>Sales Tax Clearing Fund</t>
  </si>
  <si>
    <t>Flip Hutfles</t>
  </si>
  <si>
    <t>City Administrator</t>
  </si>
  <si>
    <t>August 19, 2013</t>
  </si>
  <si>
    <t>5:30 p.m.</t>
  </si>
  <si>
    <t>Commission Chambers in City Hall</t>
  </si>
  <si>
    <t>100 North 15th Street</t>
  </si>
  <si>
    <t>Bond &amp; Interest</t>
  </si>
  <si>
    <t>Electric Capital Reseerve</t>
  </si>
  <si>
    <t>12-631o</t>
  </si>
  <si>
    <t>12-825d</t>
  </si>
  <si>
    <t>Series A, 2008/Flood</t>
  </si>
  <si>
    <t>Series A, 2010/Fire Station</t>
  </si>
  <si>
    <t>2.0-4.5</t>
  </si>
  <si>
    <t>2.0-3.25</t>
  </si>
  <si>
    <t>Series 2010/Ambulance</t>
  </si>
  <si>
    <t>4/1, 10/1</t>
  </si>
  <si>
    <t>Licenses/Permits</t>
  </si>
  <si>
    <t>Animal Tags/Pound Fees</t>
  </si>
  <si>
    <t>Cemetery Fees</t>
  </si>
  <si>
    <t>Franchise Fee</t>
  </si>
  <si>
    <t>Court Fines</t>
  </si>
  <si>
    <t>Fireworks Donation</t>
  </si>
  <si>
    <t>Transfers from Electric</t>
  </si>
  <si>
    <t>Transfers from Water</t>
  </si>
  <si>
    <t>Transfers from Sewer</t>
  </si>
  <si>
    <t>Airport</t>
  </si>
  <si>
    <t>Oil Revenue</t>
  </si>
  <si>
    <t>Reimbursed Expendiutre</t>
  </si>
  <si>
    <t>Reconnect Fees</t>
  </si>
  <si>
    <t>Disaster Reimbursement</t>
  </si>
  <si>
    <t>Administration</t>
  </si>
  <si>
    <t>Madison Street Building Repairs</t>
  </si>
  <si>
    <t>Police</t>
  </si>
  <si>
    <t>Fire</t>
  </si>
  <si>
    <t>Code Enforcement</t>
  </si>
  <si>
    <t>Street</t>
  </si>
  <si>
    <t>Parks</t>
  </si>
  <si>
    <t>Cemetery</t>
  </si>
  <si>
    <t>Municipal Court</t>
  </si>
  <si>
    <t xml:space="preserve">  Court Reports</t>
  </si>
  <si>
    <t>Art Council</t>
  </si>
  <si>
    <t>Fireworks</t>
  </si>
  <si>
    <t>Animal Shelter</t>
  </si>
  <si>
    <t>ADA Capital Works</t>
  </si>
  <si>
    <t>HOME Project</t>
  </si>
  <si>
    <t>Disaster Expenses</t>
  </si>
  <si>
    <t>Bonus</t>
  </si>
  <si>
    <t>Reimbursed Debt-Hospital</t>
  </si>
  <si>
    <t>Reimbursed Debt-Electric G.O.</t>
  </si>
  <si>
    <t>Reimbursed Debt-Swimming Pool</t>
  </si>
  <si>
    <t>Utility Transfers</t>
  </si>
  <si>
    <t>Series 2008 Bond Principal (Flood)</t>
  </si>
  <si>
    <t>Series 2008 Bond Interest (Flood)</t>
  </si>
  <si>
    <t>Series 2010 A Bond Principle (Fire Station)</t>
  </si>
  <si>
    <t>Series 2010 A Bond Interest (Fire Station)</t>
  </si>
  <si>
    <t>Series 2010 B Bond Principle (Electric)</t>
  </si>
  <si>
    <t>Series 2010 B Bond Interest (Electric)</t>
  </si>
  <si>
    <t>Series 2012 Bond (Ambulance)</t>
  </si>
  <si>
    <t>Series 2013 Bond Principal (Pool)</t>
  </si>
  <si>
    <t>Series 2013 Bond Interest (Pool)</t>
  </si>
  <si>
    <t>Appropriations to Library Board</t>
  </si>
  <si>
    <t>Farm Ground</t>
  </si>
  <si>
    <t>Rental Property</t>
  </si>
  <si>
    <t xml:space="preserve">Mineral Lease </t>
  </si>
  <si>
    <t>Contractual</t>
  </si>
  <si>
    <t>Commodities</t>
  </si>
  <si>
    <t>Madision Street Building Repair</t>
  </si>
  <si>
    <t>Child Care Center</t>
  </si>
  <si>
    <t>Revolving Loan</t>
  </si>
  <si>
    <t>Capital Outlay</t>
  </si>
  <si>
    <t>Local Liquor Tax</t>
  </si>
  <si>
    <t>Water Sales</t>
  </si>
  <si>
    <t>Penalties</t>
  </si>
  <si>
    <t>Water Vendor</t>
  </si>
  <si>
    <t>Water Fee</t>
  </si>
  <si>
    <t>Production</t>
  </si>
  <si>
    <t>Distribution</t>
  </si>
  <si>
    <t>Commercial</t>
  </si>
  <si>
    <t>Interest on Deposit/Refund on Deposit</t>
  </si>
  <si>
    <t>Kansas User Tax</t>
  </si>
  <si>
    <t>Transfer to General</t>
  </si>
  <si>
    <t>Transfer to Bond &amp; Interest</t>
  </si>
  <si>
    <t>Sales</t>
  </si>
  <si>
    <t>Fuel Cost Adjustment</t>
  </si>
  <si>
    <t>Reimbursements</t>
  </si>
  <si>
    <t>Sales Tax</t>
  </si>
  <si>
    <t>Connection Fee/Electrical Permits</t>
  </si>
  <si>
    <t>Reimbursements\Rentals</t>
  </si>
  <si>
    <t>Transfer to Reserve</t>
  </si>
  <si>
    <t>Transfer to Bond &amp; Interest-Flood Debt</t>
  </si>
  <si>
    <t>Transfer to Bond &amp; Interest-Electric Debt</t>
  </si>
  <si>
    <t>Transfer to General Fund</t>
  </si>
  <si>
    <t>Dep Ref\Dep Int\Sales Tax</t>
  </si>
  <si>
    <t>Connection Fees/Permits</t>
  </si>
  <si>
    <t>Revolving Loan Interest</t>
  </si>
  <si>
    <t>Revolving Loan Principal</t>
  </si>
  <si>
    <t>Transfer to Bond &amp; Interest-Flood</t>
  </si>
  <si>
    <t>Personal Services</t>
  </si>
  <si>
    <t>Special Pickups</t>
  </si>
  <si>
    <t>Refuse Collections</t>
  </si>
  <si>
    <t>Recycling</t>
  </si>
  <si>
    <t>Reimbursement</t>
  </si>
  <si>
    <t>FEMA Reimbursement</t>
  </si>
  <si>
    <t>Surplus Vehicle/Equipment Sales</t>
  </si>
  <si>
    <t>Contract Service</t>
  </si>
  <si>
    <t>Transient Guest Tax</t>
  </si>
  <si>
    <t>Donations</t>
  </si>
  <si>
    <t>Reimbursments</t>
  </si>
  <si>
    <t>Utility Transfer Fee</t>
  </si>
  <si>
    <t>Engineering Study</t>
  </si>
  <si>
    <t>Street Project</t>
  </si>
  <si>
    <t>Water Project</t>
  </si>
  <si>
    <t>Electric Project</t>
  </si>
  <si>
    <t>Sewer Project</t>
  </si>
  <si>
    <t>Transfer to Bond &amp; Interest-Pool Principal</t>
  </si>
  <si>
    <t>Transfer to Bond &amp; Interest-Pool Interest</t>
  </si>
  <si>
    <t>General Government Serevices</t>
  </si>
  <si>
    <t>Property Tax Relief</t>
  </si>
  <si>
    <t>Capital Purchase</t>
  </si>
  <si>
    <t>Deposit Refunds</t>
  </si>
  <si>
    <t>Transfer</t>
  </si>
  <si>
    <t>Capital Upgrades</t>
  </si>
  <si>
    <t>Bond Payment</t>
  </si>
  <si>
    <t>Bond Return</t>
  </si>
  <si>
    <t>Payment</t>
  </si>
  <si>
    <t>Court Expense</t>
  </si>
  <si>
    <t>Self Pay Insurance</t>
  </si>
  <si>
    <t>Hospital Tax</t>
  </si>
  <si>
    <t>Utility Sales Tax</t>
  </si>
  <si>
    <t>Sales Tax Paid</t>
  </si>
  <si>
    <t>Hospital Tax Paid</t>
  </si>
  <si>
    <t>Engineering Service</t>
  </si>
  <si>
    <t>Bond Proceeds</t>
  </si>
  <si>
    <t>Construction Service</t>
  </si>
  <si>
    <t>Bond Issuance Cost</t>
  </si>
  <si>
    <t>Sereis A, 2013/Pool</t>
  </si>
  <si>
    <t>Series B, 2010/Elec. Refin.</t>
  </si>
  <si>
    <t>Industrial Upgrade</t>
  </si>
  <si>
    <t>Property Tax Reilef</t>
  </si>
  <si>
    <t>Reimbursed\Connection Fee/Wt Permit</t>
  </si>
  <si>
    <t>Dennis D. Mollnow, Mayor</t>
  </si>
  <si>
    <t>________________________</t>
  </si>
  <si>
    <t>Harlan D. Clifton, Commissioner</t>
  </si>
  <si>
    <t>Randal K. Harkrader, Commissioner</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</si>
</sst>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0.0%"/>
    <numFmt numFmtId="199" formatCode="#,##0.000_);[Red]\(#,##0.000\)"/>
  </numFmts>
  <fonts count="96">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sz val="10"/>
      <name val="Times New Roman"/>
      <family val="1"/>
    </font>
    <font>
      <sz val="10"/>
      <color indexed="10"/>
      <name val="Times New Roman"/>
      <family val="1"/>
    </font>
    <font>
      <sz val="10"/>
      <name val="Courier"/>
      <family val="3"/>
    </font>
    <font>
      <u val="single"/>
      <sz val="12"/>
      <color indexed="10"/>
      <name val="Times New Roman"/>
      <family val="1"/>
    </font>
    <font>
      <u val="single"/>
      <sz val="12"/>
      <color indexed="12"/>
      <name val="Courier New"/>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val="single"/>
      <sz val="12"/>
      <color rgb="FFFF000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4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59">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475"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474"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3" borderId="16"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5" fillId="37" borderId="12"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8" borderId="0" xfId="0" applyNumberFormat="1" applyFont="1" applyFill="1" applyAlignment="1" applyProtection="1">
      <alignment horizontal="center" vertical="center"/>
      <protection/>
    </xf>
    <xf numFmtId="0" fontId="5" fillId="38"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0" fontId="5" fillId="37" borderId="11" xfId="0" applyFont="1" applyFill="1" applyBorder="1" applyAlignment="1" applyProtection="1">
      <alignment vertical="center"/>
      <protection/>
    </xf>
    <xf numFmtId="37" fontId="5" fillId="37" borderId="16" xfId="0" applyNumberFormat="1" applyFont="1" applyFill="1" applyBorder="1" applyAlignment="1" applyProtection="1">
      <alignment horizontal="left" vertical="center"/>
      <protection/>
    </xf>
    <xf numFmtId="0" fontId="5" fillId="37" borderId="16"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8" borderId="0" xfId="0" applyNumberFormat="1" applyFont="1" applyFill="1" applyAlignment="1" applyProtection="1">
      <alignment horizontal="left" vertical="center"/>
      <protection/>
    </xf>
    <xf numFmtId="0" fontId="6"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8" borderId="11" xfId="0" applyFont="1" applyFill="1" applyBorder="1" applyAlignment="1" applyProtection="1">
      <alignment vertical="center"/>
      <protection/>
    </xf>
    <xf numFmtId="0" fontId="5" fillId="34" borderId="17"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6"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6"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6"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1"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8" borderId="0" xfId="0" applyFont="1" applyFill="1" applyAlignment="1">
      <alignment vertical="center"/>
    </xf>
    <xf numFmtId="0" fontId="1" fillId="38" borderId="0" xfId="0" applyFont="1" applyFill="1" applyAlignment="1">
      <alignment vertical="center"/>
    </xf>
    <xf numFmtId="0" fontId="0" fillId="38"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5"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6"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37" fontId="5" fillId="40" borderId="10" xfId="0" applyNumberFormat="1" applyFont="1" applyFill="1" applyBorder="1" applyAlignment="1" applyProtection="1">
      <alignment horizontal="left"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6" xfId="0" applyNumberFormat="1" applyFont="1" applyFill="1" applyBorder="1" applyAlignment="1" applyProtection="1">
      <alignment horizontal="right" vertical="center"/>
      <protection/>
    </xf>
    <xf numFmtId="0" fontId="4" fillId="34" borderId="0" xfId="0" applyFont="1" applyFill="1" applyAlignment="1">
      <alignment vertical="center"/>
    </xf>
    <xf numFmtId="3" fontId="5" fillId="34" borderId="16"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6"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0" fontId="7" fillId="0" borderId="0" xfId="0" applyFont="1" applyAlignment="1">
      <alignment vertical="center"/>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vertical="center"/>
      <protection locked="0"/>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475"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40" borderId="20"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3" fontId="5" fillId="41"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37" fontId="17" fillId="40"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1" fillId="34" borderId="0" xfId="0" applyFont="1" applyFill="1" applyAlignment="1">
      <alignment horizontal="center" vertical="center"/>
    </xf>
    <xf numFmtId="0" fontId="14" fillId="34" borderId="0" xfId="0" applyFont="1" applyFill="1" applyAlignment="1">
      <alignment horizontal="center" vertical="center"/>
    </xf>
    <xf numFmtId="0" fontId="5" fillId="34" borderId="18" xfId="0" applyFont="1" applyFill="1" applyBorder="1" applyAlignment="1">
      <alignment horizontal="center" vertical="center"/>
    </xf>
    <xf numFmtId="0" fontId="13" fillId="34" borderId="12" xfId="0" applyFont="1" applyFill="1" applyBorder="1" applyAlignment="1">
      <alignment vertical="center"/>
    </xf>
    <xf numFmtId="0" fontId="13" fillId="34" borderId="18" xfId="0" applyFont="1" applyFill="1" applyBorder="1" applyAlignment="1">
      <alignment horizontal="center" vertical="center"/>
    </xf>
    <xf numFmtId="0" fontId="13" fillId="34" borderId="22" xfId="0" applyFont="1" applyFill="1" applyBorder="1" applyAlignment="1">
      <alignment vertical="center"/>
    </xf>
    <xf numFmtId="0" fontId="13"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3" fillId="34" borderId="25"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1"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8"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3" fontId="19" fillId="40" borderId="10" xfId="0" applyNumberFormat="1" applyFont="1" applyFill="1" applyBorder="1" applyAlignment="1">
      <alignment horizontal="center" vertical="center"/>
    </xf>
    <xf numFmtId="3" fontId="5" fillId="0" borderId="0" xfId="0" applyNumberFormat="1" applyFont="1" applyAlignment="1">
      <alignment vertical="center"/>
    </xf>
    <xf numFmtId="0" fontId="5" fillId="35" borderId="0" xfId="0" applyFont="1" applyFill="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3" fontId="28" fillId="40" borderId="0" xfId="0" applyNumberFormat="1" applyFont="1" applyFill="1" applyAlignment="1">
      <alignment horizontal="center" vertical="center"/>
    </xf>
    <xf numFmtId="37" fontId="4" fillId="42" borderId="10" xfId="0" applyNumberFormat="1" applyFont="1" applyFill="1" applyBorder="1" applyAlignment="1" applyProtection="1">
      <alignment vertical="center"/>
      <protection/>
    </xf>
    <xf numFmtId="37" fontId="5" fillId="42" borderId="10" xfId="0" applyNumberFormat="1" applyFont="1" applyFill="1" applyBorder="1" applyAlignment="1" applyProtection="1">
      <alignment vertical="center"/>
      <protection/>
    </xf>
    <xf numFmtId="0" fontId="5" fillId="0" borderId="0" xfId="443" applyFont="1" applyAlignment="1">
      <alignment vertical="center"/>
      <protection/>
    </xf>
    <xf numFmtId="0" fontId="5" fillId="0" borderId="0" xfId="160" applyFont="1" applyAlignment="1">
      <alignment vertical="center" wrapText="1"/>
      <protection/>
    </xf>
    <xf numFmtId="0" fontId="5" fillId="33" borderId="11"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29" fillId="0" borderId="0" xfId="449">
      <alignment/>
      <protection/>
    </xf>
    <xf numFmtId="0" fontId="5" fillId="0" borderId="0" xfId="449" applyFont="1" applyAlignment="1">
      <alignment horizontal="left" vertical="center"/>
      <protection/>
    </xf>
    <xf numFmtId="189" fontId="13" fillId="0" borderId="0" xfId="449" applyNumberFormat="1" applyFont="1" applyAlignment="1">
      <alignment horizontal="left" vertical="center"/>
      <protection/>
    </xf>
    <xf numFmtId="49" fontId="5" fillId="0" borderId="0" xfId="449" applyNumberFormat="1" applyFont="1" applyAlignment="1">
      <alignment horizontal="left" vertical="center"/>
      <protection/>
    </xf>
    <xf numFmtId="0" fontId="13" fillId="0" borderId="0" xfId="449" applyFont="1" applyAlignment="1">
      <alignment horizontal="left" vertical="center"/>
      <protection/>
    </xf>
    <xf numFmtId="190" fontId="13" fillId="0" borderId="0" xfId="449" applyNumberFormat="1" applyFont="1" applyAlignment="1">
      <alignment horizontal="left" vertical="center"/>
      <protection/>
    </xf>
    <xf numFmtId="0" fontId="0" fillId="0" borderId="0" xfId="202" applyFont="1" applyFill="1">
      <alignment/>
      <protection/>
    </xf>
    <xf numFmtId="0" fontId="0" fillId="0" borderId="0" xfId="202"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29" applyFont="1" applyAlignment="1">
      <alignment vertical="center"/>
      <protection/>
    </xf>
    <xf numFmtId="0" fontId="6" fillId="0" borderId="0" xfId="133" applyFont="1" applyAlignment="1">
      <alignment vertical="center"/>
      <protection/>
    </xf>
    <xf numFmtId="0" fontId="5" fillId="0" borderId="0" xfId="303" applyFont="1" applyAlignment="1">
      <alignment vertical="center" wrapText="1"/>
      <protection/>
    </xf>
    <xf numFmtId="0" fontId="5" fillId="0" borderId="0" xfId="141" applyFont="1" applyAlignment="1">
      <alignment vertical="center" wrapText="1"/>
      <protection/>
    </xf>
    <xf numFmtId="0" fontId="5" fillId="0" borderId="0" xfId="151" applyFont="1" applyAlignment="1">
      <alignment vertical="center" wrapText="1"/>
      <protection/>
    </xf>
    <xf numFmtId="0" fontId="5" fillId="34" borderId="0" xfId="0" applyFont="1" applyFill="1" applyAlignment="1">
      <alignment/>
    </xf>
    <xf numFmtId="0" fontId="83"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3" fillId="35" borderId="14" xfId="0" applyNumberFormat="1" applyFont="1" applyFill="1" applyBorder="1" applyAlignment="1">
      <alignment horizontal="center" vertical="center"/>
    </xf>
    <xf numFmtId="3" fontId="5" fillId="41" borderId="20" xfId="0" applyNumberFormat="1" applyFont="1" applyFill="1" applyBorder="1" applyAlignment="1" applyProtection="1">
      <alignment vertical="center"/>
      <protection/>
    </xf>
    <xf numFmtId="37" fontId="15" fillId="34" borderId="1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49" fontId="5" fillId="33" borderId="10" xfId="0" applyNumberFormat="1" applyFont="1" applyFill="1" applyBorder="1" applyAlignment="1" applyProtection="1">
      <alignment horizontal="center" vertical="center"/>
      <protection locked="0"/>
    </xf>
    <xf numFmtId="0" fontId="5" fillId="34" borderId="0" xfId="101" applyFont="1" applyFill="1" applyAlignment="1" applyProtection="1">
      <alignment horizontal="right" vertical="center"/>
      <protection/>
    </xf>
    <xf numFmtId="0" fontId="0" fillId="0" borderId="0" xfId="97">
      <alignment/>
      <protection/>
    </xf>
    <xf numFmtId="0" fontId="5" fillId="34" borderId="0" xfId="97" applyFont="1" applyFill="1" applyAlignment="1" applyProtection="1">
      <alignment vertical="center"/>
      <protection/>
    </xf>
    <xf numFmtId="0" fontId="5" fillId="0" borderId="0" xfId="97" applyFont="1" applyAlignment="1" applyProtection="1">
      <alignment vertical="center"/>
      <protection locked="0"/>
    </xf>
    <xf numFmtId="37" fontId="5" fillId="34" borderId="0" xfId="97" applyNumberFormat="1" applyFont="1" applyFill="1" applyAlignment="1" applyProtection="1">
      <alignment horizontal="left" vertical="center"/>
      <protection/>
    </xf>
    <xf numFmtId="0" fontId="4" fillId="34" borderId="0" xfId="97" applyFont="1" applyFill="1" applyAlignment="1" applyProtection="1">
      <alignment vertical="center"/>
      <protection/>
    </xf>
    <xf numFmtId="3" fontId="5" fillId="33" borderId="10" xfId="97" applyNumberFormat="1" applyFont="1" applyFill="1" applyBorder="1" applyAlignment="1" applyProtection="1">
      <alignment vertical="center"/>
      <protection locked="0"/>
    </xf>
    <xf numFmtId="3" fontId="5" fillId="35" borderId="10" xfId="97" applyNumberFormat="1" applyFont="1" applyFill="1" applyBorder="1" applyAlignment="1" applyProtection="1">
      <alignment vertical="center"/>
      <protection/>
    </xf>
    <xf numFmtId="0" fontId="5" fillId="34" borderId="0" xfId="97" applyFont="1" applyFill="1" applyAlignment="1" applyProtection="1">
      <alignment vertical="center"/>
      <protection locked="0"/>
    </xf>
    <xf numFmtId="0" fontId="0" fillId="0" borderId="0" xfId="97" applyAlignment="1">
      <alignment vertical="center"/>
      <protection/>
    </xf>
    <xf numFmtId="1" fontId="5" fillId="34" borderId="0" xfId="97" applyNumberFormat="1" applyFont="1" applyFill="1" applyBorder="1" applyAlignment="1" applyProtection="1">
      <alignment horizontal="right" vertical="center"/>
      <protection/>
    </xf>
    <xf numFmtId="37" fontId="5" fillId="34" borderId="0" xfId="97" applyNumberFormat="1" applyFont="1" applyFill="1" applyAlignment="1" applyProtection="1" quotePrefix="1">
      <alignment horizontal="right" vertical="center"/>
      <protection/>
    </xf>
    <xf numFmtId="37" fontId="5" fillId="34" borderId="20" xfId="97" applyNumberFormat="1" applyFont="1" applyFill="1" applyBorder="1" applyAlignment="1" applyProtection="1">
      <alignment horizontal="left" vertical="center"/>
      <protection/>
    </xf>
    <xf numFmtId="3" fontId="5" fillId="34" borderId="10" xfId="97" applyNumberFormat="1" applyFont="1" applyFill="1" applyBorder="1" applyAlignment="1" applyProtection="1">
      <alignment vertical="center"/>
      <protection/>
    </xf>
    <xf numFmtId="37" fontId="5" fillId="34" borderId="20" xfId="97" applyNumberFormat="1" applyFont="1" applyFill="1" applyBorder="1" applyAlignment="1" applyProtection="1">
      <alignment vertical="center"/>
      <protection/>
    </xf>
    <xf numFmtId="0" fontId="5" fillId="34" borderId="20" xfId="97" applyFont="1" applyFill="1" applyBorder="1" applyAlignment="1" applyProtection="1">
      <alignment vertical="center"/>
      <protection/>
    </xf>
    <xf numFmtId="37" fontId="5" fillId="34" borderId="0" xfId="97" applyNumberFormat="1" applyFont="1" applyFill="1" applyAlignment="1" applyProtection="1">
      <alignment vertical="center"/>
      <protection/>
    </xf>
    <xf numFmtId="0" fontId="5" fillId="34" borderId="0" xfId="97" applyFont="1" applyFill="1" applyAlignment="1" applyProtection="1">
      <alignment horizontal="right" vertical="center"/>
      <protection/>
    </xf>
    <xf numFmtId="37" fontId="5" fillId="34" borderId="0" xfId="97" applyNumberFormat="1" applyFont="1" applyFill="1" applyAlignment="1" applyProtection="1">
      <alignment horizontal="right" vertical="center"/>
      <protection/>
    </xf>
    <xf numFmtId="3" fontId="5" fillId="34" borderId="10" xfId="97" applyNumberFormat="1" applyFont="1" applyFill="1" applyBorder="1" applyAlignment="1" applyProtection="1">
      <alignment horizontal="center" vertical="center"/>
      <protection/>
    </xf>
    <xf numFmtId="37" fontId="5" fillId="34" borderId="0" xfId="97" applyNumberFormat="1" applyFont="1" applyFill="1" applyAlignment="1" applyProtection="1">
      <alignment horizontal="fill" vertical="center"/>
      <protection/>
    </xf>
    <xf numFmtId="37" fontId="5" fillId="34" borderId="25" xfId="97" applyNumberFormat="1" applyFont="1" applyFill="1" applyBorder="1" applyAlignment="1" applyProtection="1">
      <alignment horizontal="left" vertical="center"/>
      <protection/>
    </xf>
    <xf numFmtId="37" fontId="4" fillId="34" borderId="20" xfId="97" applyNumberFormat="1" applyFont="1" applyFill="1" applyBorder="1" applyAlignment="1" applyProtection="1">
      <alignment horizontal="left" vertical="center"/>
      <protection/>
    </xf>
    <xf numFmtId="3" fontId="5" fillId="34" borderId="0" xfId="97" applyNumberFormat="1" applyFont="1" applyFill="1" applyAlignment="1" applyProtection="1">
      <alignment horizontal="center" vertical="center"/>
      <protection/>
    </xf>
    <xf numFmtId="0" fontId="17" fillId="0" borderId="0" xfId="97" applyFont="1" applyAlignment="1" applyProtection="1">
      <alignment vertical="center"/>
      <protection/>
    </xf>
    <xf numFmtId="0" fontId="15" fillId="34" borderId="0" xfId="97" applyFont="1" applyFill="1" applyAlignment="1" applyProtection="1">
      <alignment horizontal="center" vertical="center"/>
      <protection/>
    </xf>
    <xf numFmtId="37" fontId="5" fillId="33" borderId="20" xfId="97" applyNumberFormat="1" applyFont="1" applyFill="1" applyBorder="1" applyAlignment="1" applyProtection="1">
      <alignment horizontal="left" vertical="center"/>
      <protection locked="0"/>
    </xf>
    <xf numFmtId="3" fontId="4" fillId="35" borderId="10" xfId="97" applyNumberFormat="1" applyFont="1" applyFill="1" applyBorder="1" applyAlignment="1" applyProtection="1">
      <alignment vertical="center"/>
      <protection/>
    </xf>
    <xf numFmtId="0" fontId="5" fillId="34" borderId="20" xfId="97" applyFont="1" applyFill="1" applyBorder="1" applyAlignment="1" applyProtection="1">
      <alignment vertical="center"/>
      <protection locked="0"/>
    </xf>
    <xf numFmtId="3" fontId="5" fillId="34" borderId="10" xfId="97" applyNumberFormat="1" applyFont="1" applyFill="1" applyBorder="1" applyAlignment="1" applyProtection="1">
      <alignment horizontal="fill" vertical="center"/>
      <protection/>
    </xf>
    <xf numFmtId="37" fontId="5" fillId="33" borderId="0" xfId="97" applyNumberFormat="1" applyFont="1" applyFill="1" applyAlignment="1" applyProtection="1">
      <alignment horizontal="left" vertical="center"/>
      <protection locked="0"/>
    </xf>
    <xf numFmtId="0" fontId="5" fillId="33" borderId="20" xfId="97" applyFont="1" applyFill="1" applyBorder="1" applyAlignment="1" applyProtection="1">
      <alignment horizontal="left" vertical="center"/>
      <protection locked="0"/>
    </xf>
    <xf numFmtId="3" fontId="4" fillId="34" borderId="10" xfId="97" applyNumberFormat="1" applyFont="1" applyFill="1" applyBorder="1" applyAlignment="1" applyProtection="1">
      <alignment vertical="center"/>
      <protection/>
    </xf>
    <xf numFmtId="0" fontId="5" fillId="43" borderId="26" xfId="97" applyFont="1" applyFill="1" applyBorder="1" applyAlignment="1" applyProtection="1">
      <alignment vertical="center"/>
      <protection locked="0"/>
    </xf>
    <xf numFmtId="0" fontId="5" fillId="43" borderId="21" xfId="97" applyFont="1" applyFill="1" applyBorder="1" applyAlignment="1" applyProtection="1">
      <alignment vertical="center"/>
      <protection locked="0"/>
    </xf>
    <xf numFmtId="195" fontId="13" fillId="43" borderId="26" xfId="97" applyNumberFormat="1" applyFont="1" applyFill="1" applyBorder="1" applyAlignment="1" applyProtection="1">
      <alignment vertical="center"/>
      <protection locked="0"/>
    </xf>
    <xf numFmtId="195" fontId="13" fillId="43" borderId="25" xfId="97" applyNumberFormat="1" applyFont="1" applyFill="1" applyBorder="1" applyAlignment="1" applyProtection="1">
      <alignment horizontal="center" vertical="center"/>
      <protection locked="0"/>
    </xf>
    <xf numFmtId="195" fontId="13" fillId="43" borderId="26" xfId="97" applyNumberFormat="1" applyFont="1" applyFill="1" applyBorder="1" applyAlignment="1" applyProtection="1">
      <alignment horizontal="center" vertical="center"/>
      <protection locked="0"/>
    </xf>
    <xf numFmtId="0" fontId="13" fillId="43" borderId="0" xfId="97" applyFont="1" applyFill="1" applyBorder="1" applyAlignment="1" applyProtection="1">
      <alignment vertical="center"/>
      <protection locked="0"/>
    </xf>
    <xf numFmtId="0" fontId="13" fillId="43" borderId="0" xfId="97" applyFont="1" applyFill="1" applyBorder="1" applyAlignment="1" applyProtection="1">
      <alignment horizontal="left" vertical="center"/>
      <protection locked="0"/>
    </xf>
    <xf numFmtId="37" fontId="5" fillId="33" borderId="20" xfId="97" applyNumberFormat="1" applyFont="1" applyFill="1" applyBorder="1" applyAlignment="1" applyProtection="1">
      <alignment horizontal="right" vertical="center"/>
      <protection locked="0"/>
    </xf>
    <xf numFmtId="3" fontId="4" fillId="35" borderId="20" xfId="97" applyNumberFormat="1" applyFont="1" applyFill="1" applyBorder="1" applyAlignment="1" applyProtection="1">
      <alignment vertical="center"/>
      <protection/>
    </xf>
    <xf numFmtId="3" fontId="5" fillId="34" borderId="20" xfId="97" applyNumberFormat="1" applyFont="1" applyFill="1" applyBorder="1" applyAlignment="1" applyProtection="1">
      <alignment vertical="center"/>
      <protection/>
    </xf>
    <xf numFmtId="37" fontId="5" fillId="33" borderId="20" xfId="97" applyNumberFormat="1" applyFont="1" applyFill="1" applyBorder="1" applyAlignment="1" applyProtection="1">
      <alignment vertical="center"/>
      <protection locked="0"/>
    </xf>
    <xf numFmtId="3" fontId="5" fillId="33" borderId="20" xfId="97" applyNumberFormat="1" applyFont="1" applyFill="1" applyBorder="1" applyAlignment="1" applyProtection="1">
      <alignment vertical="center"/>
      <protection locked="0"/>
    </xf>
    <xf numFmtId="3" fontId="4" fillId="34" borderId="20" xfId="97" applyNumberFormat="1" applyFont="1" applyFill="1" applyBorder="1" applyAlignment="1" applyProtection="1">
      <alignment vertical="center"/>
      <protection/>
    </xf>
    <xf numFmtId="3" fontId="5" fillId="35" borderId="20" xfId="97" applyNumberFormat="1" applyFont="1" applyFill="1" applyBorder="1" applyAlignment="1" applyProtection="1">
      <alignment vertical="center"/>
      <protection/>
    </xf>
    <xf numFmtId="37" fontId="4" fillId="34" borderId="11" xfId="97" applyNumberFormat="1" applyFont="1" applyFill="1" applyBorder="1" applyAlignment="1" applyProtection="1">
      <alignment vertical="center"/>
      <protection/>
    </xf>
    <xf numFmtId="37" fontId="4" fillId="34" borderId="0" xfId="97"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37" fontId="5" fillId="34" borderId="13" xfId="97" applyNumberFormat="1" applyFont="1" applyFill="1" applyBorder="1" applyAlignment="1" applyProtection="1">
      <alignment horizontal="center" vertical="center"/>
      <protection/>
    </xf>
    <xf numFmtId="37" fontId="5" fillId="34" borderId="14" xfId="97"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44" borderId="0" xfId="0" applyFont="1" applyFill="1" applyAlignment="1">
      <alignment/>
    </xf>
    <xf numFmtId="0" fontId="33" fillId="43" borderId="0" xfId="0" applyFont="1" applyFill="1" applyAlignment="1">
      <alignment/>
    </xf>
    <xf numFmtId="0" fontId="84" fillId="44" borderId="0" xfId="0" applyFont="1" applyFill="1" applyAlignment="1">
      <alignment horizontal="center" wrapText="1"/>
    </xf>
    <xf numFmtId="0" fontId="84" fillId="43" borderId="0" xfId="0" applyFont="1" applyFill="1" applyAlignment="1">
      <alignment/>
    </xf>
    <xf numFmtId="0" fontId="33" fillId="43" borderId="0" xfId="0" applyFont="1" applyFill="1" applyAlignment="1">
      <alignment horizontal="center"/>
    </xf>
    <xf numFmtId="0" fontId="84" fillId="43" borderId="27" xfId="0" applyFont="1" applyFill="1" applyBorder="1" applyAlignment="1">
      <alignment/>
    </xf>
    <xf numFmtId="0" fontId="33" fillId="43" borderId="28" xfId="0" applyFont="1" applyFill="1" applyBorder="1" applyAlignment="1">
      <alignment/>
    </xf>
    <xf numFmtId="0" fontId="33" fillId="43" borderId="29" xfId="0" applyFont="1" applyFill="1" applyBorder="1" applyAlignment="1">
      <alignment/>
    </xf>
    <xf numFmtId="195" fontId="33" fillId="43" borderId="30" xfId="0" applyNumberFormat="1" applyFont="1" applyFill="1" applyBorder="1" applyAlignment="1">
      <alignment/>
    </xf>
    <xf numFmtId="0" fontId="33" fillId="43" borderId="0" xfId="0" applyFont="1" applyFill="1" applyBorder="1" applyAlignment="1">
      <alignment/>
    </xf>
    <xf numFmtId="195" fontId="33" fillId="43" borderId="11" xfId="0" applyNumberFormat="1" applyFont="1" applyFill="1" applyBorder="1" applyAlignment="1">
      <alignment horizontal="center"/>
    </xf>
    <xf numFmtId="0" fontId="33" fillId="43" borderId="31" xfId="0" applyFont="1" applyFill="1" applyBorder="1" applyAlignment="1">
      <alignment/>
    </xf>
    <xf numFmtId="0" fontId="33" fillId="43" borderId="32" xfId="0" applyFont="1" applyFill="1" applyBorder="1" applyAlignment="1">
      <alignment/>
    </xf>
    <xf numFmtId="0" fontId="33" fillId="43" borderId="33" xfId="0" applyFont="1" applyFill="1" applyBorder="1" applyAlignment="1">
      <alignment/>
    </xf>
    <xf numFmtId="0" fontId="33" fillId="43" borderId="34" xfId="0" applyFont="1" applyFill="1" applyBorder="1" applyAlignment="1">
      <alignment/>
    </xf>
    <xf numFmtId="195" fontId="33" fillId="43" borderId="0" xfId="0" applyNumberFormat="1" applyFont="1" applyFill="1" applyAlignment="1">
      <alignment/>
    </xf>
    <xf numFmtId="0" fontId="33" fillId="43" borderId="27" xfId="0" applyFont="1" applyFill="1" applyBorder="1" applyAlignment="1">
      <alignment/>
    </xf>
    <xf numFmtId="0" fontId="33" fillId="43" borderId="35" xfId="0" applyFont="1" applyFill="1" applyBorder="1" applyAlignment="1">
      <alignment/>
    </xf>
    <xf numFmtId="195" fontId="33" fillId="45" borderId="30" xfId="0" applyNumberFormat="1" applyFont="1" applyFill="1" applyBorder="1" applyAlignment="1" applyProtection="1">
      <alignment horizontal="center"/>
      <protection locked="0"/>
    </xf>
    <xf numFmtId="188" fontId="33" fillId="43" borderId="0" xfId="0" applyNumberFormat="1" applyFont="1" applyFill="1" applyBorder="1" applyAlignment="1">
      <alignment horizontal="center"/>
    </xf>
    <xf numFmtId="0" fontId="85" fillId="0" borderId="0" xfId="0" applyFont="1" applyBorder="1" applyAlignment="1">
      <alignment/>
    </xf>
    <xf numFmtId="0" fontId="33" fillId="0" borderId="0" xfId="0" applyFont="1" applyBorder="1" applyAlignment="1">
      <alignment/>
    </xf>
    <xf numFmtId="0" fontId="84" fillId="0" borderId="0" xfId="0" applyFont="1" applyBorder="1" applyAlignment="1">
      <alignment horizontal="centerContinuous"/>
    </xf>
    <xf numFmtId="0" fontId="33" fillId="0" borderId="0" xfId="0" applyFont="1" applyBorder="1" applyAlignment="1">
      <alignment horizontal="centerContinuous"/>
    </xf>
    <xf numFmtId="0" fontId="33" fillId="44" borderId="0" xfId="0" applyFont="1" applyFill="1" applyBorder="1" applyAlignment="1">
      <alignment/>
    </xf>
    <xf numFmtId="0" fontId="33" fillId="43" borderId="36" xfId="0" applyFont="1" applyFill="1" applyBorder="1" applyAlignment="1">
      <alignment/>
    </xf>
    <xf numFmtId="0" fontId="33" fillId="43" borderId="19" xfId="0" applyFont="1" applyFill="1" applyBorder="1" applyAlignment="1">
      <alignment/>
    </xf>
    <xf numFmtId="0" fontId="33" fillId="43" borderId="37" xfId="0" applyFont="1" applyFill="1" applyBorder="1" applyAlignment="1">
      <alignment/>
    </xf>
    <xf numFmtId="5" fontId="33" fillId="43" borderId="33" xfId="0" applyNumberFormat="1" applyFont="1" applyFill="1" applyBorder="1" applyAlignment="1">
      <alignment horizontal="center"/>
    </xf>
    <xf numFmtId="0" fontId="33" fillId="43" borderId="33" xfId="0" applyFont="1" applyFill="1" applyBorder="1" applyAlignment="1">
      <alignment horizontal="center"/>
    </xf>
    <xf numFmtId="188" fontId="33" fillId="43" borderId="33" xfId="0" applyNumberFormat="1" applyFont="1" applyFill="1" applyBorder="1" applyAlignment="1">
      <alignment horizontal="center"/>
    </xf>
    <xf numFmtId="196" fontId="33" fillId="43" borderId="33" xfId="0" applyNumberFormat="1" applyFont="1" applyFill="1" applyBorder="1" applyAlignment="1">
      <alignment horizontal="center"/>
    </xf>
    <xf numFmtId="0" fontId="33" fillId="43" borderId="0" xfId="0" applyFont="1" applyFill="1" applyAlignment="1">
      <alignment horizontal="center" wrapText="1"/>
    </xf>
    <xf numFmtId="0" fontId="84" fillId="43" borderId="27" xfId="0" applyFont="1" applyFill="1" applyBorder="1" applyAlignment="1">
      <alignment/>
    </xf>
    <xf numFmtId="0" fontId="33" fillId="43" borderId="28" xfId="0" applyFont="1" applyFill="1" applyBorder="1" applyAlignment="1">
      <alignment/>
    </xf>
    <xf numFmtId="0" fontId="33" fillId="43" borderId="29" xfId="0" applyFont="1" applyFill="1" applyBorder="1" applyAlignment="1">
      <alignment/>
    </xf>
    <xf numFmtId="0" fontId="33" fillId="43" borderId="35" xfId="0" applyFont="1" applyFill="1" applyBorder="1" applyAlignment="1">
      <alignment/>
    </xf>
    <xf numFmtId="0" fontId="33" fillId="43" borderId="31" xfId="0" applyFont="1" applyFill="1" applyBorder="1" applyAlignment="1">
      <alignment/>
    </xf>
    <xf numFmtId="0" fontId="33" fillId="43" borderId="36" xfId="0" applyFont="1" applyFill="1" applyBorder="1" applyAlignment="1">
      <alignment/>
    </xf>
    <xf numFmtId="0" fontId="33" fillId="43" borderId="19" xfId="0" applyFont="1" applyFill="1" applyBorder="1" applyAlignment="1">
      <alignment/>
    </xf>
    <xf numFmtId="0" fontId="33" fillId="43" borderId="37" xfId="0" applyFont="1" applyFill="1" applyBorder="1" applyAlignment="1">
      <alignment/>
    </xf>
    <xf numFmtId="178" fontId="33" fillId="43" borderId="0" xfId="0" applyNumberFormat="1" applyFont="1" applyFill="1" applyBorder="1" applyAlignment="1">
      <alignment horizontal="center"/>
    </xf>
    <xf numFmtId="0" fontId="33" fillId="43" borderId="32" xfId="0" applyFont="1" applyFill="1" applyBorder="1" applyAlignment="1">
      <alignment/>
    </xf>
    <xf numFmtId="5" fontId="33" fillId="43" borderId="0" xfId="0" applyNumberFormat="1" applyFont="1" applyFill="1" applyBorder="1" applyAlignment="1">
      <alignment horizontal="center"/>
    </xf>
    <xf numFmtId="0" fontId="33" fillId="44" borderId="0" xfId="0" applyFont="1" applyFill="1" applyAlignment="1">
      <alignment/>
    </xf>
    <xf numFmtId="188" fontId="33" fillId="45" borderId="11" xfId="0" applyNumberFormat="1" applyFont="1" applyFill="1" applyBorder="1" applyAlignment="1" applyProtection="1">
      <alignment horizontal="center"/>
      <protection locked="0"/>
    </xf>
    <xf numFmtId="196" fontId="33" fillId="43" borderId="0" xfId="0" applyNumberFormat="1" applyFont="1" applyFill="1" applyBorder="1" applyAlignment="1">
      <alignment/>
    </xf>
    <xf numFmtId="0" fontId="33" fillId="46"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67"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97" applyNumberFormat="1" applyFont="1" applyFill="1" applyBorder="1" applyAlignment="1" applyProtection="1">
      <alignment horizontal="right" vertical="center"/>
      <protection locked="0"/>
    </xf>
    <xf numFmtId="0" fontId="5" fillId="0" borderId="0" xfId="101"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101" applyFont="1" applyAlignment="1">
      <alignment vertical="center"/>
      <protection/>
    </xf>
    <xf numFmtId="0" fontId="86" fillId="0" borderId="0" xfId="0" applyFont="1" applyAlignment="1">
      <alignment wrapText="1"/>
    </xf>
    <xf numFmtId="0" fontId="25" fillId="0" borderId="0" xfId="0" applyFont="1" applyAlignment="1">
      <alignment wrapText="1"/>
    </xf>
    <xf numFmtId="188" fontId="5" fillId="45" borderId="21" xfId="97" applyNumberFormat="1" applyFont="1" applyFill="1" applyBorder="1" applyAlignment="1" applyProtection="1">
      <alignment horizontal="center"/>
      <protection locked="0"/>
    </xf>
    <xf numFmtId="0" fontId="37" fillId="43" borderId="26" xfId="97" applyFont="1" applyFill="1" applyBorder="1" applyProtection="1">
      <alignment/>
      <protection/>
    </xf>
    <xf numFmtId="0" fontId="5" fillId="43" borderId="0" xfId="97" applyFont="1" applyFill="1" applyBorder="1" applyProtection="1">
      <alignment/>
      <protection/>
    </xf>
    <xf numFmtId="195" fontId="5" fillId="43" borderId="21" xfId="97" applyNumberFormat="1" applyFont="1" applyFill="1" applyBorder="1" applyAlignment="1" applyProtection="1">
      <alignment horizontal="center"/>
      <protection/>
    </xf>
    <xf numFmtId="0" fontId="5" fillId="43" borderId="25" xfId="97" applyFont="1" applyFill="1" applyBorder="1" applyProtection="1">
      <alignment/>
      <protection/>
    </xf>
    <xf numFmtId="0" fontId="5" fillId="43" borderId="11" xfId="97" applyFont="1" applyFill="1" applyBorder="1" applyProtection="1">
      <alignment/>
      <protection/>
    </xf>
    <xf numFmtId="195" fontId="5" fillId="47" borderId="17" xfId="97" applyNumberFormat="1" applyFont="1" applyFill="1" applyBorder="1" applyAlignment="1" applyProtection="1">
      <alignment horizontal="center"/>
      <protection/>
    </xf>
    <xf numFmtId="0" fontId="5" fillId="0" borderId="0" xfId="97" applyFont="1" applyFill="1" applyBorder="1" applyProtection="1">
      <alignment/>
      <protection/>
    </xf>
    <xf numFmtId="0" fontId="5" fillId="43" borderId="26" xfId="97" applyFont="1" applyFill="1" applyBorder="1" applyProtection="1">
      <alignment/>
      <protection/>
    </xf>
    <xf numFmtId="0" fontId="5" fillId="43" borderId="21" xfId="97" applyFont="1" applyFill="1" applyBorder="1" applyProtection="1">
      <alignment/>
      <protection/>
    </xf>
    <xf numFmtId="178" fontId="5" fillId="43" borderId="21" xfId="97" applyNumberFormat="1" applyFont="1" applyFill="1" applyBorder="1" applyAlignment="1" applyProtection="1">
      <alignment horizontal="center"/>
      <protection/>
    </xf>
    <xf numFmtId="0" fontId="5" fillId="47" borderId="26" xfId="97" applyFont="1" applyFill="1" applyBorder="1" applyProtection="1">
      <alignment/>
      <protection/>
    </xf>
    <xf numFmtId="0" fontId="5" fillId="47" borderId="0" xfId="97" applyFont="1" applyFill="1" applyBorder="1" applyProtection="1">
      <alignment/>
      <protection/>
    </xf>
    <xf numFmtId="0" fontId="5" fillId="47" borderId="25" xfId="97" applyFont="1" applyFill="1" applyBorder="1" applyProtection="1">
      <alignment/>
      <protection/>
    </xf>
    <xf numFmtId="0" fontId="5" fillId="47" borderId="11" xfId="97" applyFont="1" applyFill="1" applyBorder="1" applyProtection="1">
      <alignment/>
      <protection/>
    </xf>
    <xf numFmtId="0" fontId="5" fillId="0" borderId="0" xfId="97" applyFont="1" applyProtection="1">
      <alignment/>
      <protection/>
    </xf>
    <xf numFmtId="195" fontId="5" fillId="43" borderId="17" xfId="97" applyNumberFormat="1" applyFont="1" applyFill="1" applyBorder="1" applyAlignment="1" applyProtection="1">
      <alignment horizontal="center"/>
      <protection/>
    </xf>
    <xf numFmtId="0" fontId="6" fillId="0" borderId="0" xfId="134" applyFont="1" applyAlignment="1">
      <alignment vertical="center"/>
      <protection/>
    </xf>
    <xf numFmtId="0" fontId="87" fillId="0" borderId="0" xfId="0" applyFont="1" applyAlignment="1">
      <alignment vertical="center"/>
    </xf>
    <xf numFmtId="0" fontId="88" fillId="0" borderId="0" xfId="0" applyFont="1" applyAlignment="1" applyProtection="1">
      <alignment horizontal="center" vertical="center"/>
      <protection locked="0"/>
    </xf>
    <xf numFmtId="0" fontId="89" fillId="34" borderId="0" xfId="0" applyFont="1" applyFill="1" applyAlignment="1" applyProtection="1">
      <alignment horizontal="center" vertical="center"/>
      <protection/>
    </xf>
    <xf numFmtId="37" fontId="5" fillId="34" borderId="38" xfId="0" applyNumberFormat="1" applyFont="1" applyFill="1" applyBorder="1" applyAlignment="1" applyProtection="1">
      <alignment vertical="center"/>
      <protection/>
    </xf>
    <xf numFmtId="0" fontId="5" fillId="34" borderId="38" xfId="0" applyFont="1" applyFill="1" applyBorder="1" applyAlignment="1" applyProtection="1">
      <alignment vertical="center"/>
      <protection/>
    </xf>
    <xf numFmtId="177" fontId="5" fillId="33" borderId="10" xfId="42"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87" applyNumberFormat="1" applyFont="1" applyFill="1" applyBorder="1" applyAlignment="1" applyProtection="1">
      <alignment horizontal="left" vertical="center"/>
      <protection locked="0"/>
    </xf>
    <xf numFmtId="0" fontId="5" fillId="33" borderId="20" xfId="101" applyNumberFormat="1" applyFont="1" applyFill="1" applyBorder="1" applyAlignment="1" applyProtection="1">
      <alignment horizontal="left" vertical="center"/>
      <protection locked="0"/>
    </xf>
    <xf numFmtId="0" fontId="5" fillId="43" borderId="0" xfId="97" applyFont="1" applyFill="1" applyBorder="1" applyAlignment="1" applyProtection="1">
      <alignment vertical="center"/>
      <protection locked="0"/>
    </xf>
    <xf numFmtId="0" fontId="5" fillId="43" borderId="0" xfId="97" applyFont="1" applyFill="1" applyBorder="1" applyAlignment="1" applyProtection="1">
      <alignment vertical="center"/>
      <protection/>
    </xf>
    <xf numFmtId="0" fontId="37" fillId="43" borderId="0" xfId="97" applyFont="1" applyFill="1" applyBorder="1" applyAlignment="1" applyProtection="1">
      <alignment vertical="center"/>
      <protection locked="0"/>
    </xf>
    <xf numFmtId="195" fontId="37" fillId="45" borderId="10" xfId="97" applyNumberFormat="1" applyFont="1" applyFill="1" applyBorder="1" applyAlignment="1" applyProtection="1">
      <alignment horizontal="center" vertical="center"/>
      <protection locked="0"/>
    </xf>
    <xf numFmtId="0" fontId="5" fillId="43" borderId="26" xfId="97" applyFont="1" applyFill="1" applyBorder="1" applyAlignment="1" applyProtection="1">
      <alignment vertical="center"/>
      <protection/>
    </xf>
    <xf numFmtId="0" fontId="5" fillId="43" borderId="21" xfId="97" applyFont="1" applyFill="1" applyBorder="1" applyAlignment="1" applyProtection="1">
      <alignment vertical="center"/>
      <protection/>
    </xf>
    <xf numFmtId="195" fontId="37" fillId="43" borderId="26" xfId="97" applyNumberFormat="1" applyFont="1" applyFill="1" applyBorder="1" applyAlignment="1" applyProtection="1">
      <alignment horizontal="center" vertical="center"/>
      <protection/>
    </xf>
    <xf numFmtId="0" fontId="37" fillId="43" borderId="0" xfId="97" applyFont="1" applyFill="1" applyBorder="1" applyAlignment="1" applyProtection="1">
      <alignment horizontal="left" vertical="center"/>
      <protection/>
    </xf>
    <xf numFmtId="0" fontId="37" fillId="43" borderId="21" xfId="97" applyFont="1" applyFill="1" applyBorder="1" applyAlignment="1" applyProtection="1">
      <alignment vertical="center"/>
      <protection/>
    </xf>
    <xf numFmtId="0" fontId="37" fillId="43" borderId="0" xfId="97" applyFont="1" applyFill="1" applyBorder="1" applyAlignment="1" applyProtection="1">
      <alignment vertical="center"/>
      <protection/>
    </xf>
    <xf numFmtId="195" fontId="37" fillId="43" borderId="25" xfId="97" applyNumberFormat="1" applyFont="1" applyFill="1" applyBorder="1" applyAlignment="1" applyProtection="1">
      <alignment horizontal="center" vertical="center"/>
      <protection/>
    </xf>
    <xf numFmtId="195" fontId="37" fillId="43" borderId="26" xfId="97" applyNumberFormat="1" applyFont="1" applyFill="1" applyBorder="1" applyAlignment="1" applyProtection="1">
      <alignment vertical="center"/>
      <protection/>
    </xf>
    <xf numFmtId="0" fontId="39" fillId="47" borderId="11" xfId="97" applyFont="1" applyFill="1" applyBorder="1" applyAlignment="1" applyProtection="1">
      <alignment vertical="center"/>
      <protection/>
    </xf>
    <xf numFmtId="0" fontId="37" fillId="47" borderId="17" xfId="97" applyFont="1" applyFill="1" applyBorder="1" applyAlignment="1" applyProtection="1">
      <alignment vertical="center"/>
      <protection/>
    </xf>
    <xf numFmtId="0" fontId="5" fillId="47" borderId="17" xfId="97" applyFont="1" applyFill="1" applyBorder="1" applyAlignment="1" applyProtection="1">
      <alignment vertical="center"/>
      <protection/>
    </xf>
    <xf numFmtId="0" fontId="37" fillId="43" borderId="26" xfId="97" applyFont="1" applyFill="1" applyBorder="1" applyAlignment="1" applyProtection="1">
      <alignment horizontal="left" vertical="center"/>
      <protection/>
    </xf>
    <xf numFmtId="195" fontId="39" fillId="47" borderId="25" xfId="97" applyNumberFormat="1" applyFont="1" applyFill="1" applyBorder="1" applyAlignment="1" applyProtection="1">
      <alignment horizontal="center" vertical="center"/>
      <protection/>
    </xf>
    <xf numFmtId="195" fontId="39" fillId="47" borderId="17" xfId="97" applyNumberFormat="1" applyFont="1" applyFill="1" applyBorder="1" applyAlignment="1" applyProtection="1">
      <alignment horizontal="center" vertical="center"/>
      <protection locked="0"/>
    </xf>
    <xf numFmtId="188" fontId="37" fillId="43" borderId="18" xfId="97" applyNumberFormat="1" applyFont="1" applyFill="1" applyBorder="1" applyAlignment="1" applyProtection="1">
      <alignment horizontal="center" vertical="center"/>
      <protection locked="0"/>
    </xf>
    <xf numFmtId="0" fontId="37" fillId="43" borderId="26" xfId="97"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188" fontId="5" fillId="34" borderId="39"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87" applyNumberFormat="1" applyFont="1" applyFill="1" applyBorder="1" applyAlignment="1" applyProtection="1">
      <alignment horizontal="center"/>
      <protection/>
    </xf>
    <xf numFmtId="37" fontId="5" fillId="34" borderId="14" xfId="87" applyNumberFormat="1" applyFont="1" applyFill="1" applyBorder="1" applyAlignment="1" applyProtection="1">
      <alignment horizontal="center"/>
      <protection/>
    </xf>
    <xf numFmtId="3" fontId="5" fillId="42" borderId="15"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0" fontId="84" fillId="43" borderId="35" xfId="0" applyFont="1" applyFill="1" applyBorder="1" applyAlignment="1">
      <alignment horizontal="centerContinuous" vertical="center"/>
    </xf>
    <xf numFmtId="195" fontId="84" fillId="43" borderId="0" xfId="0" applyNumberFormat="1" applyFont="1" applyFill="1" applyBorder="1" applyAlignment="1">
      <alignment horizontal="centerContinuous" vertical="center"/>
    </xf>
    <xf numFmtId="0" fontId="84" fillId="43" borderId="0" xfId="0" applyFont="1" applyFill="1" applyBorder="1" applyAlignment="1">
      <alignment horizontal="centerContinuous" vertical="center"/>
    </xf>
    <xf numFmtId="188" fontId="84" fillId="43" borderId="0" xfId="0" applyNumberFormat="1" applyFont="1" applyFill="1" applyBorder="1" applyAlignment="1" applyProtection="1">
      <alignment horizontal="centerContinuous" vertical="center"/>
      <protection locked="0"/>
    </xf>
    <xf numFmtId="196" fontId="84" fillId="43" borderId="0" xfId="0" applyNumberFormat="1" applyFont="1" applyFill="1" applyBorder="1" applyAlignment="1">
      <alignment horizontal="centerContinuous" vertical="center"/>
    </xf>
    <xf numFmtId="0" fontId="84" fillId="43" borderId="31" xfId="0" applyFont="1" applyFill="1" applyBorder="1" applyAlignment="1">
      <alignment horizontal="centerContinuous" vertical="center"/>
    </xf>
    <xf numFmtId="0" fontId="84" fillId="43" borderId="35" xfId="0" applyFont="1" applyFill="1" applyBorder="1" applyAlignment="1">
      <alignment horizontal="centerContinuous"/>
    </xf>
    <xf numFmtId="195" fontId="84" fillId="43" borderId="0" xfId="0" applyNumberFormat="1" applyFont="1" applyFill="1" applyBorder="1" applyAlignment="1">
      <alignment horizontal="centerContinuous"/>
    </xf>
    <xf numFmtId="0" fontId="84" fillId="43" borderId="0" xfId="0" applyFont="1" applyFill="1" applyBorder="1" applyAlignment="1">
      <alignment horizontal="centerContinuous"/>
    </xf>
    <xf numFmtId="188" fontId="84" fillId="43" borderId="0" xfId="0" applyNumberFormat="1" applyFont="1" applyFill="1" applyBorder="1" applyAlignment="1" applyProtection="1">
      <alignment horizontal="centerContinuous"/>
      <protection locked="0"/>
    </xf>
    <xf numFmtId="196" fontId="84" fillId="43" borderId="0" xfId="0" applyNumberFormat="1" applyFont="1" applyFill="1" applyBorder="1" applyAlignment="1">
      <alignment horizontal="centerContinuous"/>
    </xf>
    <xf numFmtId="0" fontId="84" fillId="43" borderId="31" xfId="0" applyFont="1" applyFill="1" applyBorder="1" applyAlignment="1">
      <alignment horizontal="centerContinuous"/>
    </xf>
    <xf numFmtId="195" fontId="33" fillId="0" borderId="0" xfId="0" applyNumberFormat="1" applyFont="1" applyAlignment="1">
      <alignment/>
    </xf>
    <xf numFmtId="195" fontId="33" fillId="43" borderId="33" xfId="0" applyNumberFormat="1" applyFont="1" applyFill="1" applyBorder="1" applyAlignment="1">
      <alignment horizontal="center"/>
    </xf>
    <xf numFmtId="188" fontId="33" fillId="43" borderId="33" xfId="0" applyNumberFormat="1" applyFont="1" applyFill="1" applyBorder="1" applyAlignment="1" applyProtection="1">
      <alignment horizontal="center"/>
      <protection locked="0"/>
    </xf>
    <xf numFmtId="196" fontId="33" fillId="43" borderId="33" xfId="0" applyNumberFormat="1" applyFont="1" applyFill="1" applyBorder="1" applyAlignment="1">
      <alignment/>
    </xf>
    <xf numFmtId="188" fontId="33" fillId="43" borderId="0" xfId="0" applyNumberFormat="1" applyFont="1" applyFill="1" applyBorder="1" applyAlignment="1" applyProtection="1">
      <alignment horizontal="center"/>
      <protection locked="0"/>
    </xf>
    <xf numFmtId="195" fontId="33" fillId="43" borderId="28" xfId="0" applyNumberFormat="1" applyFont="1" applyFill="1" applyBorder="1" applyAlignment="1">
      <alignment horizontal="center"/>
    </xf>
    <xf numFmtId="0" fontId="33" fillId="43" borderId="28" xfId="0" applyFont="1" applyFill="1" applyBorder="1" applyAlignment="1">
      <alignment horizontal="center"/>
    </xf>
    <xf numFmtId="188" fontId="33" fillId="43" borderId="28" xfId="0" applyNumberFormat="1" applyFont="1" applyFill="1" applyBorder="1" applyAlignment="1" applyProtection="1">
      <alignment horizontal="center"/>
      <protection locked="0"/>
    </xf>
    <xf numFmtId="196" fontId="33" fillId="43" borderId="28" xfId="0" applyNumberFormat="1" applyFont="1" applyFill="1" applyBorder="1" applyAlignment="1">
      <alignment/>
    </xf>
    <xf numFmtId="195" fontId="33" fillId="43" borderId="0" xfId="0" applyNumberFormat="1" applyFont="1" applyFill="1" applyBorder="1" applyAlignment="1" applyProtection="1">
      <alignment horizontal="center"/>
      <protection locked="0"/>
    </xf>
    <xf numFmtId="195" fontId="5" fillId="47" borderId="21" xfId="97" applyNumberFormat="1" applyFont="1" applyFill="1" applyBorder="1" applyAlignment="1" applyProtection="1">
      <alignment horizontal="center"/>
      <protection/>
    </xf>
    <xf numFmtId="0" fontId="5" fillId="47" borderId="25" xfId="0" applyFont="1" applyFill="1" applyBorder="1" applyAlignment="1">
      <alignment vertical="center"/>
    </xf>
    <xf numFmtId="0" fontId="5" fillId="47" borderId="11" xfId="0" applyFont="1" applyFill="1" applyBorder="1" applyAlignment="1">
      <alignment vertical="center"/>
    </xf>
    <xf numFmtId="195" fontId="5" fillId="47" borderId="17" xfId="0" applyNumberFormat="1" applyFont="1" applyFill="1" applyBorder="1" applyAlignment="1">
      <alignment horizontal="center" vertical="center"/>
    </xf>
    <xf numFmtId="195" fontId="33" fillId="43" borderId="0" xfId="0" applyNumberFormat="1" applyFont="1" applyFill="1" applyBorder="1" applyAlignment="1">
      <alignment horizontal="center"/>
    </xf>
    <xf numFmtId="196" fontId="33" fillId="43" borderId="0" xfId="0" applyNumberFormat="1" applyFont="1" applyFill="1" applyBorder="1" applyAlignment="1">
      <alignment horizontal="center"/>
    </xf>
    <xf numFmtId="0" fontId="84" fillId="43" borderId="0" xfId="0" applyFont="1" applyFill="1" applyAlignment="1">
      <alignment horizontal="center" wrapText="1"/>
    </xf>
    <xf numFmtId="0" fontId="33" fillId="43" borderId="0" xfId="0" applyFont="1" applyFill="1" applyBorder="1" applyAlignment="1">
      <alignment horizontal="center"/>
    </xf>
    <xf numFmtId="195" fontId="33" fillId="45" borderId="11" xfId="0" applyNumberFormat="1" applyFont="1" applyFill="1" applyBorder="1" applyAlignment="1" applyProtection="1">
      <alignment horizontal="center"/>
      <protection locked="0"/>
    </xf>
    <xf numFmtId="0" fontId="84" fillId="43" borderId="0" xfId="0" applyFont="1" applyFill="1" applyAlignment="1">
      <alignment horizontal="center"/>
    </xf>
    <xf numFmtId="195" fontId="33" fillId="43" borderId="0" xfId="0" applyNumberFormat="1" applyFont="1" applyFill="1" applyAlignment="1">
      <alignment horizontal="center"/>
    </xf>
    <xf numFmtId="0" fontId="33" fillId="43" borderId="0" xfId="0" applyFont="1" applyFill="1" applyBorder="1" applyAlignment="1">
      <alignment/>
    </xf>
    <xf numFmtId="0" fontId="33" fillId="43" borderId="34" xfId="0" applyFont="1" applyFill="1" applyBorder="1" applyAlignment="1">
      <alignment/>
    </xf>
    <xf numFmtId="0" fontId="33" fillId="43" borderId="19" xfId="0" applyFont="1" applyFill="1" applyBorder="1" applyAlignment="1">
      <alignment horizontal="center"/>
    </xf>
    <xf numFmtId="0" fontId="5" fillId="34" borderId="0" xfId="67" applyNumberFormat="1" applyFont="1" applyFill="1" applyBorder="1" applyAlignment="1" applyProtection="1">
      <alignment horizontal="right" vertical="center"/>
      <protection/>
    </xf>
    <xf numFmtId="0" fontId="5" fillId="0" borderId="0" xfId="134" applyFont="1" applyAlignment="1">
      <alignment vertical="center"/>
      <protection/>
    </xf>
    <xf numFmtId="0" fontId="5" fillId="34" borderId="13" xfId="0" applyFont="1" applyFill="1" applyBorder="1" applyAlignment="1" applyProtection="1">
      <alignment/>
      <protection/>
    </xf>
    <xf numFmtId="0" fontId="5" fillId="43" borderId="0" xfId="0" applyFont="1" applyFill="1" applyAlignment="1" applyProtection="1">
      <alignment vertical="center"/>
      <protection locked="0"/>
    </xf>
    <xf numFmtId="10" fontId="5" fillId="33" borderId="10" xfId="0" applyNumberFormat="1" applyFont="1" applyFill="1" applyBorder="1" applyAlignment="1" applyProtection="1">
      <alignment vertical="center"/>
      <protection locked="0"/>
    </xf>
    <xf numFmtId="198" fontId="5" fillId="33" borderId="10" xfId="0" applyNumberFormat="1" applyFont="1" applyFill="1" applyBorder="1" applyAlignment="1" applyProtection="1">
      <alignment vertical="center"/>
      <protection locked="0"/>
    </xf>
    <xf numFmtId="178" fontId="5" fillId="34" borderId="18" xfId="0" applyNumberFormat="1" applyFont="1" applyFill="1" applyBorder="1" applyAlignment="1" applyProtection="1">
      <alignment vertical="center"/>
      <protection/>
    </xf>
    <xf numFmtId="0" fontId="90" fillId="0" borderId="0" xfId="0" applyFont="1" applyAlignment="1">
      <alignment/>
    </xf>
    <xf numFmtId="49" fontId="5" fillId="33" borderId="0" xfId="449" applyNumberFormat="1" applyFont="1" applyFill="1" applyAlignment="1" applyProtection="1">
      <alignment horizontal="left" vertical="center"/>
      <protection locked="0"/>
    </xf>
    <xf numFmtId="49" fontId="5" fillId="0" borderId="0" xfId="449" applyNumberFormat="1" applyFont="1" applyFill="1" applyAlignment="1" applyProtection="1">
      <alignment horizontal="left" vertical="center"/>
      <protection locked="0"/>
    </xf>
    <xf numFmtId="0" fontId="5" fillId="33" borderId="0" xfId="449" applyFont="1" applyFill="1" applyAlignment="1" applyProtection="1">
      <alignment horizontal="left" vertical="center"/>
      <protection locked="0"/>
    </xf>
    <xf numFmtId="0" fontId="29" fillId="33" borderId="0" xfId="449" applyFill="1" applyAlignment="1" applyProtection="1">
      <alignment horizontal="left" vertical="center"/>
      <protection locked="0"/>
    </xf>
    <xf numFmtId="0" fontId="91" fillId="0" borderId="0" xfId="449" applyFont="1">
      <alignment/>
      <protection/>
    </xf>
    <xf numFmtId="189" fontId="92" fillId="0" borderId="0" xfId="449" applyNumberFormat="1" applyFont="1" applyAlignment="1">
      <alignment horizontal="left" vertical="center"/>
      <protection/>
    </xf>
    <xf numFmtId="0" fontId="92" fillId="0" borderId="0" xfId="449" applyNumberFormat="1" applyFont="1" applyAlignment="1">
      <alignment horizontal="left" vertical="center"/>
      <protection/>
    </xf>
    <xf numFmtId="1" fontId="92" fillId="0" borderId="0" xfId="449" applyNumberFormat="1" applyFont="1" applyAlignment="1">
      <alignment horizontal="left" vertical="center"/>
      <protection/>
    </xf>
    <xf numFmtId="0" fontId="93" fillId="0" borderId="0" xfId="449" applyFont="1" applyAlignment="1">
      <alignment horizontal="left" vertical="center"/>
      <protection/>
    </xf>
    <xf numFmtId="49" fontId="5" fillId="34" borderId="0" xfId="0" applyNumberFormat="1" applyFont="1" applyFill="1" applyAlignment="1" applyProtection="1">
      <alignment horizontal="left" vertical="center"/>
      <protection/>
    </xf>
    <xf numFmtId="0" fontId="39" fillId="47" borderId="26" xfId="97" applyFont="1" applyFill="1" applyBorder="1" applyAlignment="1" applyProtection="1">
      <alignment vertical="center"/>
      <protection locked="0"/>
    </xf>
    <xf numFmtId="0" fontId="5" fillId="47" borderId="0" xfId="97" applyFont="1" applyFill="1" applyBorder="1" applyAlignment="1" applyProtection="1">
      <alignment vertical="center"/>
      <protection locked="0"/>
    </xf>
    <xf numFmtId="0" fontId="37" fillId="47" borderId="0" xfId="97"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37" fillId="43" borderId="25" xfId="0" applyFont="1" applyFill="1" applyBorder="1" applyAlignment="1" applyProtection="1">
      <alignment vertical="center"/>
      <protection locked="0"/>
    </xf>
    <xf numFmtId="0" fontId="37" fillId="43" borderId="11" xfId="0" applyFont="1" applyFill="1" applyBorder="1" applyAlignment="1" applyProtection="1">
      <alignment vertical="center"/>
      <protection locked="0"/>
    </xf>
    <xf numFmtId="0" fontId="5" fillId="43" borderId="11" xfId="0" applyFont="1" applyFill="1" applyBorder="1" applyAlignment="1" applyProtection="1">
      <alignment vertical="center"/>
      <protection locked="0"/>
    </xf>
    <xf numFmtId="0" fontId="5" fillId="47" borderId="17" xfId="0" applyFont="1" applyFill="1" applyBorder="1" applyAlignment="1" applyProtection="1">
      <alignment vertical="center"/>
      <protection locked="0"/>
    </xf>
    <xf numFmtId="188" fontId="37" fillId="43" borderId="26" xfId="0" applyNumberFormat="1" applyFont="1" applyFill="1" applyBorder="1" applyAlignment="1" applyProtection="1">
      <alignment horizontal="center" vertical="center"/>
      <protection/>
    </xf>
    <xf numFmtId="0" fontId="37" fillId="43" borderId="0" xfId="0" applyFont="1" applyFill="1" applyBorder="1" applyAlignment="1" applyProtection="1">
      <alignment horizontal="left" vertical="center"/>
      <protection/>
    </xf>
    <xf numFmtId="0" fontId="38" fillId="43" borderId="0" xfId="0" applyFont="1" applyFill="1" applyBorder="1" applyAlignment="1" applyProtection="1">
      <alignment horizontal="center" vertical="center"/>
      <protection/>
    </xf>
    <xf numFmtId="0" fontId="0" fillId="43" borderId="21" xfId="0" applyFill="1" applyBorder="1" applyAlignment="1" applyProtection="1">
      <alignment vertical="center"/>
      <protection/>
    </xf>
    <xf numFmtId="188" fontId="37" fillId="47" borderId="25" xfId="0" applyNumberFormat="1" applyFont="1" applyFill="1" applyBorder="1" applyAlignment="1" applyProtection="1">
      <alignment horizontal="center" vertical="center"/>
      <protection/>
    </xf>
    <xf numFmtId="188" fontId="37" fillId="43" borderId="20" xfId="0" applyNumberFormat="1" applyFont="1" applyFill="1" applyBorder="1" applyAlignment="1" applyProtection="1">
      <alignment horizontal="center" vertical="center"/>
      <protection/>
    </xf>
    <xf numFmtId="188" fontId="37" fillId="47" borderId="20" xfId="0" applyNumberFormat="1" applyFont="1" applyFill="1" applyBorder="1" applyAlignment="1" applyProtection="1">
      <alignment horizontal="center" vertical="center"/>
      <protection/>
    </xf>
    <xf numFmtId="0" fontId="37" fillId="43" borderId="11" xfId="0" applyFont="1" applyFill="1" applyBorder="1" applyAlignment="1" applyProtection="1">
      <alignment horizontal="left" vertical="center"/>
      <protection/>
    </xf>
    <xf numFmtId="0" fontId="38" fillId="43" borderId="11" xfId="0"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87" fillId="0" borderId="0" xfId="0" applyFont="1" applyAlignment="1" applyProtection="1">
      <alignment/>
      <protection locked="0"/>
    </xf>
    <xf numFmtId="195" fontId="13" fillId="47" borderId="25" xfId="97" applyNumberFormat="1" applyFont="1" applyFill="1" applyBorder="1" applyAlignment="1" applyProtection="1">
      <alignment horizontal="center" vertical="center"/>
      <protection locked="0"/>
    </xf>
    <xf numFmtId="0" fontId="13" fillId="47" borderId="11" xfId="97" applyFont="1" applyFill="1" applyBorder="1" applyAlignment="1" applyProtection="1">
      <alignment vertical="center"/>
      <protection locked="0"/>
    </xf>
    <xf numFmtId="0" fontId="5" fillId="47" borderId="17" xfId="97" applyFont="1" applyFill="1" applyBorder="1" applyAlignment="1" applyProtection="1">
      <alignment vertical="center"/>
      <protection locked="0"/>
    </xf>
    <xf numFmtId="0" fontId="5" fillId="43" borderId="21" xfId="0" applyFont="1" applyFill="1" applyBorder="1" applyAlignment="1" applyProtection="1">
      <alignment vertical="center"/>
      <protection locked="0"/>
    </xf>
    <xf numFmtId="3" fontId="5" fillId="40" borderId="15" xfId="97" applyNumberFormat="1" applyFont="1" applyFill="1" applyBorder="1" applyAlignment="1" applyProtection="1">
      <alignment vertical="center"/>
      <protection/>
    </xf>
    <xf numFmtId="3" fontId="5" fillId="41" borderId="15" xfId="0" applyNumberFormat="1" applyFont="1" applyFill="1" applyBorder="1" applyAlignment="1" applyProtection="1">
      <alignment vertical="center"/>
      <protection/>
    </xf>
    <xf numFmtId="3" fontId="5" fillId="40" borderId="15" xfId="0" applyNumberFormat="1" applyFont="1" applyFill="1" applyBorder="1" applyAlignment="1" applyProtection="1">
      <alignment vertical="center"/>
      <protection/>
    </xf>
    <xf numFmtId="0" fontId="37" fillId="43" borderId="26" xfId="0" applyFont="1" applyFill="1" applyBorder="1" applyAlignment="1" applyProtection="1">
      <alignment vertical="center"/>
      <protection/>
    </xf>
    <xf numFmtId="0" fontId="5" fillId="43" borderId="0" xfId="0" applyFont="1" applyFill="1" applyBorder="1" applyAlignment="1" applyProtection="1">
      <alignment vertical="center"/>
      <protection/>
    </xf>
    <xf numFmtId="0" fontId="37" fillId="43" borderId="0" xfId="0" applyFont="1" applyFill="1" applyBorder="1" applyAlignment="1" applyProtection="1">
      <alignment vertical="center"/>
      <protection/>
    </xf>
    <xf numFmtId="195" fontId="37" fillId="43" borderId="21" xfId="0" applyNumberFormat="1" applyFont="1" applyFill="1" applyBorder="1" applyAlignment="1" applyProtection="1">
      <alignment horizontal="center" vertical="center"/>
      <protection/>
    </xf>
    <xf numFmtId="0" fontId="37" fillId="43" borderId="26" xfId="0" applyFont="1" applyFill="1" applyBorder="1" applyAlignment="1" applyProtection="1">
      <alignment horizontal="left" vertical="center"/>
      <protection/>
    </xf>
    <xf numFmtId="195" fontId="37" fillId="45" borderId="10" xfId="0" applyNumberFormat="1" applyFont="1" applyFill="1" applyBorder="1" applyAlignment="1" applyProtection="1">
      <alignment horizontal="center" vertical="center"/>
      <protection locked="0"/>
    </xf>
    <xf numFmtId="188" fontId="39" fillId="43" borderId="18" xfId="0" applyNumberFormat="1" applyFont="1" applyFill="1" applyBorder="1" applyAlignment="1" applyProtection="1">
      <alignment horizontal="center" vertical="center"/>
      <protection/>
    </xf>
    <xf numFmtId="0" fontId="39" fillId="47" borderId="26" xfId="0" applyFont="1" applyFill="1" applyBorder="1" applyAlignment="1" applyProtection="1">
      <alignment vertical="center"/>
      <protection/>
    </xf>
    <xf numFmtId="0" fontId="5" fillId="47" borderId="0" xfId="0" applyFont="1" applyFill="1" applyBorder="1" applyAlignment="1" applyProtection="1">
      <alignment vertical="center"/>
      <protection/>
    </xf>
    <xf numFmtId="0" fontId="37" fillId="47" borderId="0" xfId="0" applyFont="1" applyFill="1" applyBorder="1" applyAlignment="1" applyProtection="1">
      <alignment vertical="center"/>
      <protection/>
    </xf>
    <xf numFmtId="195" fontId="39" fillId="47" borderId="18" xfId="0" applyNumberFormat="1" applyFont="1" applyFill="1" applyBorder="1" applyAlignment="1" applyProtection="1">
      <alignment horizontal="center" vertical="center"/>
      <protection/>
    </xf>
    <xf numFmtId="37" fontId="37" fillId="34" borderId="25" xfId="0" applyNumberFormat="1" applyFont="1" applyFill="1" applyBorder="1" applyAlignment="1" applyProtection="1">
      <alignment horizontal="left" vertical="center"/>
      <protection/>
    </xf>
    <xf numFmtId="0" fontId="41" fillId="43" borderId="11" xfId="0" applyFont="1" applyFill="1" applyBorder="1" applyAlignment="1">
      <alignment horizontal="left" vertical="center"/>
    </xf>
    <xf numFmtId="195" fontId="39" fillId="47" borderId="17" xfId="0" applyNumberFormat="1" applyFont="1" applyFill="1" applyBorder="1" applyAlignment="1" applyProtection="1">
      <alignment horizontal="center" vertical="center"/>
      <protection locked="0"/>
    </xf>
    <xf numFmtId="0" fontId="5" fillId="43" borderId="26" xfId="0" applyFont="1" applyFill="1" applyBorder="1" applyAlignment="1" applyProtection="1">
      <alignment vertical="center"/>
      <protection/>
    </xf>
    <xf numFmtId="0" fontId="5" fillId="43" borderId="21" xfId="0" applyFont="1" applyFill="1" applyBorder="1" applyAlignment="1" applyProtection="1">
      <alignment/>
      <protection locked="0"/>
    </xf>
    <xf numFmtId="195" fontId="37" fillId="43" borderId="26" xfId="0" applyNumberFormat="1" applyFont="1" applyFill="1" applyBorder="1" applyAlignment="1" applyProtection="1">
      <alignment horizontal="center" vertical="center"/>
      <protection/>
    </xf>
    <xf numFmtId="0" fontId="37" fillId="43" borderId="21" xfId="0" applyFont="1" applyFill="1" applyBorder="1" applyAlignment="1" applyProtection="1">
      <alignment vertical="center"/>
      <protection/>
    </xf>
    <xf numFmtId="195" fontId="37" fillId="43" borderId="25" xfId="0" applyNumberFormat="1" applyFont="1" applyFill="1" applyBorder="1" applyAlignment="1" applyProtection="1">
      <alignment horizontal="center" vertical="center"/>
      <protection/>
    </xf>
    <xf numFmtId="0" fontId="40" fillId="0" borderId="0" xfId="0" applyFont="1" applyAlignment="1" applyProtection="1">
      <alignment horizontal="right" vertical="center"/>
      <protection/>
    </xf>
    <xf numFmtId="195" fontId="13" fillId="43" borderId="26" xfId="0" applyNumberFormat="1" applyFont="1" applyFill="1" applyBorder="1" applyAlignment="1" applyProtection="1">
      <alignment horizontal="center" vertical="center"/>
      <protection/>
    </xf>
    <xf numFmtId="0" fontId="5" fillId="43" borderId="21" xfId="0" applyFont="1" applyFill="1" applyBorder="1" applyAlignment="1" applyProtection="1">
      <alignment vertical="center"/>
      <protection/>
    </xf>
    <xf numFmtId="195" fontId="13" fillId="43" borderId="26" xfId="0" applyNumberFormat="1" applyFont="1" applyFill="1" applyBorder="1" applyAlignment="1" applyProtection="1">
      <alignment vertical="center"/>
      <protection/>
    </xf>
    <xf numFmtId="0" fontId="13" fillId="43" borderId="0" xfId="0" applyFont="1" applyFill="1" applyBorder="1" applyAlignment="1" applyProtection="1">
      <alignment vertical="center"/>
      <protection/>
    </xf>
    <xf numFmtId="195" fontId="13" fillId="43" borderId="25" xfId="0" applyNumberFormat="1" applyFont="1" applyFill="1" applyBorder="1" applyAlignment="1" applyProtection="1">
      <alignment horizontal="center" vertical="center"/>
      <protection/>
    </xf>
    <xf numFmtId="195" fontId="13" fillId="47" borderId="25" xfId="0" applyNumberFormat="1" applyFont="1" applyFill="1" applyBorder="1" applyAlignment="1" applyProtection="1">
      <alignment horizontal="center" vertical="center"/>
      <protection/>
    </xf>
    <xf numFmtId="0" fontId="13" fillId="47" borderId="11" xfId="0" applyFont="1" applyFill="1" applyBorder="1" applyAlignment="1" applyProtection="1">
      <alignment vertical="center"/>
      <protection/>
    </xf>
    <xf numFmtId="0" fontId="5" fillId="47" borderId="17" xfId="0" applyFont="1" applyFill="1" applyBorder="1" applyAlignment="1" applyProtection="1">
      <alignment vertical="center"/>
      <protection/>
    </xf>
    <xf numFmtId="0" fontId="5" fillId="47" borderId="17" xfId="0" applyFont="1" applyFill="1" applyBorder="1" applyAlignment="1" applyProtection="1">
      <alignment/>
      <protection locked="0"/>
    </xf>
    <xf numFmtId="0" fontId="87" fillId="0" borderId="0" xfId="0" applyFont="1" applyAlignment="1">
      <alignment/>
    </xf>
    <xf numFmtId="0" fontId="5" fillId="43" borderId="0" xfId="87" applyFont="1" applyFill="1">
      <alignment/>
      <protection/>
    </xf>
    <xf numFmtId="0" fontId="0" fillId="0" borderId="0" xfId="87">
      <alignment/>
      <protection/>
    </xf>
    <xf numFmtId="0" fontId="5" fillId="43" borderId="0" xfId="87" applyFont="1" applyFill="1" applyAlignment="1">
      <alignment vertical="center"/>
      <protection/>
    </xf>
    <xf numFmtId="37" fontId="5" fillId="43" borderId="0" xfId="87" applyNumberFormat="1" applyFont="1" applyFill="1" applyAlignment="1">
      <alignment vertical="center"/>
      <protection/>
    </xf>
    <xf numFmtId="0" fontId="5" fillId="43" borderId="11" xfId="87" applyFont="1" applyFill="1" applyBorder="1" applyAlignment="1">
      <alignment vertical="center"/>
      <protection/>
    </xf>
    <xf numFmtId="0" fontId="5" fillId="43" borderId="0" xfId="87" applyFont="1" applyFill="1" applyAlignment="1">
      <alignment horizontal="center" vertical="center"/>
      <protection/>
    </xf>
    <xf numFmtId="0" fontId="6" fillId="43" borderId="0" xfId="87" applyFont="1" applyFill="1" applyAlignment="1">
      <alignment horizontal="center" vertical="center"/>
      <protection/>
    </xf>
    <xf numFmtId="195" fontId="5" fillId="43" borderId="0" xfId="87" applyNumberFormat="1" applyFont="1" applyFill="1" applyAlignment="1">
      <alignment vertical="center"/>
      <protection/>
    </xf>
    <xf numFmtId="195" fontId="5" fillId="43" borderId="19" xfId="87" applyNumberFormat="1" applyFont="1" applyFill="1" applyBorder="1" applyAlignment="1">
      <alignment vertical="center"/>
      <protection/>
    </xf>
    <xf numFmtId="195" fontId="5" fillId="43" borderId="0" xfId="87" applyNumberFormat="1" applyFont="1" applyFill="1" applyBorder="1" applyAlignment="1">
      <alignment vertical="center"/>
      <protection/>
    </xf>
    <xf numFmtId="0" fontId="88" fillId="47" borderId="0" xfId="87" applyFont="1" applyFill="1" applyAlignment="1">
      <alignment vertical="center"/>
      <protection/>
    </xf>
    <xf numFmtId="0" fontId="88" fillId="43" borderId="0" xfId="87" applyFont="1" applyFill="1" applyAlignment="1">
      <alignment horizontal="center" vertical="center"/>
      <protection/>
    </xf>
    <xf numFmtId="188" fontId="5" fillId="43" borderId="0" xfId="87" applyNumberFormat="1" applyFont="1" applyFill="1" applyAlignment="1">
      <alignment horizontal="center" vertical="center"/>
      <protection/>
    </xf>
    <xf numFmtId="199" fontId="88" fillId="43" borderId="0" xfId="87" applyNumberFormat="1" applyFont="1" applyFill="1" applyAlignment="1">
      <alignment horizontal="center" vertical="center"/>
      <protection/>
    </xf>
    <xf numFmtId="0" fontId="88" fillId="47" borderId="0" xfId="87" applyFont="1" applyFill="1" applyAlignment="1">
      <alignment horizontal="center" vertical="center"/>
      <protection/>
    </xf>
    <xf numFmtId="0" fontId="94" fillId="47" borderId="0" xfId="87" applyFont="1" applyFill="1" applyAlignment="1">
      <alignment horizontal="center" vertical="center"/>
      <protection/>
    </xf>
    <xf numFmtId="0" fontId="5" fillId="43" borderId="0" xfId="87" applyFont="1" applyFill="1" applyAlignment="1">
      <alignment horizontal="right" vertical="center"/>
      <protection/>
    </xf>
    <xf numFmtId="0" fontId="5" fillId="43" borderId="0" xfId="87" applyFont="1" applyFill="1" applyAlignment="1">
      <alignment horizontal="left" vertical="center"/>
      <protection/>
    </xf>
    <xf numFmtId="0" fontId="5" fillId="43" borderId="0" xfId="82" applyFont="1" applyFill="1">
      <alignment/>
      <protection/>
    </xf>
    <xf numFmtId="0" fontId="0" fillId="43" borderId="0" xfId="87" applyFill="1">
      <alignment/>
      <protection/>
    </xf>
    <xf numFmtId="0" fontId="4" fillId="43" borderId="0" xfId="82" applyFont="1" applyFill="1">
      <alignment/>
      <protection/>
    </xf>
    <xf numFmtId="0" fontId="0" fillId="43" borderId="0" xfId="82" applyFill="1">
      <alignment/>
      <protection/>
    </xf>
    <xf numFmtId="0" fontId="11" fillId="0" borderId="0" xfId="67" applyAlignment="1" applyProtection="1">
      <alignment/>
      <protection/>
    </xf>
    <xf numFmtId="195" fontId="37" fillId="43" borderId="26" xfId="0" applyNumberFormat="1" applyFont="1" applyFill="1" applyBorder="1" applyAlignment="1" applyProtection="1">
      <alignment vertical="center"/>
      <protection/>
    </xf>
    <xf numFmtId="195" fontId="37" fillId="47" borderId="25" xfId="0" applyNumberFormat="1" applyFont="1" applyFill="1" applyBorder="1" applyAlignment="1" applyProtection="1">
      <alignment horizontal="center" vertical="center"/>
      <protection/>
    </xf>
    <xf numFmtId="0" fontId="37" fillId="47" borderId="11" xfId="0" applyFont="1" applyFill="1" applyBorder="1" applyAlignment="1" applyProtection="1">
      <alignment vertical="center"/>
      <protection/>
    </xf>
    <xf numFmtId="0" fontId="37" fillId="47" borderId="17"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fill" vertical="center"/>
      <protection locked="0"/>
    </xf>
    <xf numFmtId="0" fontId="4" fillId="34" borderId="0" xfId="0" applyFont="1" applyFill="1" applyAlignment="1" applyProtection="1">
      <alignment horizontal="right"/>
      <protection/>
    </xf>
    <xf numFmtId="6" fontId="5" fillId="43" borderId="0" xfId="87" applyNumberFormat="1" applyFont="1" applyFill="1" applyBorder="1" applyAlignment="1">
      <alignment horizontal="center" vertical="center"/>
      <protection/>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left" vertical="center"/>
      <protection/>
    </xf>
    <xf numFmtId="0" fontId="5" fillId="34" borderId="21" xfId="0" applyFont="1" applyFill="1" applyBorder="1" applyAlignment="1" applyProtection="1">
      <alignment horizontal="left" vertical="center"/>
      <protection/>
    </xf>
    <xf numFmtId="37" fontId="8" fillId="34" borderId="22" xfId="0" applyNumberFormat="1" applyFont="1" applyFill="1" applyBorder="1" applyAlignment="1" applyProtection="1">
      <alignment horizontal="center" vertical="center"/>
      <protection/>
    </xf>
    <xf numFmtId="0" fontId="5" fillId="0" borderId="0" xfId="0" applyFont="1" applyBorder="1" applyAlignment="1">
      <alignment vertical="center"/>
    </xf>
    <xf numFmtId="3" fontId="5" fillId="34" borderId="10" xfId="0" applyNumberFormat="1" applyFont="1" applyFill="1" applyBorder="1" applyAlignment="1" applyProtection="1">
      <alignment horizontal="right" vertical="center"/>
      <protection/>
    </xf>
    <xf numFmtId="197" fontId="5" fillId="34" borderId="10" xfId="0" applyNumberFormat="1" applyFont="1" applyFill="1" applyBorder="1" applyAlignment="1" applyProtection="1">
      <alignment horizontal="right" vertical="center"/>
      <protection/>
    </xf>
    <xf numFmtId="178" fontId="5" fillId="34" borderId="10"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4" borderId="38" xfId="0" applyNumberFormat="1" applyFont="1" applyFill="1" applyBorder="1" applyAlignment="1" applyProtection="1">
      <alignment horizontal="right" vertical="center"/>
      <protection/>
    </xf>
    <xf numFmtId="0" fontId="5" fillId="34" borderId="38" xfId="0" applyFont="1" applyFill="1" applyBorder="1" applyAlignment="1" applyProtection="1">
      <alignment horizontal="right" vertical="center"/>
      <protection/>
    </xf>
    <xf numFmtId="3" fontId="5" fillId="42" borderId="14" xfId="0" applyNumberFormat="1" applyFont="1" applyFill="1" applyBorder="1" applyAlignment="1" applyProtection="1">
      <alignment horizontal="right" vertical="center"/>
      <protection/>
    </xf>
    <xf numFmtId="188" fontId="5" fillId="42" borderId="14" xfId="0" applyNumberFormat="1" applyFont="1" applyFill="1" applyBorder="1" applyAlignment="1" applyProtection="1">
      <alignment horizontal="right" vertical="center"/>
      <protection/>
    </xf>
    <xf numFmtId="198" fontId="5" fillId="34" borderId="0" xfId="465" applyNumberFormat="1" applyFont="1" applyFill="1" applyAlignment="1" applyProtection="1">
      <alignment horizontal="center" vertical="center"/>
      <protection/>
    </xf>
    <xf numFmtId="37" fontId="5" fillId="0" borderId="0" xfId="82" applyNumberFormat="1" applyFont="1" applyFill="1" applyAlignment="1" applyProtection="1">
      <alignment horizontal="left" vertical="center" wrapText="1"/>
      <protection/>
    </xf>
    <xf numFmtId="0" fontId="5" fillId="0" borderId="0" xfId="467" applyFont="1" applyAlignment="1">
      <alignment vertical="center" wrapText="1"/>
      <protection/>
    </xf>
    <xf numFmtId="0" fontId="5" fillId="0" borderId="0" xfId="81" applyFont="1" applyAlignment="1">
      <alignment vertical="center" wrapText="1"/>
      <protection/>
    </xf>
    <xf numFmtId="0" fontId="5" fillId="0" borderId="0" xfId="82" applyFont="1" applyAlignment="1">
      <alignment vertical="center" wrapText="1"/>
      <protection/>
    </xf>
    <xf numFmtId="0" fontId="5" fillId="0" borderId="0" xfId="404" applyFont="1" applyAlignment="1">
      <alignment vertical="center" wrapText="1"/>
      <protection/>
    </xf>
    <xf numFmtId="0" fontId="5" fillId="0" borderId="0" xfId="424" applyNumberFormat="1" applyFont="1" applyAlignment="1">
      <alignment vertical="center" wrapText="1"/>
      <protection/>
    </xf>
    <xf numFmtId="0" fontId="5" fillId="0" borderId="0" xfId="90" applyFont="1" applyAlignment="1">
      <alignment vertical="center" wrapText="1"/>
      <protection/>
    </xf>
    <xf numFmtId="0" fontId="5" fillId="0" borderId="0" xfId="123" applyFont="1" applyAlignment="1">
      <alignment vertical="center" wrapText="1"/>
      <protection/>
    </xf>
    <xf numFmtId="0" fontId="5" fillId="0" borderId="0" xfId="130" applyFont="1" applyAlignment="1">
      <alignment vertical="center" wrapText="1"/>
      <protection/>
    </xf>
    <xf numFmtId="0" fontId="40" fillId="0" borderId="0" xfId="0" applyFont="1" applyAlignment="1" applyProtection="1">
      <alignment vertical="center"/>
      <protection/>
    </xf>
    <xf numFmtId="0" fontId="11" fillId="32" borderId="0" xfId="67" applyFill="1" applyAlignment="1" applyProtection="1">
      <alignment/>
      <protection/>
    </xf>
    <xf numFmtId="0" fontId="66" fillId="32" borderId="0" xfId="389" applyFill="1">
      <alignment/>
      <protection/>
    </xf>
    <xf numFmtId="0" fontId="66" fillId="0" borderId="0" xfId="389">
      <alignment/>
      <protection/>
    </xf>
    <xf numFmtId="0" fontId="5" fillId="0" borderId="0" xfId="165" applyFont="1" applyAlignment="1">
      <alignment vertical="center"/>
      <protection/>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195" fontId="39" fillId="47" borderId="17" xfId="0" applyNumberFormat="1" applyFont="1" applyFill="1" applyBorder="1" applyAlignment="1" applyProtection="1">
      <alignment horizontal="center" vertical="center"/>
      <protection/>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34" borderId="0" xfId="0" applyFont="1" applyFill="1" applyBorder="1" applyAlignment="1">
      <alignment vertical="center"/>
    </xf>
    <xf numFmtId="0" fontId="20"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449" applyFont="1" applyAlignment="1">
      <alignment horizontal="left" vertical="center" wrapText="1"/>
      <protection/>
    </xf>
    <xf numFmtId="0" fontId="29" fillId="0" borderId="0" xfId="449" applyAlignment="1">
      <alignment horizontal="left" vertical="center" wrapText="1"/>
      <protection/>
    </xf>
    <xf numFmtId="0" fontId="14" fillId="0" borderId="0" xfId="449"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left" vertical="center"/>
      <protection/>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7" fillId="34" borderId="0" xfId="0" applyFont="1" applyFill="1" applyAlignment="1">
      <alignment horizontal="center" vertical="center"/>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8" xfId="0" applyBorder="1" applyAlignment="1">
      <alignment horizontal="center" vertical="center"/>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4" fillId="43" borderId="0" xfId="87" applyFont="1" applyFill="1" applyAlignment="1">
      <alignment horizontal="center" vertical="center"/>
      <protection/>
    </xf>
    <xf numFmtId="0" fontId="14" fillId="43" borderId="0" xfId="87" applyFont="1" applyFill="1" applyAlignment="1">
      <alignment horizontal="center" vertical="center"/>
      <protection/>
    </xf>
    <xf numFmtId="0" fontId="5" fillId="43" borderId="0" xfId="87" applyFont="1" applyFill="1" applyAlignment="1">
      <alignment vertical="center" wrapText="1"/>
      <protection/>
    </xf>
    <xf numFmtId="0" fontId="14" fillId="43" borderId="0" xfId="466" applyFont="1" applyFill="1" applyAlignment="1">
      <alignment horizontal="center"/>
      <protection/>
    </xf>
    <xf numFmtId="0" fontId="0" fillId="43" borderId="0" xfId="87" applyFill="1" applyAlignment="1">
      <alignment horizontal="center"/>
      <protection/>
    </xf>
    <xf numFmtId="0" fontId="38" fillId="43" borderId="24" xfId="97" applyFont="1" applyFill="1" applyBorder="1" applyAlignment="1" applyProtection="1">
      <alignment horizontal="center" vertical="center"/>
      <protection/>
    </xf>
    <xf numFmtId="0" fontId="38" fillId="43" borderId="19" xfId="97" applyFont="1" applyFill="1" applyBorder="1" applyAlignment="1" applyProtection="1">
      <alignment horizontal="center" vertical="center"/>
      <protection/>
    </xf>
    <xf numFmtId="0" fontId="0" fillId="0" borderId="22" xfId="97" applyBorder="1" applyAlignment="1" applyProtection="1">
      <alignment vertical="center"/>
      <protection/>
    </xf>
    <xf numFmtId="3" fontId="5" fillId="34" borderId="19" xfId="101" applyNumberFormat="1" applyFont="1" applyFill="1" applyBorder="1" applyAlignment="1" applyProtection="1">
      <alignment horizontal="right" vertical="center"/>
      <protection/>
    </xf>
    <xf numFmtId="0" fontId="0" fillId="0" borderId="22" xfId="101" applyBorder="1" applyAlignment="1">
      <alignment horizontal="right" vertical="center"/>
      <protection/>
    </xf>
    <xf numFmtId="0" fontId="5" fillId="34" borderId="0" xfId="101" applyFont="1" applyFill="1" applyAlignment="1" applyProtection="1">
      <alignment horizontal="right" vertical="center"/>
      <protection/>
    </xf>
    <xf numFmtId="0" fontId="5" fillId="0" borderId="21" xfId="101"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19" xfId="0" applyBorder="1" applyAlignment="1">
      <alignment vertical="center"/>
    </xf>
    <xf numFmtId="0" fontId="0" fillId="0" borderId="22" xfId="0" applyBorder="1" applyAlignment="1">
      <alignment vertical="center"/>
    </xf>
    <xf numFmtId="188" fontId="38" fillId="43" borderId="24" xfId="0" applyNumberFormat="1" applyFont="1" applyFill="1" applyBorder="1" applyAlignment="1" applyProtection="1">
      <alignment horizontal="center"/>
      <protection/>
    </xf>
    <xf numFmtId="0" fontId="16" fillId="0" borderId="19" xfId="0" applyFont="1" applyBorder="1" applyAlignment="1">
      <alignment/>
    </xf>
    <xf numFmtId="0" fontId="16" fillId="0" borderId="22" xfId="0" applyFont="1" applyBorder="1" applyAlignment="1">
      <alignment/>
    </xf>
    <xf numFmtId="0" fontId="5" fillId="34" borderId="0" xfId="67" applyNumberFormat="1" applyFont="1" applyFill="1" applyBorder="1" applyAlignment="1" applyProtection="1">
      <alignment horizontal="right" vertical="center"/>
      <protection/>
    </xf>
    <xf numFmtId="0" fontId="5" fillId="0" borderId="0" xfId="67" applyFont="1" applyAlignment="1" applyProtection="1">
      <alignment horizontal="right" vertical="center"/>
      <protection/>
    </xf>
    <xf numFmtId="0" fontId="31" fillId="43" borderId="24" xfId="97" applyFont="1" applyFill="1" applyBorder="1" applyAlignment="1" applyProtection="1">
      <alignment horizontal="center" vertical="center"/>
      <protection locked="0"/>
    </xf>
    <xf numFmtId="0" fontId="38" fillId="43" borderId="24" xfId="0" applyFont="1" applyFill="1" applyBorder="1" applyAlignment="1" applyProtection="1">
      <alignment horizontal="center" vertical="center"/>
      <protection/>
    </xf>
    <xf numFmtId="0" fontId="41" fillId="0" borderId="19" xfId="0" applyFont="1" applyBorder="1" applyAlignment="1">
      <alignment horizontal="center" vertical="center"/>
    </xf>
    <xf numFmtId="0" fontId="0" fillId="0" borderId="22" xfId="0" applyBorder="1" applyAlignment="1">
      <alignment/>
    </xf>
    <xf numFmtId="0" fontId="0" fillId="0" borderId="0" xfId="0" applyBorder="1" applyAlignment="1">
      <alignment horizontal="right" vertical="center"/>
    </xf>
    <xf numFmtId="0" fontId="0" fillId="0" borderId="19" xfId="0"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14" fillId="43" borderId="24" xfId="97"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43" borderId="0" xfId="122" applyNumberFormat="1" applyFont="1" applyFill="1" applyAlignment="1" applyProtection="1">
      <alignment horizontal="center"/>
      <protection/>
    </xf>
    <xf numFmtId="37" fontId="5" fillId="34" borderId="11" xfId="0" applyNumberFormat="1" applyFont="1" applyFill="1" applyBorder="1" applyAlignment="1" applyProtection="1">
      <alignment horizontal="center" vertical="center"/>
      <protection locked="0"/>
    </xf>
    <xf numFmtId="0" fontId="0" fillId="0" borderId="19" xfId="97" applyBorder="1" applyAlignment="1" applyProtection="1">
      <alignment horizontal="center"/>
      <protection/>
    </xf>
    <xf numFmtId="0" fontId="0" fillId="0" borderId="22" xfId="97" applyBorder="1" applyAlignment="1" applyProtection="1">
      <alignment horizontal="center"/>
      <protection/>
    </xf>
    <xf numFmtId="0" fontId="14" fillId="43" borderId="19" xfId="97" applyFont="1" applyFill="1" applyBorder="1" applyAlignment="1" applyProtection="1">
      <alignment horizontal="center"/>
      <protection/>
    </xf>
    <xf numFmtId="0" fontId="14" fillId="43" borderId="22" xfId="97" applyFont="1" applyFill="1" applyBorder="1" applyAlignment="1" applyProtection="1">
      <alignment horizontal="center"/>
      <protection/>
    </xf>
    <xf numFmtId="37" fontId="5" fillId="43"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0" fillId="0" borderId="0" xfId="0" applyAlignment="1">
      <alignment vertical="center"/>
    </xf>
    <xf numFmtId="0" fontId="5" fillId="0" borderId="0" xfId="0" applyFont="1" applyAlignment="1">
      <alignment horizontal="right"/>
    </xf>
    <xf numFmtId="0" fontId="5" fillId="0" borderId="0" xfId="0" applyFont="1" applyAlignment="1">
      <alignment horizontal="left" vertical="justify" wrapText="1"/>
    </xf>
    <xf numFmtId="0" fontId="5" fillId="0" borderId="0" xfId="0" applyFont="1" applyAlignment="1">
      <alignment horizontal="left" vertical="justify"/>
    </xf>
    <xf numFmtId="0" fontId="5" fillId="0" borderId="0" xfId="0" applyFont="1" applyAlignment="1">
      <alignment horizontal="center"/>
    </xf>
    <xf numFmtId="0" fontId="5" fillId="0" borderId="0" xfId="0" applyFont="1" applyAlignment="1">
      <alignment horizontal="center" wrapText="1"/>
    </xf>
    <xf numFmtId="195" fontId="33" fillId="43" borderId="0" xfId="0" applyNumberFormat="1" applyFont="1" applyFill="1" applyBorder="1" applyAlignment="1">
      <alignment horizontal="center"/>
    </xf>
    <xf numFmtId="0" fontId="33" fillId="43" borderId="35" xfId="0" applyFont="1" applyFill="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196" fontId="33" fillId="43" borderId="0" xfId="0" applyNumberFormat="1" applyFont="1" applyFill="1" applyBorder="1" applyAlignment="1">
      <alignment horizontal="center"/>
    </xf>
    <xf numFmtId="0" fontId="33" fillId="0" borderId="31" xfId="0" applyFont="1" applyBorder="1" applyAlignment="1">
      <alignment horizontal="center"/>
    </xf>
    <xf numFmtId="178" fontId="33" fillId="45" borderId="11" xfId="0" applyNumberFormat="1" applyFont="1" applyFill="1" applyBorder="1" applyAlignment="1" applyProtection="1">
      <alignment horizontal="center"/>
      <protection locked="0"/>
    </xf>
    <xf numFmtId="196" fontId="33" fillId="0" borderId="31" xfId="0" applyNumberFormat="1" applyFont="1" applyBorder="1" applyAlignment="1">
      <alignment horizontal="center"/>
    </xf>
    <xf numFmtId="0" fontId="84" fillId="43" borderId="28" xfId="0" applyFont="1" applyFill="1" applyBorder="1" applyAlignment="1">
      <alignment horizontal="center" vertical="center"/>
    </xf>
    <xf numFmtId="0" fontId="84" fillId="43" borderId="0" xfId="0" applyFont="1" applyFill="1" applyAlignment="1">
      <alignment horizontal="center" wrapText="1"/>
    </xf>
    <xf numFmtId="0" fontId="33" fillId="43" borderId="0" xfId="0" applyFont="1" applyFill="1" applyBorder="1" applyAlignment="1">
      <alignment horizontal="center"/>
    </xf>
    <xf numFmtId="0" fontId="33" fillId="43" borderId="0" xfId="0" applyFont="1" applyFill="1" applyAlignment="1">
      <alignment wrapText="1"/>
    </xf>
    <xf numFmtId="0" fontId="84" fillId="43" borderId="0" xfId="0" applyFont="1" applyFill="1" applyBorder="1" applyAlignment="1">
      <alignment horizontal="center" wrapText="1"/>
    </xf>
    <xf numFmtId="0" fontId="33" fillId="0" borderId="0" xfId="0" applyFont="1" applyAlignment="1">
      <alignment horizontal="center" wrapText="1"/>
    </xf>
    <xf numFmtId="0" fontId="84" fillId="0" borderId="0" xfId="0" applyFont="1" applyAlignment="1">
      <alignment horizontal="center" wrapText="1"/>
    </xf>
    <xf numFmtId="0" fontId="33" fillId="43" borderId="0" xfId="0" applyFont="1" applyFill="1" applyBorder="1" applyAlignment="1">
      <alignment wrapText="1"/>
    </xf>
    <xf numFmtId="0" fontId="33" fillId="0" borderId="0" xfId="0" applyFont="1" applyAlignment="1">
      <alignment wrapText="1"/>
    </xf>
    <xf numFmtId="195" fontId="33" fillId="45" borderId="11" xfId="0" applyNumberFormat="1" applyFont="1" applyFill="1" applyBorder="1" applyAlignment="1" applyProtection="1">
      <alignment horizontal="center"/>
      <protection locked="0"/>
    </xf>
    <xf numFmtId="5" fontId="33" fillId="43" borderId="11" xfId="0" applyNumberFormat="1" applyFont="1" applyFill="1" applyBorder="1" applyAlignment="1">
      <alignment horizontal="center"/>
    </xf>
    <xf numFmtId="0" fontId="84" fillId="43" borderId="0" xfId="0" applyFont="1" applyFill="1" applyAlignment="1">
      <alignment horizontal="center"/>
    </xf>
    <xf numFmtId="195" fontId="33" fillId="43" borderId="0" xfId="0" applyNumberFormat="1" applyFont="1" applyFill="1" applyAlignment="1">
      <alignment horizontal="center"/>
    </xf>
    <xf numFmtId="195" fontId="33" fillId="45" borderId="30"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3" xfId="0" applyFont="1" applyFill="1" applyBorder="1" applyAlignment="1">
      <alignment/>
    </xf>
    <xf numFmtId="0" fontId="33" fillId="43" borderId="34" xfId="0" applyFont="1" applyFill="1" applyBorder="1" applyAlignment="1">
      <alignment/>
    </xf>
    <xf numFmtId="0" fontId="84" fillId="43" borderId="0" xfId="0" applyFont="1" applyFill="1" applyAlignment="1">
      <alignment horizontal="center" vertical="center"/>
    </xf>
    <xf numFmtId="0" fontId="84" fillId="0" borderId="0" xfId="0" applyFont="1" applyAlignment="1">
      <alignment horizontal="center" vertical="center"/>
    </xf>
    <xf numFmtId="195" fontId="33" fillId="43" borderId="0" xfId="0" applyNumberFormat="1" applyFont="1" applyFill="1" applyAlignment="1">
      <alignment/>
    </xf>
    <xf numFmtId="0" fontId="33" fillId="43" borderId="19" xfId="0" applyFont="1" applyFill="1" applyBorder="1" applyAlignment="1">
      <alignment horizontal="center"/>
    </xf>
    <xf numFmtId="0" fontId="33" fillId="0" borderId="28" xfId="0" applyFont="1" applyBorder="1" applyAlignment="1">
      <alignment horizontal="center" vertical="center"/>
    </xf>
  </cellXfs>
  <cellStyles count="4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5" xfId="53"/>
    <cellStyle name="Comma 6" xfId="54"/>
    <cellStyle name="Comma 7" xfId="55"/>
    <cellStyle name="Comma 7 2" xfId="56"/>
    <cellStyle name="Comma 7 3"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3 2" xfId="70"/>
    <cellStyle name="Hyperlink 3 3"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2" xfId="308"/>
    <cellStyle name="Normal 2 5 2 2" xfId="309"/>
    <cellStyle name="Normal 2 5 3" xfId="310"/>
    <cellStyle name="Normal 2 5 3 2" xfId="311"/>
    <cellStyle name="Normal 2 5 4" xfId="312"/>
    <cellStyle name="Normal 2 5 5" xfId="313"/>
    <cellStyle name="Normal 2 5 6" xfId="314"/>
    <cellStyle name="Normal 2 5 7" xfId="315"/>
    <cellStyle name="Normal 2 5 8" xfId="316"/>
    <cellStyle name="Normal 2 5 9" xfId="317"/>
    <cellStyle name="Normal 2 6" xfId="318"/>
    <cellStyle name="Normal 2 6 10" xfId="319"/>
    <cellStyle name="Normal 2 6 11" xfId="320"/>
    <cellStyle name="Normal 2 6 12" xfId="321"/>
    <cellStyle name="Normal 2 6 2" xfId="322"/>
    <cellStyle name="Normal 2 6 2 2" xfId="323"/>
    <cellStyle name="Normal 2 6 3" xfId="324"/>
    <cellStyle name="Normal 2 6 3 2" xfId="325"/>
    <cellStyle name="Normal 2 6 4" xfId="326"/>
    <cellStyle name="Normal 2 6 5" xfId="327"/>
    <cellStyle name="Normal 2 6 6" xfId="328"/>
    <cellStyle name="Normal 2 6 7" xfId="329"/>
    <cellStyle name="Normal 2 6 8" xfId="330"/>
    <cellStyle name="Normal 2 6 9" xfId="331"/>
    <cellStyle name="Normal 2 7" xfId="332"/>
    <cellStyle name="Normal 2 7 10" xfId="333"/>
    <cellStyle name="Normal 2 7 2" xfId="334"/>
    <cellStyle name="Normal 2 7 2 2" xfId="335"/>
    <cellStyle name="Normal 2 7 2 3" xfId="336"/>
    <cellStyle name="Normal 2 7 3" xfId="337"/>
    <cellStyle name="Normal 2 7 3 2" xfId="338"/>
    <cellStyle name="Normal 2 7 4" xfId="339"/>
    <cellStyle name="Normal 2 7 4 2" xfId="340"/>
    <cellStyle name="Normal 2 7 5" xfId="341"/>
    <cellStyle name="Normal 2 7 5 2" xfId="342"/>
    <cellStyle name="Normal 2 7 6" xfId="343"/>
    <cellStyle name="Normal 2 7 6 2" xfId="344"/>
    <cellStyle name="Normal 2 7 7" xfId="345"/>
    <cellStyle name="Normal 2 7 7 2" xfId="346"/>
    <cellStyle name="Normal 2 7 8" xfId="347"/>
    <cellStyle name="Normal 2 7 8 2" xfId="348"/>
    <cellStyle name="Normal 2 7 9" xfId="349"/>
    <cellStyle name="Normal 2 8" xfId="350"/>
    <cellStyle name="Normal 2 8 10" xfId="351"/>
    <cellStyle name="Normal 2 8 11" xfId="352"/>
    <cellStyle name="Normal 2 8 2" xfId="353"/>
    <cellStyle name="Normal 2 8 2 2" xfId="354"/>
    <cellStyle name="Normal 2 8 3" xfId="355"/>
    <cellStyle name="Normal 2 8 3 2" xfId="356"/>
    <cellStyle name="Normal 2 8 4" xfId="357"/>
    <cellStyle name="Normal 2 8 4 2" xfId="358"/>
    <cellStyle name="Normal 2 8 5" xfId="359"/>
    <cellStyle name="Normal 2 8 5 2" xfId="360"/>
    <cellStyle name="Normal 2 8 6" xfId="361"/>
    <cellStyle name="Normal 2 8 6 2" xfId="362"/>
    <cellStyle name="Normal 2 8 7" xfId="363"/>
    <cellStyle name="Normal 2 8 7 2" xfId="364"/>
    <cellStyle name="Normal 2 8 8" xfId="365"/>
    <cellStyle name="Normal 2 8 8 2" xfId="366"/>
    <cellStyle name="Normal 2 8 9" xfId="367"/>
    <cellStyle name="Normal 2 9" xfId="368"/>
    <cellStyle name="Normal 2 9 10" xfId="369"/>
    <cellStyle name="Normal 2 9 11" xfId="370"/>
    <cellStyle name="Normal 2 9 2" xfId="371"/>
    <cellStyle name="Normal 2 9 2 2" xfId="372"/>
    <cellStyle name="Normal 2 9 3" xfId="373"/>
    <cellStyle name="Normal 2 9 3 2" xfId="374"/>
    <cellStyle name="Normal 2 9 4" xfId="375"/>
    <cellStyle name="Normal 2 9 4 2" xfId="376"/>
    <cellStyle name="Normal 2 9 5" xfId="377"/>
    <cellStyle name="Normal 2 9 5 2" xfId="378"/>
    <cellStyle name="Normal 2 9 6" xfId="379"/>
    <cellStyle name="Normal 2 9 6 2" xfId="380"/>
    <cellStyle name="Normal 2 9 7" xfId="381"/>
    <cellStyle name="Normal 2 9 7 2" xfId="382"/>
    <cellStyle name="Normal 2 9 8" xfId="383"/>
    <cellStyle name="Normal 2 9 8 2" xfId="384"/>
    <cellStyle name="Normal 2 9 9" xfId="385"/>
    <cellStyle name="Normal 20" xfId="386"/>
    <cellStyle name="Normal 20 2" xfId="387"/>
    <cellStyle name="Normal 20 3" xfId="388"/>
    <cellStyle name="Normal 21" xfId="389"/>
    <cellStyle name="Normal 21 2" xfId="390"/>
    <cellStyle name="Normal 22" xfId="391"/>
    <cellStyle name="Normal 22 2" xfId="392"/>
    <cellStyle name="Normal 22 3" xfId="393"/>
    <cellStyle name="Normal 23" xfId="394"/>
    <cellStyle name="Normal 23 2" xfId="395"/>
    <cellStyle name="Normal 23 3" xfId="396"/>
    <cellStyle name="Normal 24" xfId="397"/>
    <cellStyle name="Normal 24 2" xfId="398"/>
    <cellStyle name="Normal 24 3" xfId="399"/>
    <cellStyle name="Normal 25" xfId="400"/>
    <cellStyle name="Normal 25 2" xfId="401"/>
    <cellStyle name="Normal 25 3" xfId="402"/>
    <cellStyle name="Normal 26" xfId="403"/>
    <cellStyle name="Normal 3" xfId="404"/>
    <cellStyle name="Normal 3 2" xfId="405"/>
    <cellStyle name="Normal 3 2 2" xfId="406"/>
    <cellStyle name="Normal 3 2 2 2" xfId="407"/>
    <cellStyle name="Normal 3 2 2 3" xfId="408"/>
    <cellStyle name="Normal 3 2 3" xfId="409"/>
    <cellStyle name="Normal 3 2 4" xfId="410"/>
    <cellStyle name="Normal 3 2 5" xfId="411"/>
    <cellStyle name="Normal 3 3" xfId="412"/>
    <cellStyle name="Normal 3 3 2" xfId="413"/>
    <cellStyle name="Normal 3 3 2 2" xfId="414"/>
    <cellStyle name="Normal 3 3 2 3" xfId="415"/>
    <cellStyle name="Normal 3 3 3" xfId="416"/>
    <cellStyle name="Normal 3 3 4"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6" xfId="443"/>
    <cellStyle name="Normal 6 2" xfId="444"/>
    <cellStyle name="Normal 6 3" xfId="445"/>
    <cellStyle name="Normal 6 4" xfId="446"/>
    <cellStyle name="Normal 6 5" xfId="447"/>
    <cellStyle name="Normal 7" xfId="448"/>
    <cellStyle name="Normal 7 2" xfId="449"/>
    <cellStyle name="Normal 7 2 2" xfId="450"/>
    <cellStyle name="Normal 7 2 2 2" xfId="451"/>
    <cellStyle name="Normal 7 2 3" xfId="452"/>
    <cellStyle name="Normal 7 2 4" xfId="453"/>
    <cellStyle name="Normal 7 2 5" xfId="454"/>
    <cellStyle name="Normal 7 3" xfId="455"/>
    <cellStyle name="Normal 7 4" xfId="456"/>
    <cellStyle name="Normal 7 4 2" xfId="457"/>
    <cellStyle name="Normal 7 4 3" xfId="458"/>
    <cellStyle name="Normal 7 5" xfId="459"/>
    <cellStyle name="Normal 7 5 2" xfId="460"/>
    <cellStyle name="Normal 7 5 3" xfId="461"/>
    <cellStyle name="Normal 7 5 4" xfId="462"/>
    <cellStyle name="Normal 7 6" xfId="463"/>
    <cellStyle name="Normal 7 7" xfId="464"/>
    <cellStyle name="Normal 8" xfId="465"/>
    <cellStyle name="Normal 8 2" xfId="466"/>
    <cellStyle name="Normal 9" xfId="467"/>
    <cellStyle name="Normal 9 2" xfId="468"/>
    <cellStyle name="Normal 9 2 2" xfId="469"/>
    <cellStyle name="Normal 9 3" xfId="470"/>
    <cellStyle name="Normal 9 4" xfId="471"/>
    <cellStyle name="Normal 9 5" xfId="472"/>
    <cellStyle name="Normal 9 6" xfId="473"/>
    <cellStyle name="Normal_debt" xfId="474"/>
    <cellStyle name="Normal_lpform" xfId="475"/>
    <cellStyle name="Note" xfId="476"/>
    <cellStyle name="Output" xfId="477"/>
    <cellStyle name="Percent" xfId="478"/>
    <cellStyle name="Title" xfId="479"/>
    <cellStyle name="Total" xfId="480"/>
    <cellStyle name="Warning Text" xfId="481"/>
  </cellStyles>
  <dxfs count="145">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5"/>
  <sheetViews>
    <sheetView zoomScale="80" zoomScaleNormal="80" zoomScalePageLayoutView="0" workbookViewId="0" topLeftCell="A94">
      <selection activeCell="L8" sqref="L8"/>
    </sheetView>
  </sheetViews>
  <sheetFormatPr defaultColWidth="8.796875" defaultRowHeight="15"/>
  <cols>
    <col min="1" max="1" width="75.796875" style="32" customWidth="1"/>
    <col min="2" max="16384" width="8.8984375" style="32" customWidth="1"/>
  </cols>
  <sheetData>
    <row r="1" ht="15.75">
      <c r="A1" s="31" t="s">
        <v>245</v>
      </c>
    </row>
    <row r="3" ht="39.75" customHeight="1">
      <c r="A3" s="480" t="s">
        <v>998</v>
      </c>
    </row>
    <row r="4" ht="15.75">
      <c r="A4" s="33"/>
    </row>
    <row r="5" ht="49.5" customHeight="1">
      <c r="A5" s="34" t="s">
        <v>7</v>
      </c>
    </row>
    <row r="6" ht="15.75">
      <c r="A6" s="34"/>
    </row>
    <row r="7" ht="75" customHeight="1">
      <c r="A7" s="34" t="s">
        <v>940</v>
      </c>
    </row>
    <row r="8" ht="15.75">
      <c r="A8" s="34"/>
    </row>
    <row r="9" ht="32.25" customHeight="1">
      <c r="A9" s="34" t="s">
        <v>316</v>
      </c>
    </row>
    <row r="11" ht="51" customHeight="1">
      <c r="A11" s="34" t="s">
        <v>64</v>
      </c>
    </row>
    <row r="13" ht="15.75">
      <c r="A13" s="31" t="s">
        <v>17</v>
      </c>
    </row>
    <row r="14" ht="15.75">
      <c r="A14" s="31"/>
    </row>
    <row r="15" ht="15.75">
      <c r="A15" s="33" t="s">
        <v>18</v>
      </c>
    </row>
    <row r="17" ht="37.5" customHeight="1">
      <c r="A17" s="35" t="s">
        <v>343</v>
      </c>
    </row>
    <row r="18" ht="9" customHeight="1">
      <c r="A18" s="35"/>
    </row>
    <row r="20" ht="15.75">
      <c r="A20" s="31" t="s">
        <v>70</v>
      </c>
    </row>
    <row r="22" ht="36" customHeight="1">
      <c r="A22" s="34" t="s">
        <v>317</v>
      </c>
    </row>
    <row r="23" ht="15.75">
      <c r="A23" s="34"/>
    </row>
    <row r="24" ht="15.75">
      <c r="A24" s="36" t="s">
        <v>318</v>
      </c>
    </row>
    <row r="25" ht="12" customHeight="1">
      <c r="A25" s="34"/>
    </row>
    <row r="26" ht="15.75">
      <c r="A26" s="37" t="s">
        <v>227</v>
      </c>
    </row>
    <row r="27" ht="15.75">
      <c r="A27" s="38"/>
    </row>
    <row r="28" ht="84.75" customHeight="1">
      <c r="A28" s="39" t="s">
        <v>2</v>
      </c>
    </row>
    <row r="29" ht="12.75" customHeight="1">
      <c r="A29" s="40"/>
    </row>
    <row r="30" ht="15.75">
      <c r="A30" s="41" t="s">
        <v>319</v>
      </c>
    </row>
    <row r="31" ht="15.75">
      <c r="A31" s="40"/>
    </row>
    <row r="32" ht="15.75">
      <c r="A32" s="42" t="s">
        <v>16</v>
      </c>
    </row>
    <row r="33" ht="15.75">
      <c r="A33" s="40"/>
    </row>
    <row r="34" ht="15.75">
      <c r="A34" s="34" t="s">
        <v>162</v>
      </c>
    </row>
    <row r="36" ht="15.75">
      <c r="A36" s="31" t="s">
        <v>163</v>
      </c>
    </row>
    <row r="38" ht="66.75" customHeight="1">
      <c r="A38" s="34" t="s">
        <v>745</v>
      </c>
    </row>
    <row r="39" ht="35.25" customHeight="1">
      <c r="A39" s="34" t="s">
        <v>247</v>
      </c>
    </row>
    <row r="40" ht="53.25" customHeight="1">
      <c r="A40" s="43" t="s">
        <v>320</v>
      </c>
    </row>
    <row r="41" ht="102.75" customHeight="1">
      <c r="A41" s="720" t="s">
        <v>941</v>
      </c>
    </row>
    <row r="43" ht="84" customHeight="1">
      <c r="A43" s="34" t="s">
        <v>746</v>
      </c>
    </row>
    <row r="44" ht="53.25" customHeight="1">
      <c r="A44" s="34" t="s">
        <v>321</v>
      </c>
    </row>
    <row r="45" ht="102" customHeight="1">
      <c r="A45" s="34" t="s">
        <v>65</v>
      </c>
    </row>
    <row r="46" ht="15.75" customHeight="1">
      <c r="A46" s="34"/>
    </row>
    <row r="47" ht="73.5" customHeight="1">
      <c r="A47" s="721" t="s">
        <v>942</v>
      </c>
    </row>
    <row r="48" ht="69.75" customHeight="1">
      <c r="A48" s="366" t="s">
        <v>635</v>
      </c>
    </row>
    <row r="49" ht="75.75" customHeight="1">
      <c r="A49" s="722" t="s">
        <v>943</v>
      </c>
    </row>
    <row r="50" ht="15.75" customHeight="1">
      <c r="A50" s="34"/>
    </row>
    <row r="51" ht="69.75" customHeight="1">
      <c r="A51" s="34" t="s">
        <v>636</v>
      </c>
    </row>
    <row r="52" ht="37.5" customHeight="1">
      <c r="A52" s="34" t="s">
        <v>637</v>
      </c>
    </row>
    <row r="53" ht="69" customHeight="1">
      <c r="A53" s="34" t="s">
        <v>638</v>
      </c>
    </row>
    <row r="54" ht="115.5" customHeight="1">
      <c r="A54" s="723" t="s">
        <v>980</v>
      </c>
    </row>
    <row r="56" ht="84.75" customHeight="1">
      <c r="A56" s="34" t="s">
        <v>979</v>
      </c>
    </row>
    <row r="57" ht="116.25" customHeight="1">
      <c r="A57" s="34" t="s">
        <v>639</v>
      </c>
    </row>
    <row r="58" ht="38.25" customHeight="1">
      <c r="A58" s="34" t="s">
        <v>640</v>
      </c>
    </row>
    <row r="59" ht="15.75">
      <c r="A59" s="34"/>
    </row>
    <row r="60" ht="74.25" customHeight="1">
      <c r="A60" s="723" t="s">
        <v>944</v>
      </c>
    </row>
    <row r="61" ht="15.75">
      <c r="A61" s="34"/>
    </row>
    <row r="62" ht="66.75" customHeight="1">
      <c r="A62" s="34" t="s">
        <v>641</v>
      </c>
    </row>
    <row r="63" ht="37.5" customHeight="1">
      <c r="A63" s="34" t="s">
        <v>650</v>
      </c>
    </row>
    <row r="64" ht="91.5" customHeight="1">
      <c r="A64" s="34" t="s">
        <v>651</v>
      </c>
    </row>
    <row r="65" ht="47.25" customHeight="1">
      <c r="A65" s="344" t="s">
        <v>652</v>
      </c>
    </row>
    <row r="67" s="34" customFormat="1" ht="66.75" customHeight="1">
      <c r="A67" s="34" t="s">
        <v>642</v>
      </c>
    </row>
    <row r="69" ht="67.5" customHeight="1">
      <c r="A69" s="34" t="s">
        <v>643</v>
      </c>
    </row>
    <row r="70" ht="18" customHeight="1">
      <c r="A70" s="34"/>
    </row>
    <row r="71" ht="149.25" customHeight="1">
      <c r="A71" s="723" t="s">
        <v>945</v>
      </c>
    </row>
    <row r="73" ht="95.25" customHeight="1">
      <c r="A73" s="34" t="s">
        <v>946</v>
      </c>
    </row>
    <row r="74" ht="84.75" customHeight="1">
      <c r="A74" s="723" t="s">
        <v>978</v>
      </c>
    </row>
    <row r="75" ht="104.25" customHeight="1">
      <c r="A75" s="485" t="s">
        <v>947</v>
      </c>
    </row>
    <row r="76" ht="75" customHeight="1">
      <c r="A76" s="485" t="s">
        <v>948</v>
      </c>
    </row>
    <row r="77" ht="75" customHeight="1">
      <c r="A77" s="485" t="s">
        <v>949</v>
      </c>
    </row>
    <row r="78" ht="137.25" customHeight="1">
      <c r="A78" s="34" t="s">
        <v>950</v>
      </c>
    </row>
    <row r="79" ht="91.5" customHeight="1">
      <c r="A79" s="723" t="s">
        <v>951</v>
      </c>
    </row>
    <row r="80" ht="135" customHeight="1">
      <c r="A80" s="34" t="s">
        <v>952</v>
      </c>
    </row>
    <row r="81" ht="141.75" customHeight="1">
      <c r="A81" s="34" t="s">
        <v>953</v>
      </c>
    </row>
    <row r="82" ht="87" customHeight="1">
      <c r="A82" s="34" t="s">
        <v>954</v>
      </c>
    </row>
    <row r="83" ht="105" customHeight="1">
      <c r="A83" s="34" t="s">
        <v>955</v>
      </c>
    </row>
    <row r="84" ht="86.25" customHeight="1">
      <c r="A84" s="34" t="s">
        <v>956</v>
      </c>
    </row>
    <row r="85" ht="129.75" customHeight="1">
      <c r="A85" s="34" t="s">
        <v>957</v>
      </c>
    </row>
    <row r="86" ht="110.25" customHeight="1">
      <c r="A86" s="724" t="s">
        <v>958</v>
      </c>
    </row>
    <row r="87" ht="117" customHeight="1">
      <c r="A87" s="725" t="s">
        <v>959</v>
      </c>
    </row>
    <row r="88" ht="72" customHeight="1">
      <c r="A88" s="365" t="s">
        <v>960</v>
      </c>
    </row>
    <row r="89" ht="63.75" customHeight="1">
      <c r="A89" s="723" t="s">
        <v>644</v>
      </c>
    </row>
    <row r="90" ht="43.5" customHeight="1">
      <c r="A90" s="726" t="s">
        <v>645</v>
      </c>
    </row>
    <row r="91" ht="53.25" customHeight="1">
      <c r="A91" s="485" t="s">
        <v>965</v>
      </c>
    </row>
    <row r="92" ht="144.75" customHeight="1">
      <c r="A92" s="485" t="s">
        <v>966</v>
      </c>
    </row>
    <row r="93" ht="159" customHeight="1">
      <c r="A93" s="485" t="s">
        <v>967</v>
      </c>
    </row>
    <row r="94" ht="107.25" customHeight="1">
      <c r="A94" s="727" t="s">
        <v>968</v>
      </c>
    </row>
    <row r="95" ht="114.75" customHeight="1">
      <c r="A95" s="728" t="s">
        <v>969</v>
      </c>
    </row>
    <row r="96" ht="20.25" customHeight="1"/>
    <row r="97" ht="157.5" customHeight="1">
      <c r="A97" s="34" t="s">
        <v>961</v>
      </c>
    </row>
    <row r="98" ht="134.25" customHeight="1">
      <c r="A98" s="34" t="s">
        <v>962</v>
      </c>
    </row>
    <row r="99" ht="59.25" customHeight="1">
      <c r="A99" s="34" t="s">
        <v>963</v>
      </c>
    </row>
    <row r="100" ht="30.75" customHeight="1">
      <c r="A100" s="34" t="s">
        <v>964</v>
      </c>
    </row>
    <row r="101" ht="15" customHeight="1"/>
    <row r="102" ht="83.25" customHeight="1">
      <c r="A102" s="723" t="s">
        <v>970</v>
      </c>
    </row>
    <row r="103" ht="15.75" customHeight="1">
      <c r="A103" s="367"/>
    </row>
    <row r="104" ht="73.5" customHeight="1">
      <c r="A104" s="485" t="s">
        <v>971</v>
      </c>
    </row>
    <row r="105" ht="112.5" customHeight="1">
      <c r="A105" s="485" t="s">
        <v>972</v>
      </c>
    </row>
    <row r="106" ht="122.25" customHeight="1">
      <c r="A106" s="485" t="s">
        <v>973</v>
      </c>
    </row>
    <row r="107" ht="91.5" customHeight="1">
      <c r="A107" s="485"/>
    </row>
    <row r="108" ht="58.5" customHeight="1">
      <c r="A108" s="367"/>
    </row>
    <row r="109" ht="66" customHeight="1">
      <c r="A109" s="367"/>
    </row>
    <row r="110" ht="16.5" customHeight="1">
      <c r="A110" s="34"/>
    </row>
    <row r="111" ht="72.75" customHeight="1">
      <c r="A111" s="34"/>
    </row>
    <row r="113" ht="69" customHeight="1">
      <c r="A113" s="485"/>
    </row>
    <row r="114" ht="110.25" customHeight="1">
      <c r="A114" s="485"/>
    </row>
    <row r="115" ht="132" customHeight="1">
      <c r="A115" s="485"/>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4">
      <selection activeCell="L23" sqref="L23"/>
    </sheetView>
  </sheetViews>
  <sheetFormatPr defaultColWidth="8.796875" defaultRowHeight="15"/>
  <cols>
    <col min="1" max="1" width="4.796875" style="44" customWidth="1"/>
    <col min="2" max="2" width="20.796875" style="44" customWidth="1"/>
    <col min="3" max="3" width="9.296875" style="44" customWidth="1"/>
    <col min="4" max="4" width="8.69921875" style="44" customWidth="1"/>
    <col min="5" max="5" width="8.796875" style="44" customWidth="1"/>
    <col min="6" max="6" width="12.796875" style="44" customWidth="1"/>
    <col min="7" max="7" width="14.296875" style="44" customWidth="1"/>
    <col min="8" max="13" width="9.796875" style="44" customWidth="1"/>
    <col min="14" max="16384" width="8.8984375" style="44" customWidth="1"/>
  </cols>
  <sheetData>
    <row r="1" spans="2:13" ht="15.75">
      <c r="B1" s="196" t="str">
        <f>inputPrYr!$D$2</f>
        <v>City of Fredonia</v>
      </c>
      <c r="C1" s="46"/>
      <c r="D1" s="46"/>
      <c r="E1" s="46"/>
      <c r="F1" s="46"/>
      <c r="G1" s="46"/>
      <c r="H1" s="46"/>
      <c r="I1" s="46"/>
      <c r="J1" s="46"/>
      <c r="K1" s="46"/>
      <c r="L1" s="46"/>
      <c r="M1" s="218">
        <f>inputPrYr!$C$5</f>
        <v>2014</v>
      </c>
    </row>
    <row r="2" spans="2:13" ht="15.75">
      <c r="B2" s="196"/>
      <c r="C2" s="46"/>
      <c r="D2" s="46"/>
      <c r="E2" s="46"/>
      <c r="F2" s="46"/>
      <c r="G2" s="46"/>
      <c r="H2" s="46"/>
      <c r="I2" s="46"/>
      <c r="J2" s="46"/>
      <c r="K2" s="46"/>
      <c r="L2" s="46"/>
      <c r="M2" s="168"/>
    </row>
    <row r="3" spans="2:13" ht="15.75">
      <c r="B3" s="219" t="s">
        <v>171</v>
      </c>
      <c r="C3" s="55"/>
      <c r="D3" s="55"/>
      <c r="E3" s="55"/>
      <c r="F3" s="55"/>
      <c r="G3" s="55"/>
      <c r="H3" s="55"/>
      <c r="I3" s="55"/>
      <c r="J3" s="55"/>
      <c r="K3" s="55"/>
      <c r="L3" s="55"/>
      <c r="M3" s="55"/>
    </row>
    <row r="4" spans="2:13" ht="10.5" customHeight="1">
      <c r="B4" s="46"/>
      <c r="C4" s="220"/>
      <c r="D4" s="220"/>
      <c r="E4" s="220"/>
      <c r="F4" s="220"/>
      <c r="G4" s="220"/>
      <c r="H4" s="220"/>
      <c r="I4" s="220"/>
      <c r="J4" s="220"/>
      <c r="K4" s="220"/>
      <c r="L4" s="220"/>
      <c r="M4" s="220"/>
    </row>
    <row r="5" spans="2:13" ht="18" customHeight="1">
      <c r="B5" s="151"/>
      <c r="C5" s="198" t="s">
        <v>139</v>
      </c>
      <c r="D5" s="198" t="s">
        <v>139</v>
      </c>
      <c r="E5" s="198" t="s">
        <v>153</v>
      </c>
      <c r="F5" s="198"/>
      <c r="G5" s="198" t="s">
        <v>276</v>
      </c>
      <c r="H5" s="46"/>
      <c r="I5" s="46"/>
      <c r="J5" s="221" t="s">
        <v>140</v>
      </c>
      <c r="K5" s="222"/>
      <c r="L5" s="221" t="s">
        <v>140</v>
      </c>
      <c r="M5" s="222"/>
    </row>
    <row r="6" spans="2:13" ht="15.75">
      <c r="B6" s="223" t="s">
        <v>857</v>
      </c>
      <c r="C6" s="223" t="s">
        <v>141</v>
      </c>
      <c r="D6" s="223" t="s">
        <v>277</v>
      </c>
      <c r="E6" s="223" t="s">
        <v>142</v>
      </c>
      <c r="F6" s="223" t="s">
        <v>96</v>
      </c>
      <c r="G6" s="223" t="s">
        <v>278</v>
      </c>
      <c r="H6" s="776" t="s">
        <v>143</v>
      </c>
      <c r="I6" s="777"/>
      <c r="J6" s="778">
        <f>M1-1</f>
        <v>2013</v>
      </c>
      <c r="K6" s="779"/>
      <c r="L6" s="778">
        <f>M1</f>
        <v>2014</v>
      </c>
      <c r="M6" s="779"/>
    </row>
    <row r="7" spans="2:13" ht="15.75">
      <c r="B7" s="199" t="s">
        <v>856</v>
      </c>
      <c r="C7" s="199" t="s">
        <v>144</v>
      </c>
      <c r="D7" s="199" t="s">
        <v>279</v>
      </c>
      <c r="E7" s="199" t="s">
        <v>120</v>
      </c>
      <c r="F7" s="199" t="s">
        <v>145</v>
      </c>
      <c r="G7" s="224" t="str">
        <f>CONCATENATE("Jan 1,",M1-1,"")</f>
        <v>Jan 1,2013</v>
      </c>
      <c r="H7" s="155" t="s">
        <v>153</v>
      </c>
      <c r="I7" s="155" t="s">
        <v>155</v>
      </c>
      <c r="J7" s="155" t="s">
        <v>153</v>
      </c>
      <c r="K7" s="155" t="s">
        <v>155</v>
      </c>
      <c r="L7" s="155" t="s">
        <v>153</v>
      </c>
      <c r="M7" s="155" t="s">
        <v>155</v>
      </c>
    </row>
    <row r="8" spans="2:13" ht="15.75">
      <c r="B8" s="225" t="s">
        <v>146</v>
      </c>
      <c r="C8" s="64"/>
      <c r="D8" s="64"/>
      <c r="E8" s="226"/>
      <c r="F8" s="227"/>
      <c r="G8" s="227"/>
      <c r="H8" s="64"/>
      <c r="I8" s="64"/>
      <c r="J8" s="227"/>
      <c r="K8" s="227"/>
      <c r="L8" s="227"/>
      <c r="M8" s="227"/>
    </row>
    <row r="9" spans="2:13" ht="15.75">
      <c r="B9" s="68" t="s">
        <v>1039</v>
      </c>
      <c r="C9" s="371">
        <v>39706</v>
      </c>
      <c r="D9" s="371">
        <v>47027</v>
      </c>
      <c r="E9" s="228">
        <v>3.5</v>
      </c>
      <c r="F9" s="229">
        <v>2000000</v>
      </c>
      <c r="G9" s="230">
        <v>1715000</v>
      </c>
      <c r="H9" s="231" t="s">
        <v>1044</v>
      </c>
      <c r="I9" s="231">
        <v>41548</v>
      </c>
      <c r="J9" s="230">
        <v>77720</v>
      </c>
      <c r="K9" s="230">
        <v>80000</v>
      </c>
      <c r="L9" s="230">
        <v>75080</v>
      </c>
      <c r="M9" s="230">
        <v>80000</v>
      </c>
    </row>
    <row r="10" spans="2:13" ht="15.75">
      <c r="B10" s="68" t="s">
        <v>1040</v>
      </c>
      <c r="C10" s="371">
        <v>40374</v>
      </c>
      <c r="D10" s="371">
        <v>47757</v>
      </c>
      <c r="E10" s="228" t="s">
        <v>1041</v>
      </c>
      <c r="F10" s="229">
        <v>540000</v>
      </c>
      <c r="G10" s="230">
        <v>500000</v>
      </c>
      <c r="H10" s="231" t="s">
        <v>1044</v>
      </c>
      <c r="I10" s="231">
        <v>41548</v>
      </c>
      <c r="J10" s="230">
        <v>20487.5</v>
      </c>
      <c r="K10" s="230">
        <v>20000</v>
      </c>
      <c r="L10" s="230">
        <v>20087.5</v>
      </c>
      <c r="M10" s="230">
        <v>20000</v>
      </c>
    </row>
    <row r="11" spans="2:13" ht="15.75">
      <c r="B11" s="68" t="s">
        <v>1165</v>
      </c>
      <c r="C11" s="371">
        <v>40374</v>
      </c>
      <c r="D11" s="371">
        <v>42826</v>
      </c>
      <c r="E11" s="228" t="s">
        <v>1042</v>
      </c>
      <c r="F11" s="229">
        <v>1610000</v>
      </c>
      <c r="G11" s="230">
        <v>1190000</v>
      </c>
      <c r="H11" s="231" t="s">
        <v>1044</v>
      </c>
      <c r="I11" s="231">
        <v>41365</v>
      </c>
      <c r="J11" s="230">
        <v>35725</v>
      </c>
      <c r="K11" s="230">
        <v>205000</v>
      </c>
      <c r="L11" s="230">
        <v>30925</v>
      </c>
      <c r="M11" s="230">
        <v>220000</v>
      </c>
    </row>
    <row r="12" spans="2:13" ht="15.75">
      <c r="B12" s="68" t="s">
        <v>1164</v>
      </c>
      <c r="C12" s="371">
        <v>41569</v>
      </c>
      <c r="D12" s="371">
        <v>45200</v>
      </c>
      <c r="E12" s="228">
        <v>3.5</v>
      </c>
      <c r="F12" s="229">
        <v>2748000</v>
      </c>
      <c r="G12" s="230">
        <v>0</v>
      </c>
      <c r="H12" s="231" t="s">
        <v>1044</v>
      </c>
      <c r="I12" s="231">
        <v>41548</v>
      </c>
      <c r="J12" s="230">
        <v>0</v>
      </c>
      <c r="K12" s="230">
        <v>0</v>
      </c>
      <c r="L12" s="230">
        <v>91177</v>
      </c>
      <c r="M12" s="230">
        <v>230400</v>
      </c>
    </row>
    <row r="13" spans="2:13" ht="15.75">
      <c r="B13" s="68"/>
      <c r="C13" s="371"/>
      <c r="D13" s="371"/>
      <c r="E13" s="228"/>
      <c r="F13" s="229"/>
      <c r="G13" s="230"/>
      <c r="H13" s="231"/>
      <c r="I13" s="231"/>
      <c r="J13" s="230"/>
      <c r="K13" s="230"/>
      <c r="L13" s="230"/>
      <c r="M13" s="230"/>
    </row>
    <row r="14" spans="2:13" ht="15.75">
      <c r="B14" s="68"/>
      <c r="C14" s="371"/>
      <c r="D14" s="371"/>
      <c r="E14" s="228"/>
      <c r="F14" s="229"/>
      <c r="G14" s="230"/>
      <c r="H14" s="231"/>
      <c r="I14" s="231"/>
      <c r="J14" s="230"/>
      <c r="K14" s="230"/>
      <c r="L14" s="230"/>
      <c r="M14" s="230"/>
    </row>
    <row r="15" spans="2:13" ht="15.75">
      <c r="B15" s="68"/>
      <c r="C15" s="371"/>
      <c r="D15" s="371"/>
      <c r="E15" s="228"/>
      <c r="F15" s="229"/>
      <c r="G15" s="230"/>
      <c r="H15" s="231"/>
      <c r="I15" s="231"/>
      <c r="J15" s="230"/>
      <c r="K15" s="230"/>
      <c r="L15" s="230"/>
      <c r="M15" s="230"/>
    </row>
    <row r="16" spans="2:13" ht="15.75">
      <c r="B16" s="68"/>
      <c r="C16" s="371"/>
      <c r="D16" s="371"/>
      <c r="E16" s="228"/>
      <c r="F16" s="229"/>
      <c r="G16" s="230"/>
      <c r="H16" s="231"/>
      <c r="I16" s="231"/>
      <c r="J16" s="230"/>
      <c r="K16" s="230"/>
      <c r="L16" s="230"/>
      <c r="M16" s="230"/>
    </row>
    <row r="17" spans="2:13" ht="15.75">
      <c r="B17" s="68"/>
      <c r="C17" s="371"/>
      <c r="D17" s="371"/>
      <c r="E17" s="228"/>
      <c r="F17" s="229"/>
      <c r="G17" s="230"/>
      <c r="H17" s="231"/>
      <c r="I17" s="231"/>
      <c r="J17" s="230"/>
      <c r="K17" s="230"/>
      <c r="L17" s="230"/>
      <c r="M17" s="230"/>
    </row>
    <row r="18" spans="2:13" ht="15.75">
      <c r="B18" s="68"/>
      <c r="C18" s="371"/>
      <c r="D18" s="371"/>
      <c r="E18" s="228"/>
      <c r="F18" s="229"/>
      <c r="G18" s="230"/>
      <c r="H18" s="231"/>
      <c r="I18" s="231"/>
      <c r="J18" s="230"/>
      <c r="K18" s="230"/>
      <c r="L18" s="230"/>
      <c r="M18" s="230"/>
    </row>
    <row r="19" spans="2:13" ht="15.75">
      <c r="B19" s="68"/>
      <c r="C19" s="371"/>
      <c r="D19" s="371"/>
      <c r="E19" s="228"/>
      <c r="F19" s="229"/>
      <c r="G19" s="230"/>
      <c r="H19" s="231"/>
      <c r="I19" s="231"/>
      <c r="J19" s="230"/>
      <c r="K19" s="230"/>
      <c r="L19" s="230"/>
      <c r="M19" s="230"/>
    </row>
    <row r="20" spans="2:13" ht="15.75">
      <c r="B20" s="232" t="s">
        <v>147</v>
      </c>
      <c r="C20" s="233"/>
      <c r="D20" s="233"/>
      <c r="E20" s="234"/>
      <c r="F20" s="235"/>
      <c r="G20" s="236">
        <f>SUM(G9:G19)</f>
        <v>3405000</v>
      </c>
      <c r="H20" s="237"/>
      <c r="I20" s="237"/>
      <c r="J20" s="236">
        <f>SUM(J9:J19)</f>
        <v>133932.5</v>
      </c>
      <c r="K20" s="236">
        <f>SUM(K9:K19)</f>
        <v>305000</v>
      </c>
      <c r="L20" s="236">
        <f>SUM(L9:L19)</f>
        <v>217269.5</v>
      </c>
      <c r="M20" s="236">
        <f>SUM(M9:M19)</f>
        <v>550400</v>
      </c>
    </row>
    <row r="21" spans="2:13" ht="15.75">
      <c r="B21" s="225" t="s">
        <v>148</v>
      </c>
      <c r="C21" s="238"/>
      <c r="D21" s="238"/>
      <c r="E21" s="239"/>
      <c r="F21" s="240"/>
      <c r="G21" s="240"/>
      <c r="H21" s="241"/>
      <c r="I21" s="241"/>
      <c r="J21" s="240"/>
      <c r="K21" s="240"/>
      <c r="L21" s="240"/>
      <c r="M21" s="240"/>
    </row>
    <row r="22" spans="2:13" ht="15.75">
      <c r="B22" s="68" t="s">
        <v>1043</v>
      </c>
      <c r="C22" s="371">
        <v>40479</v>
      </c>
      <c r="D22" s="371">
        <v>44132</v>
      </c>
      <c r="E22" s="228">
        <v>3.75</v>
      </c>
      <c r="F22" s="229">
        <v>179000</v>
      </c>
      <c r="G22" s="230">
        <v>117571.36</v>
      </c>
      <c r="H22" s="231">
        <v>41575</v>
      </c>
      <c r="I22" s="231">
        <v>41575</v>
      </c>
      <c r="J22" s="230">
        <v>4408.93</v>
      </c>
      <c r="K22" s="230">
        <v>16234.57</v>
      </c>
      <c r="L22" s="230">
        <v>4951.92</v>
      </c>
      <c r="M22" s="230">
        <v>16843.36</v>
      </c>
    </row>
    <row r="23" spans="2:13" ht="15.75">
      <c r="B23" s="68"/>
      <c r="C23" s="371"/>
      <c r="D23" s="371"/>
      <c r="E23" s="228"/>
      <c r="F23" s="229"/>
      <c r="G23" s="230"/>
      <c r="H23" s="231"/>
      <c r="I23" s="231"/>
      <c r="J23" s="230"/>
      <c r="K23" s="230"/>
      <c r="L23" s="230"/>
      <c r="M23" s="230"/>
    </row>
    <row r="24" spans="2:13" ht="15.75">
      <c r="B24" s="68"/>
      <c r="C24" s="371"/>
      <c r="D24" s="371"/>
      <c r="E24" s="228"/>
      <c r="F24" s="229"/>
      <c r="G24" s="230"/>
      <c r="H24" s="231"/>
      <c r="I24" s="231"/>
      <c r="J24" s="230"/>
      <c r="K24" s="230"/>
      <c r="L24" s="230"/>
      <c r="M24" s="230"/>
    </row>
    <row r="25" spans="2:13" ht="15.75">
      <c r="B25" s="68"/>
      <c r="C25" s="371"/>
      <c r="D25" s="371"/>
      <c r="E25" s="228"/>
      <c r="F25" s="229"/>
      <c r="G25" s="230"/>
      <c r="H25" s="231"/>
      <c r="I25" s="231"/>
      <c r="J25" s="230"/>
      <c r="K25" s="230"/>
      <c r="L25" s="230"/>
      <c r="M25" s="230"/>
    </row>
    <row r="26" spans="2:13" ht="15.75">
      <c r="B26" s="68"/>
      <c r="C26" s="371"/>
      <c r="D26" s="371"/>
      <c r="E26" s="228"/>
      <c r="F26" s="229"/>
      <c r="G26" s="230"/>
      <c r="H26" s="231"/>
      <c r="I26" s="231"/>
      <c r="J26" s="230"/>
      <c r="K26" s="230"/>
      <c r="L26" s="230"/>
      <c r="M26" s="230"/>
    </row>
    <row r="27" spans="2:13" ht="15.75">
      <c r="B27" s="68"/>
      <c r="C27" s="371"/>
      <c r="D27" s="371"/>
      <c r="E27" s="228"/>
      <c r="F27" s="229"/>
      <c r="G27" s="230"/>
      <c r="H27" s="231"/>
      <c r="I27" s="231"/>
      <c r="J27" s="230"/>
      <c r="K27" s="230"/>
      <c r="L27" s="230"/>
      <c r="M27" s="230"/>
    </row>
    <row r="28" spans="2:13" ht="15.75">
      <c r="B28" s="68"/>
      <c r="C28" s="371"/>
      <c r="D28" s="371"/>
      <c r="E28" s="228"/>
      <c r="F28" s="229"/>
      <c r="G28" s="230"/>
      <c r="H28" s="231"/>
      <c r="I28" s="231"/>
      <c r="J28" s="230"/>
      <c r="K28" s="230"/>
      <c r="L28" s="230"/>
      <c r="M28" s="230"/>
    </row>
    <row r="29" spans="2:13" ht="15.75">
      <c r="B29" s="68"/>
      <c r="C29" s="371"/>
      <c r="D29" s="371"/>
      <c r="E29" s="228"/>
      <c r="F29" s="229"/>
      <c r="G29" s="230"/>
      <c r="H29" s="231"/>
      <c r="I29" s="231"/>
      <c r="J29" s="230"/>
      <c r="K29" s="230"/>
      <c r="L29" s="230"/>
      <c r="M29" s="230"/>
    </row>
    <row r="30" spans="2:13" ht="15.75">
      <c r="B30" s="68"/>
      <c r="C30" s="371"/>
      <c r="D30" s="371"/>
      <c r="E30" s="228"/>
      <c r="F30" s="229"/>
      <c r="G30" s="230"/>
      <c r="H30" s="231"/>
      <c r="I30" s="231"/>
      <c r="J30" s="230"/>
      <c r="K30" s="230"/>
      <c r="L30" s="230"/>
      <c r="M30" s="230"/>
    </row>
    <row r="31" spans="2:13" ht="15.75">
      <c r="B31" s="68"/>
      <c r="C31" s="371"/>
      <c r="D31" s="371"/>
      <c r="E31" s="228"/>
      <c r="F31" s="229"/>
      <c r="G31" s="230"/>
      <c r="H31" s="231"/>
      <c r="I31" s="231"/>
      <c r="J31" s="230"/>
      <c r="K31" s="230"/>
      <c r="L31" s="230"/>
      <c r="M31" s="230"/>
    </row>
    <row r="32" spans="2:13" ht="15.75">
      <c r="B32" s="232" t="s">
        <v>149</v>
      </c>
      <c r="C32" s="233"/>
      <c r="D32" s="233"/>
      <c r="E32" s="242"/>
      <c r="F32" s="235"/>
      <c r="G32" s="243">
        <f>SUM(G22:G31)</f>
        <v>117571.36</v>
      </c>
      <c r="H32" s="237"/>
      <c r="I32" s="237"/>
      <c r="J32" s="243">
        <f>SUM(J22:J31)</f>
        <v>4408.93</v>
      </c>
      <c r="K32" s="243">
        <f>SUM(K22:K31)</f>
        <v>16234.57</v>
      </c>
      <c r="L32" s="236">
        <f>SUM(L22:L31)</f>
        <v>4951.92</v>
      </c>
      <c r="M32" s="243">
        <f>SUM(M22:M31)</f>
        <v>16843.36</v>
      </c>
    </row>
    <row r="33" spans="2:13" ht="15.75">
      <c r="B33" s="225" t="s">
        <v>150</v>
      </c>
      <c r="C33" s="238"/>
      <c r="D33" s="238"/>
      <c r="E33" s="239"/>
      <c r="F33" s="240"/>
      <c r="G33" s="244"/>
      <c r="H33" s="241"/>
      <c r="I33" s="241"/>
      <c r="J33" s="240"/>
      <c r="K33" s="240"/>
      <c r="L33" s="240"/>
      <c r="M33" s="240"/>
    </row>
    <row r="34" spans="2:13" ht="15.75">
      <c r="B34" s="68"/>
      <c r="C34" s="371"/>
      <c r="D34" s="371"/>
      <c r="E34" s="228"/>
      <c r="F34" s="229"/>
      <c r="G34" s="230"/>
      <c r="H34" s="231"/>
      <c r="I34" s="231"/>
      <c r="J34" s="230"/>
      <c r="K34" s="230"/>
      <c r="L34" s="230"/>
      <c r="M34" s="230"/>
    </row>
    <row r="35" spans="2:13" ht="15.75">
      <c r="B35" s="68"/>
      <c r="C35" s="371"/>
      <c r="D35" s="371"/>
      <c r="E35" s="228"/>
      <c r="F35" s="229"/>
      <c r="G35" s="230"/>
      <c r="H35" s="231"/>
      <c r="I35" s="231"/>
      <c r="J35" s="230"/>
      <c r="K35" s="230"/>
      <c r="L35" s="230"/>
      <c r="M35" s="230"/>
    </row>
    <row r="36" spans="2:13" ht="15.75">
      <c r="B36" s="68"/>
      <c r="C36" s="371"/>
      <c r="D36" s="371"/>
      <c r="E36" s="228"/>
      <c r="F36" s="229"/>
      <c r="G36" s="230"/>
      <c r="H36" s="231"/>
      <c r="I36" s="231"/>
      <c r="J36" s="230"/>
      <c r="K36" s="230"/>
      <c r="L36" s="230"/>
      <c r="M36" s="230"/>
    </row>
    <row r="37" spans="2:13" ht="15.75">
      <c r="B37" s="68"/>
      <c r="C37" s="371"/>
      <c r="D37" s="371"/>
      <c r="E37" s="228"/>
      <c r="F37" s="229"/>
      <c r="G37" s="230"/>
      <c r="H37" s="231"/>
      <c r="I37" s="231"/>
      <c r="J37" s="230"/>
      <c r="K37" s="230"/>
      <c r="L37" s="230"/>
      <c r="M37" s="230"/>
    </row>
    <row r="38" spans="2:13" ht="15.75">
      <c r="B38" s="68"/>
      <c r="C38" s="371"/>
      <c r="D38" s="371"/>
      <c r="E38" s="228"/>
      <c r="F38" s="229"/>
      <c r="G38" s="230"/>
      <c r="H38" s="231"/>
      <c r="I38" s="231"/>
      <c r="J38" s="230"/>
      <c r="K38" s="230"/>
      <c r="L38" s="230"/>
      <c r="M38" s="230"/>
    </row>
    <row r="39" spans="2:13" ht="15.75">
      <c r="B39" s="68"/>
      <c r="C39" s="371"/>
      <c r="D39" s="371"/>
      <c r="E39" s="228"/>
      <c r="F39" s="229"/>
      <c r="G39" s="230"/>
      <c r="H39" s="231"/>
      <c r="I39" s="231"/>
      <c r="J39" s="230"/>
      <c r="K39" s="230"/>
      <c r="L39" s="230"/>
      <c r="M39" s="230"/>
    </row>
    <row r="40" spans="2:13" ht="15.75">
      <c r="B40" s="68"/>
      <c r="C40" s="371"/>
      <c r="D40" s="371"/>
      <c r="E40" s="228"/>
      <c r="F40" s="229"/>
      <c r="G40" s="230"/>
      <c r="H40" s="231"/>
      <c r="I40" s="231"/>
      <c r="J40" s="230"/>
      <c r="K40" s="230"/>
      <c r="L40" s="230"/>
      <c r="M40" s="230"/>
    </row>
    <row r="41" spans="2:29" ht="15.75">
      <c r="B41" s="68"/>
      <c r="C41" s="371"/>
      <c r="D41" s="371"/>
      <c r="E41" s="228"/>
      <c r="F41" s="229"/>
      <c r="G41" s="230"/>
      <c r="H41" s="231"/>
      <c r="I41" s="231"/>
      <c r="J41" s="230"/>
      <c r="K41" s="230"/>
      <c r="L41" s="230"/>
      <c r="M41" s="230"/>
      <c r="N41" s="32"/>
      <c r="O41" s="32"/>
      <c r="P41" s="32"/>
      <c r="Q41" s="32"/>
      <c r="R41" s="32"/>
      <c r="S41" s="32"/>
      <c r="T41" s="32"/>
      <c r="U41" s="32"/>
      <c r="V41" s="32"/>
      <c r="W41" s="32"/>
      <c r="X41" s="32"/>
      <c r="Y41" s="32"/>
      <c r="Z41" s="32"/>
      <c r="AA41" s="32"/>
      <c r="AB41" s="32"/>
      <c r="AC41" s="32"/>
    </row>
    <row r="42" spans="2:13" ht="15.75">
      <c r="B42" s="232" t="s">
        <v>280</v>
      </c>
      <c r="C42" s="213"/>
      <c r="D42" s="213"/>
      <c r="E42" s="242"/>
      <c r="F42" s="235"/>
      <c r="G42" s="243">
        <f>SUM(G34:G41)</f>
        <v>0</v>
      </c>
      <c r="H42" s="235"/>
      <c r="I42" s="235"/>
      <c r="J42" s="243">
        <f>SUM(J34:J41)</f>
        <v>0</v>
      </c>
      <c r="K42" s="243">
        <f>SUM(K34:K41)</f>
        <v>0</v>
      </c>
      <c r="L42" s="243">
        <f>SUM(L34:L41)</f>
        <v>0</v>
      </c>
      <c r="M42" s="243">
        <f>SUM(M34:M41)</f>
        <v>0</v>
      </c>
    </row>
    <row r="43" spans="2:13" ht="15.75">
      <c r="B43" s="232" t="s">
        <v>151</v>
      </c>
      <c r="C43" s="213"/>
      <c r="D43" s="213"/>
      <c r="E43" s="213"/>
      <c r="F43" s="235"/>
      <c r="G43" s="243">
        <f>SUM(G20+G32+G42)</f>
        <v>3522571.36</v>
      </c>
      <c r="H43" s="235"/>
      <c r="I43" s="235"/>
      <c r="J43" s="243">
        <f>SUM(J20+J32+J42)</f>
        <v>138341.43</v>
      </c>
      <c r="K43" s="243">
        <f>SUM(K20+K32+K42)</f>
        <v>321234.57</v>
      </c>
      <c r="L43" s="243">
        <f>SUM(L20+L32+L42)</f>
        <v>222221.42</v>
      </c>
      <c r="M43" s="243">
        <f>SUM(M20+M32+M42)</f>
        <v>567243.36</v>
      </c>
    </row>
    <row r="44" spans="2:13" ht="15.75">
      <c r="B44" s="32"/>
      <c r="C44" s="32"/>
      <c r="D44" s="32"/>
      <c r="E44" s="32"/>
      <c r="F44" s="32"/>
      <c r="G44" s="32"/>
      <c r="H44" s="32"/>
      <c r="I44" s="32"/>
      <c r="J44" s="32"/>
      <c r="K44" s="32"/>
      <c r="L44" s="32"/>
      <c r="M44" s="32"/>
    </row>
    <row r="45" spans="6:13" ht="15.75">
      <c r="F45" s="245"/>
      <c r="G45" s="245"/>
      <c r="J45" s="245"/>
      <c r="K45" s="245"/>
      <c r="L45" s="245"/>
      <c r="M45" s="245"/>
    </row>
    <row r="46" spans="6:14" ht="15.75">
      <c r="F46" s="32"/>
      <c r="H46" s="246"/>
      <c r="N46" s="32"/>
    </row>
    <row r="47" spans="2:13" ht="15.75">
      <c r="B47" s="32"/>
      <c r="C47" s="32"/>
      <c r="D47" s="32"/>
      <c r="E47" s="32"/>
      <c r="F47" s="32"/>
      <c r="G47" s="32"/>
      <c r="H47" s="32"/>
      <c r="I47" s="32"/>
      <c r="J47" s="32"/>
      <c r="K47" s="32"/>
      <c r="L47" s="32"/>
      <c r="M47" s="32"/>
    </row>
    <row r="48" spans="2:13" ht="15.75">
      <c r="B48" s="32"/>
      <c r="C48" s="32"/>
      <c r="D48" s="32"/>
      <c r="E48" s="32"/>
      <c r="F48" s="32"/>
      <c r="G48" s="32"/>
      <c r="H48" s="32"/>
      <c r="I48" s="32"/>
      <c r="J48" s="32"/>
      <c r="K48" s="32"/>
      <c r="L48" s="32"/>
      <c r="M48" s="32"/>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75"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I4" sqref="I4"/>
    </sheetView>
  </sheetViews>
  <sheetFormatPr defaultColWidth="8.796875" defaultRowHeight="15"/>
  <cols>
    <col min="1" max="1" width="4.8984375" style="2" customWidth="1"/>
    <col min="2" max="2" width="23.59765625" style="2" customWidth="1"/>
    <col min="3" max="5" width="9.796875" style="2" customWidth="1"/>
    <col min="6" max="6" width="18.296875" style="2" customWidth="1"/>
    <col min="7" max="9" width="15.796875" style="2" customWidth="1"/>
    <col min="10" max="16384" width="8.8984375" style="2" customWidth="1"/>
  </cols>
  <sheetData>
    <row r="1" spans="2:9" ht="15.75">
      <c r="B1" s="10" t="str">
        <f>inputPrYr!$D$2</f>
        <v>City of Fredonia</v>
      </c>
      <c r="C1" s="5"/>
      <c r="D1" s="5"/>
      <c r="E1" s="5"/>
      <c r="F1" s="5"/>
      <c r="G1" s="5"/>
      <c r="H1" s="5"/>
      <c r="I1" s="20">
        <f>inputPrYr!C5</f>
        <v>2014</v>
      </c>
    </row>
    <row r="2" spans="2:9" ht="15.75">
      <c r="B2" s="10"/>
      <c r="C2" s="5"/>
      <c r="D2" s="5"/>
      <c r="E2" s="5"/>
      <c r="F2" s="5"/>
      <c r="G2" s="5"/>
      <c r="H2" s="5"/>
      <c r="I2" s="7"/>
    </row>
    <row r="3" spans="2:9" ht="15.75">
      <c r="B3" s="5"/>
      <c r="C3" s="5"/>
      <c r="D3" s="5"/>
      <c r="E3" s="5"/>
      <c r="F3" s="5"/>
      <c r="G3" s="5"/>
      <c r="H3" s="5"/>
      <c r="I3" s="6"/>
    </row>
    <row r="4" spans="2:9" ht="15.75">
      <c r="B4" s="11" t="s">
        <v>165</v>
      </c>
      <c r="C4" s="8"/>
      <c r="D4" s="8"/>
      <c r="E4" s="8"/>
      <c r="F4" s="8"/>
      <c r="G4" s="8"/>
      <c r="H4" s="8"/>
      <c r="I4" s="8"/>
    </row>
    <row r="5" spans="2:9" ht="15.75">
      <c r="B5" s="4"/>
      <c r="C5" s="16"/>
      <c r="D5" s="16"/>
      <c r="E5" s="16"/>
      <c r="F5" s="16"/>
      <c r="G5" s="16"/>
      <c r="H5" s="16"/>
      <c r="I5" s="16"/>
    </row>
    <row r="6" spans="2:9" ht="15.75">
      <c r="B6" s="9"/>
      <c r="C6" s="9"/>
      <c r="D6" s="9"/>
      <c r="E6" s="9"/>
      <c r="F6" s="12" t="s">
        <v>76</v>
      </c>
      <c r="G6" s="9"/>
      <c r="H6" s="9"/>
      <c r="I6" s="9"/>
    </row>
    <row r="7" spans="2:9" ht="15.75">
      <c r="B7" s="600"/>
      <c r="C7" s="13"/>
      <c r="D7" s="13" t="s">
        <v>152</v>
      </c>
      <c r="E7" s="13" t="s">
        <v>153</v>
      </c>
      <c r="F7" s="13" t="s">
        <v>96</v>
      </c>
      <c r="G7" s="13" t="s">
        <v>155</v>
      </c>
      <c r="H7" s="13" t="s">
        <v>156</v>
      </c>
      <c r="I7" s="13" t="s">
        <v>156</v>
      </c>
    </row>
    <row r="8" spans="2:9" ht="15.75">
      <c r="B8" s="13" t="s">
        <v>859</v>
      </c>
      <c r="C8" s="13" t="s">
        <v>157</v>
      </c>
      <c r="D8" s="13" t="s">
        <v>158</v>
      </c>
      <c r="E8" s="13" t="s">
        <v>142</v>
      </c>
      <c r="F8" s="13" t="s">
        <v>159</v>
      </c>
      <c r="G8" s="13" t="s">
        <v>205</v>
      </c>
      <c r="H8" s="13" t="s">
        <v>160</v>
      </c>
      <c r="I8" s="13" t="s">
        <v>160</v>
      </c>
    </row>
    <row r="9" spans="2:9" ht="15.75">
      <c r="B9" s="14" t="s">
        <v>858</v>
      </c>
      <c r="C9" s="14" t="s">
        <v>139</v>
      </c>
      <c r="D9" s="18" t="s">
        <v>161</v>
      </c>
      <c r="E9" s="14" t="s">
        <v>120</v>
      </c>
      <c r="F9" s="18" t="s">
        <v>230</v>
      </c>
      <c r="G9" s="15" t="str">
        <f>CONCATENATE("Jan 1,",I1-1,"")</f>
        <v>Jan 1,2013</v>
      </c>
      <c r="H9" s="14">
        <f>I1-1</f>
        <v>2013</v>
      </c>
      <c r="I9" s="14">
        <f>I1</f>
        <v>2014</v>
      </c>
    </row>
    <row r="10" spans="2:9" ht="15.75">
      <c r="B10" s="3"/>
      <c r="C10" s="28"/>
      <c r="D10" s="23"/>
      <c r="E10" s="21"/>
      <c r="F10" s="22"/>
      <c r="G10" s="22"/>
      <c r="H10" s="22"/>
      <c r="I10" s="22"/>
    </row>
    <row r="11" spans="2:9" ht="15.75">
      <c r="B11" s="3"/>
      <c r="C11" s="28"/>
      <c r="D11" s="23"/>
      <c r="E11" s="21"/>
      <c r="F11" s="22"/>
      <c r="G11" s="22"/>
      <c r="H11" s="22"/>
      <c r="I11" s="22"/>
    </row>
    <row r="12" spans="2:9" ht="15.75">
      <c r="B12" s="3"/>
      <c r="C12" s="28"/>
      <c r="D12" s="23"/>
      <c r="E12" s="21"/>
      <c r="F12" s="22"/>
      <c r="G12" s="22"/>
      <c r="H12" s="22"/>
      <c r="I12" s="22"/>
    </row>
    <row r="13" spans="2:9" ht="15.75">
      <c r="B13" s="3"/>
      <c r="C13" s="28"/>
      <c r="D13" s="23"/>
      <c r="E13" s="21"/>
      <c r="F13" s="22"/>
      <c r="G13" s="22"/>
      <c r="H13" s="22"/>
      <c r="I13" s="22"/>
    </row>
    <row r="14" spans="2:9" ht="15.75">
      <c r="B14" s="3"/>
      <c r="C14" s="28"/>
      <c r="D14" s="23"/>
      <c r="E14" s="21"/>
      <c r="F14" s="22"/>
      <c r="G14" s="22"/>
      <c r="H14" s="22"/>
      <c r="I14" s="22"/>
    </row>
    <row r="15" spans="2:9" ht="15.75">
      <c r="B15" s="3"/>
      <c r="C15" s="28"/>
      <c r="D15" s="23"/>
      <c r="E15" s="21"/>
      <c r="F15" s="22"/>
      <c r="G15" s="22"/>
      <c r="H15" s="22"/>
      <c r="I15" s="22"/>
    </row>
    <row r="16" spans="2:9" ht="15.75">
      <c r="B16" s="3"/>
      <c r="C16" s="28"/>
      <c r="D16" s="23"/>
      <c r="E16" s="21"/>
      <c r="F16" s="22"/>
      <c r="G16" s="22"/>
      <c r="H16" s="22"/>
      <c r="I16" s="22"/>
    </row>
    <row r="17" spans="2:9" ht="15.75">
      <c r="B17" s="3"/>
      <c r="C17" s="28"/>
      <c r="D17" s="23"/>
      <c r="E17" s="21"/>
      <c r="F17" s="22"/>
      <c r="G17" s="22"/>
      <c r="H17" s="22"/>
      <c r="I17" s="22"/>
    </row>
    <row r="18" spans="2:9" ht="15.75">
      <c r="B18" s="3"/>
      <c r="C18" s="28"/>
      <c r="D18" s="23"/>
      <c r="E18" s="21"/>
      <c r="F18" s="22"/>
      <c r="G18" s="22"/>
      <c r="H18" s="22"/>
      <c r="I18" s="22"/>
    </row>
    <row r="19" spans="2:9" ht="15.75">
      <c r="B19" s="3"/>
      <c r="C19" s="28"/>
      <c r="D19" s="23"/>
      <c r="E19" s="21"/>
      <c r="F19" s="22"/>
      <c r="G19" s="22"/>
      <c r="H19" s="22"/>
      <c r="I19" s="22"/>
    </row>
    <row r="20" spans="2:9" ht="15.75">
      <c r="B20" s="3"/>
      <c r="C20" s="28"/>
      <c r="D20" s="23"/>
      <c r="E20" s="21"/>
      <c r="F20" s="22"/>
      <c r="G20" s="22"/>
      <c r="H20" s="22"/>
      <c r="I20" s="22"/>
    </row>
    <row r="21" spans="2:9" ht="15.75">
      <c r="B21" s="3"/>
      <c r="C21" s="28"/>
      <c r="D21" s="23"/>
      <c r="E21" s="21"/>
      <c r="F21" s="22"/>
      <c r="G21" s="22"/>
      <c r="H21" s="22"/>
      <c r="I21" s="22"/>
    </row>
    <row r="22" spans="2:9" ht="15.75">
      <c r="B22" s="3"/>
      <c r="C22" s="28"/>
      <c r="D22" s="23"/>
      <c r="E22" s="21"/>
      <c r="F22" s="22"/>
      <c r="G22" s="22"/>
      <c r="H22" s="22"/>
      <c r="I22" s="22"/>
    </row>
    <row r="23" spans="2:9" ht="15.75">
      <c r="B23" s="3"/>
      <c r="C23" s="28"/>
      <c r="D23" s="23"/>
      <c r="E23" s="21"/>
      <c r="F23" s="22"/>
      <c r="G23" s="22"/>
      <c r="H23" s="22"/>
      <c r="I23" s="22"/>
    </row>
    <row r="24" spans="2:9" ht="15.75">
      <c r="B24" s="3"/>
      <c r="C24" s="28"/>
      <c r="D24" s="23"/>
      <c r="E24" s="21"/>
      <c r="F24" s="22"/>
      <c r="G24" s="22"/>
      <c r="H24" s="22"/>
      <c r="I24" s="22"/>
    </row>
    <row r="25" spans="2:9" ht="15.75">
      <c r="B25" s="3"/>
      <c r="C25" s="28"/>
      <c r="D25" s="23"/>
      <c r="E25" s="21"/>
      <c r="F25" s="22"/>
      <c r="G25" s="22"/>
      <c r="H25" s="22"/>
      <c r="I25" s="22"/>
    </row>
    <row r="26" spans="2:9" ht="15.75">
      <c r="B26" s="3"/>
      <c r="C26" s="28"/>
      <c r="D26" s="23"/>
      <c r="E26" s="21"/>
      <c r="F26" s="22"/>
      <c r="G26" s="22"/>
      <c r="H26" s="22"/>
      <c r="I26" s="22"/>
    </row>
    <row r="27" spans="2:9" ht="15.75">
      <c r="B27" s="3"/>
      <c r="C27" s="28"/>
      <c r="D27" s="23"/>
      <c r="E27" s="21"/>
      <c r="F27" s="22"/>
      <c r="G27" s="22"/>
      <c r="H27" s="22"/>
      <c r="I27" s="22"/>
    </row>
    <row r="28" spans="2:9" ht="16.5" thickBot="1">
      <c r="B28" s="17"/>
      <c r="C28" s="19"/>
      <c r="D28" s="19"/>
      <c r="E28" s="19"/>
      <c r="F28" s="703" t="s">
        <v>92</v>
      </c>
      <c r="G28" s="27">
        <f>SUM(G10:G27)</f>
        <v>0</v>
      </c>
      <c r="H28" s="27">
        <f>SUM(H10:H27)</f>
        <v>0</v>
      </c>
      <c r="I28" s="27">
        <f>SUM(I10:I27)</f>
        <v>0</v>
      </c>
    </row>
    <row r="29" spans="2:9" ht="16.5" thickTop="1">
      <c r="B29" s="5"/>
      <c r="C29" s="5"/>
      <c r="D29" s="5"/>
      <c r="E29" s="5"/>
      <c r="F29" s="5"/>
      <c r="G29" s="5"/>
      <c r="H29" s="10"/>
      <c r="I29" s="10"/>
    </row>
    <row r="30" spans="2:9" ht="15.75">
      <c r="B30" s="29" t="s">
        <v>22</v>
      </c>
      <c r="C30" s="30"/>
      <c r="D30" s="30"/>
      <c r="E30" s="30"/>
      <c r="F30" s="30"/>
      <c r="G30" s="30"/>
      <c r="H30" s="10"/>
      <c r="I30" s="10"/>
    </row>
  </sheetData>
  <sheetProtection sheet="1"/>
  <printOptions/>
  <pageMargins left="0.25" right="0.25" top="1" bottom="0.5" header="0.5" footer="0.5"/>
  <pageSetup blackAndWhite="1" fitToHeight="1" fitToWidth="1" horizontalDpi="120" verticalDpi="120" orientation="landscape" scale="85"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0">
      <selection activeCell="G27" sqref="G27"/>
    </sheetView>
  </sheetViews>
  <sheetFormatPr defaultColWidth="8.796875" defaultRowHeight="15"/>
  <cols>
    <col min="1" max="1" width="2.59765625" style="673" customWidth="1"/>
    <col min="2" max="4" width="8.8984375" style="673" customWidth="1"/>
    <col min="5" max="5" width="9.69921875" style="673" customWidth="1"/>
    <col min="6" max="6" width="8.8984375" style="673" customWidth="1"/>
    <col min="7" max="7" width="9.69921875" style="673" customWidth="1"/>
    <col min="8" max="16384" width="8.8984375" style="673" customWidth="1"/>
  </cols>
  <sheetData>
    <row r="1" spans="2:9" ht="15.75">
      <c r="B1" s="672"/>
      <c r="C1" s="672"/>
      <c r="D1" s="672"/>
      <c r="E1" s="672"/>
      <c r="F1" s="672"/>
      <c r="G1" s="672"/>
      <c r="H1" s="672"/>
      <c r="I1" s="672"/>
    </row>
    <row r="2" spans="2:9" ht="15.75">
      <c r="B2" s="780" t="s">
        <v>882</v>
      </c>
      <c r="C2" s="780"/>
      <c r="D2" s="780"/>
      <c r="E2" s="780"/>
      <c r="F2" s="780"/>
      <c r="G2" s="780"/>
      <c r="H2" s="780"/>
      <c r="I2" s="780"/>
    </row>
    <row r="3" spans="2:9" ht="15.75">
      <c r="B3" s="780" t="s">
        <v>883</v>
      </c>
      <c r="C3" s="780"/>
      <c r="D3" s="780"/>
      <c r="E3" s="780"/>
      <c r="F3" s="780"/>
      <c r="G3" s="780"/>
      <c r="H3" s="780"/>
      <c r="I3" s="780"/>
    </row>
    <row r="4" spans="2:9" ht="15.75">
      <c r="B4" s="674"/>
      <c r="C4" s="674"/>
      <c r="D4" s="674"/>
      <c r="E4" s="674"/>
      <c r="F4" s="674"/>
      <c r="G4" s="674"/>
      <c r="H4" s="674"/>
      <c r="I4" s="674"/>
    </row>
    <row r="5" spans="2:9" ht="15.75">
      <c r="B5" s="781" t="str">
        <f>CONCATENATE("Budgeted Year: ",inputPrYr!C5,"")</f>
        <v>Budgeted Year: 2014</v>
      </c>
      <c r="C5" s="781"/>
      <c r="D5" s="781"/>
      <c r="E5" s="781"/>
      <c r="F5" s="781"/>
      <c r="G5" s="781"/>
      <c r="H5" s="781"/>
      <c r="I5" s="781"/>
    </row>
    <row r="6" spans="2:9" ht="15.75">
      <c r="B6" s="675"/>
      <c r="C6" s="674"/>
      <c r="D6" s="674"/>
      <c r="E6" s="674"/>
      <c r="F6" s="674"/>
      <c r="G6" s="674"/>
      <c r="H6" s="674"/>
      <c r="I6" s="674"/>
    </row>
    <row r="7" spans="2:9" ht="15.75">
      <c r="B7" s="675" t="str">
        <f>CONCATENATE("Library found in: ",inputPrYr!D2,"")</f>
        <v>Library found in: City of Fredonia</v>
      </c>
      <c r="C7" s="674"/>
      <c r="D7" s="674"/>
      <c r="E7" s="674"/>
      <c r="F7" s="674"/>
      <c r="G7" s="674"/>
      <c r="H7" s="674"/>
      <c r="I7" s="674"/>
    </row>
    <row r="8" spans="2:9" ht="15.75">
      <c r="B8" s="675" t="str">
        <f>inputPrYr!D3</f>
        <v>Wilson County</v>
      </c>
      <c r="C8" s="674"/>
      <c r="D8" s="674"/>
      <c r="E8" s="674"/>
      <c r="F8" s="674"/>
      <c r="G8" s="674"/>
      <c r="H8" s="674"/>
      <c r="I8" s="674"/>
    </row>
    <row r="9" spans="2:9" ht="15.75">
      <c r="B9" s="674"/>
      <c r="C9" s="674"/>
      <c r="D9" s="674"/>
      <c r="E9" s="674"/>
      <c r="F9" s="674"/>
      <c r="G9" s="674"/>
      <c r="H9" s="674"/>
      <c r="I9" s="674"/>
    </row>
    <row r="10" spans="2:9" ht="39" customHeight="1">
      <c r="B10" s="782" t="s">
        <v>884</v>
      </c>
      <c r="C10" s="782"/>
      <c r="D10" s="782"/>
      <c r="E10" s="782"/>
      <c r="F10" s="782"/>
      <c r="G10" s="782"/>
      <c r="H10" s="782"/>
      <c r="I10" s="782"/>
    </row>
    <row r="11" spans="2:9" ht="15.75">
      <c r="B11" s="674"/>
      <c r="C11" s="674"/>
      <c r="D11" s="674"/>
      <c r="E11" s="674"/>
      <c r="F11" s="674"/>
      <c r="G11" s="674"/>
      <c r="H11" s="674"/>
      <c r="I11" s="674"/>
    </row>
    <row r="12" spans="2:9" ht="15.75">
      <c r="B12" s="676" t="s">
        <v>885</v>
      </c>
      <c r="C12" s="674"/>
      <c r="D12" s="674"/>
      <c r="E12" s="674"/>
      <c r="F12" s="674"/>
      <c r="G12" s="674"/>
      <c r="H12" s="674"/>
      <c r="I12" s="674"/>
    </row>
    <row r="13" spans="2:9" ht="15.75">
      <c r="B13" s="674"/>
      <c r="C13" s="674"/>
      <c r="D13" s="674"/>
      <c r="E13" s="677" t="s">
        <v>886</v>
      </c>
      <c r="F13" s="674"/>
      <c r="G13" s="677" t="s">
        <v>887</v>
      </c>
      <c r="H13" s="674"/>
      <c r="I13" s="674"/>
    </row>
    <row r="14" spans="2:9" ht="15.75">
      <c r="B14" s="674"/>
      <c r="C14" s="674"/>
      <c r="D14" s="674"/>
      <c r="E14" s="678">
        <f>inputPrYr!C5-1</f>
        <v>2013</v>
      </c>
      <c r="F14" s="674"/>
      <c r="G14" s="678">
        <f>inputPrYr!C5</f>
        <v>2014</v>
      </c>
      <c r="H14" s="674"/>
      <c r="I14" s="674"/>
    </row>
    <row r="15" spans="2:9" ht="15.75">
      <c r="B15" s="675" t="s">
        <v>988</v>
      </c>
      <c r="C15" s="674"/>
      <c r="D15" s="674"/>
      <c r="E15" s="679">
        <f>'DebtSvs-library'!D49</f>
        <v>65580</v>
      </c>
      <c r="F15" s="674"/>
      <c r="G15" s="679">
        <f>'DebtSvs-library'!E82</f>
        <v>73406.61</v>
      </c>
      <c r="H15" s="674"/>
      <c r="I15" s="674"/>
    </row>
    <row r="16" spans="2:9" ht="15.75">
      <c r="B16" s="675" t="s">
        <v>105</v>
      </c>
      <c r="C16" s="674"/>
      <c r="D16" s="674"/>
      <c r="E16" s="679">
        <f>'DebtSvs-library'!D50</f>
        <v>3500</v>
      </c>
      <c r="F16" s="674"/>
      <c r="G16" s="679">
        <f>'DebtSvs-library'!E50</f>
        <v>5500</v>
      </c>
      <c r="H16" s="674"/>
      <c r="I16" s="674"/>
    </row>
    <row r="17" spans="2:9" ht="15.75">
      <c r="B17" s="675" t="s">
        <v>106</v>
      </c>
      <c r="C17" s="674"/>
      <c r="D17" s="674"/>
      <c r="E17" s="679">
        <f>'DebtSvs-library'!D51</f>
        <v>11270</v>
      </c>
      <c r="F17" s="674"/>
      <c r="G17" s="679">
        <f>'DebtSvs-library'!E51</f>
        <v>12054</v>
      </c>
      <c r="H17" s="674"/>
      <c r="I17" s="674"/>
    </row>
    <row r="18" spans="2:9" ht="15.75">
      <c r="B18" s="675" t="s">
        <v>989</v>
      </c>
      <c r="C18" s="674"/>
      <c r="D18" s="674"/>
      <c r="E18" s="679">
        <f>'DebtSvs-library'!D52</f>
        <v>125</v>
      </c>
      <c r="F18" s="674"/>
      <c r="G18" s="679">
        <f>'DebtSvs-library'!E52</f>
        <v>146</v>
      </c>
      <c r="H18" s="674"/>
      <c r="I18" s="674"/>
    </row>
    <row r="19" spans="2:9" ht="15.75">
      <c r="B19" s="675" t="s">
        <v>990</v>
      </c>
      <c r="C19" s="674"/>
      <c r="D19" s="674"/>
      <c r="E19" s="679">
        <f>'DebtSvs-library'!D53</f>
        <v>285</v>
      </c>
      <c r="F19" s="674"/>
      <c r="G19" s="679">
        <f>'DebtSvs-library'!E53</f>
        <v>262</v>
      </c>
      <c r="H19" s="674"/>
      <c r="I19" s="674"/>
    </row>
    <row r="20" spans="2:9" ht="15.75">
      <c r="B20" s="674" t="s">
        <v>262</v>
      </c>
      <c r="C20" s="674"/>
      <c r="D20" s="674"/>
      <c r="E20" s="679">
        <v>0</v>
      </c>
      <c r="F20" s="674"/>
      <c r="G20" s="679">
        <v>0</v>
      </c>
      <c r="H20" s="674"/>
      <c r="I20" s="674"/>
    </row>
    <row r="21" spans="2:9" ht="15.75">
      <c r="B21" s="674"/>
      <c r="C21" s="674"/>
      <c r="D21" s="674"/>
      <c r="E21" s="679">
        <v>0</v>
      </c>
      <c r="F21" s="674"/>
      <c r="G21" s="679">
        <v>0</v>
      </c>
      <c r="H21" s="674"/>
      <c r="I21" s="674"/>
    </row>
    <row r="22" spans="2:9" ht="15.75">
      <c r="B22" s="674" t="s">
        <v>888</v>
      </c>
      <c r="C22" s="674"/>
      <c r="D22" s="674"/>
      <c r="E22" s="680">
        <f>SUM(E15:E21)</f>
        <v>80760</v>
      </c>
      <c r="F22" s="674"/>
      <c r="G22" s="680">
        <f>SUM(G15:G21)</f>
        <v>91368.61</v>
      </c>
      <c r="H22" s="674"/>
      <c r="I22" s="674"/>
    </row>
    <row r="23" spans="2:9" ht="15.75">
      <c r="B23" s="674" t="s">
        <v>889</v>
      </c>
      <c r="C23" s="674"/>
      <c r="D23" s="674"/>
      <c r="E23" s="704">
        <f>G22-E22</f>
        <v>10608.61</v>
      </c>
      <c r="F23" s="674"/>
      <c r="G23" s="681"/>
      <c r="H23" s="674"/>
      <c r="I23" s="674"/>
    </row>
    <row r="24" spans="2:9" ht="15.75">
      <c r="B24" s="674" t="s">
        <v>890</v>
      </c>
      <c r="C24" s="674"/>
      <c r="D24" s="682" t="str">
        <f>IF((G22-E22)&gt;0,"Qualify","Not Qualify")</f>
        <v>Qualify</v>
      </c>
      <c r="E24" s="674"/>
      <c r="F24" s="674"/>
      <c r="G24" s="674"/>
      <c r="H24" s="674"/>
      <c r="I24" s="674"/>
    </row>
    <row r="25" spans="2:9" ht="15.75">
      <c r="B25" s="674"/>
      <c r="C25" s="674"/>
      <c r="D25" s="674"/>
      <c r="E25" s="674"/>
      <c r="F25" s="674"/>
      <c r="G25" s="674"/>
      <c r="H25" s="674"/>
      <c r="I25" s="674"/>
    </row>
    <row r="26" spans="2:9" ht="15.75">
      <c r="B26" s="676" t="s">
        <v>891</v>
      </c>
      <c r="C26" s="674"/>
      <c r="D26" s="674"/>
      <c r="E26" s="674"/>
      <c r="F26" s="674"/>
      <c r="G26" s="674"/>
      <c r="H26" s="674"/>
      <c r="I26" s="674"/>
    </row>
    <row r="27" spans="2:9" ht="15.75">
      <c r="B27" s="674" t="s">
        <v>892</v>
      </c>
      <c r="C27" s="674"/>
      <c r="D27" s="674"/>
      <c r="E27" s="679">
        <f>summ!D57</f>
        <v>10813501</v>
      </c>
      <c r="F27" s="674"/>
      <c r="G27" s="679">
        <f>summ!F57</f>
        <v>10906025</v>
      </c>
      <c r="H27" s="674"/>
      <c r="I27" s="674"/>
    </row>
    <row r="28" spans="2:9" ht="15.75">
      <c r="B28" s="674" t="s">
        <v>893</v>
      </c>
      <c r="C28" s="674"/>
      <c r="D28" s="674"/>
      <c r="E28" s="683" t="str">
        <f>IF(G27-E27&gt;=0,"No","Yes")</f>
        <v>No</v>
      </c>
      <c r="F28" s="674"/>
      <c r="G28" s="674"/>
      <c r="H28" s="674"/>
      <c r="I28" s="674"/>
    </row>
    <row r="29" spans="2:9" ht="15.75">
      <c r="B29" s="674" t="s">
        <v>894</v>
      </c>
      <c r="C29" s="674"/>
      <c r="D29" s="674"/>
      <c r="E29" s="677">
        <f>summ!E17</f>
        <v>6.731</v>
      </c>
      <c r="F29" s="674"/>
      <c r="G29" s="684">
        <f>summ!H17</f>
        <v>6.731</v>
      </c>
      <c r="H29" s="674"/>
      <c r="I29" s="674"/>
    </row>
    <row r="30" spans="2:9" ht="15.75">
      <c r="B30" s="674" t="s">
        <v>895</v>
      </c>
      <c r="C30" s="674"/>
      <c r="D30" s="674"/>
      <c r="E30" s="685">
        <f>G29-E29</f>
        <v>0</v>
      </c>
      <c r="F30" s="674"/>
      <c r="G30" s="674"/>
      <c r="H30" s="674"/>
      <c r="I30" s="674"/>
    </row>
    <row r="31" spans="2:9" ht="15.75">
      <c r="B31" s="674" t="s">
        <v>890</v>
      </c>
      <c r="C31" s="674"/>
      <c r="D31" s="686" t="str">
        <f>IF(E30&gt;=0,"Qualify","Not Qualify")</f>
        <v>Qualify</v>
      </c>
      <c r="E31" s="674"/>
      <c r="F31" s="674"/>
      <c r="G31" s="674"/>
      <c r="H31" s="674"/>
      <c r="I31" s="674"/>
    </row>
    <row r="32" spans="2:9" ht="15.75">
      <c r="B32" s="674"/>
      <c r="C32" s="674"/>
      <c r="D32" s="674"/>
      <c r="E32" s="674"/>
      <c r="F32" s="674"/>
      <c r="G32" s="674"/>
      <c r="H32" s="674"/>
      <c r="I32" s="674"/>
    </row>
    <row r="33" spans="2:9" ht="15.75">
      <c r="B33" s="674" t="s">
        <v>896</v>
      </c>
      <c r="C33" s="674"/>
      <c r="D33" s="674"/>
      <c r="E33" s="674"/>
      <c r="F33" s="687" t="str">
        <f>IF(D24="Not Qualify",IF(D31="Not Qualify",IF(D31="Not Qualify","Not Qualify","Qualify"),"Qualify"),"Qualify")</f>
        <v>Qualify</v>
      </c>
      <c r="G33" s="674"/>
      <c r="H33" s="674"/>
      <c r="I33" s="674"/>
    </row>
    <row r="34" spans="2:9" ht="15.75">
      <c r="B34" s="674"/>
      <c r="C34" s="674"/>
      <c r="D34" s="674"/>
      <c r="E34" s="674"/>
      <c r="F34" s="674"/>
      <c r="G34" s="674"/>
      <c r="H34" s="674"/>
      <c r="I34" s="674"/>
    </row>
    <row r="35" spans="2:9" ht="15.75">
      <c r="B35" s="674"/>
      <c r="C35" s="674"/>
      <c r="D35" s="674"/>
      <c r="E35" s="674"/>
      <c r="F35" s="674"/>
      <c r="G35" s="674"/>
      <c r="H35" s="674"/>
      <c r="I35" s="674"/>
    </row>
    <row r="36" spans="2:9" ht="37.5" customHeight="1">
      <c r="B36" s="782" t="s">
        <v>897</v>
      </c>
      <c r="C36" s="782"/>
      <c r="D36" s="782"/>
      <c r="E36" s="782"/>
      <c r="F36" s="782"/>
      <c r="G36" s="782"/>
      <c r="H36" s="782"/>
      <c r="I36" s="782"/>
    </row>
    <row r="37" spans="2:9" ht="15.75">
      <c r="B37" s="674"/>
      <c r="C37" s="674"/>
      <c r="D37" s="674"/>
      <c r="E37" s="674"/>
      <c r="F37" s="674"/>
      <c r="G37" s="674"/>
      <c r="H37" s="674"/>
      <c r="I37" s="674"/>
    </row>
    <row r="38" spans="2:9" ht="15.75">
      <c r="B38" s="674"/>
      <c r="C38" s="674"/>
      <c r="D38" s="674"/>
      <c r="E38" s="674"/>
      <c r="F38" s="674"/>
      <c r="G38" s="674"/>
      <c r="H38" s="674"/>
      <c r="I38" s="674"/>
    </row>
    <row r="39" spans="2:9" ht="15.75">
      <c r="B39" s="674"/>
      <c r="C39" s="674"/>
      <c r="D39" s="674"/>
      <c r="E39" s="674"/>
      <c r="F39" s="674"/>
      <c r="G39" s="674"/>
      <c r="H39" s="674"/>
      <c r="I39" s="674"/>
    </row>
    <row r="40" spans="2:9" ht="15.75">
      <c r="B40" s="674"/>
      <c r="C40" s="674"/>
      <c r="D40" s="674"/>
      <c r="E40" s="688" t="s">
        <v>113</v>
      </c>
      <c r="F40" s="689">
        <v>7</v>
      </c>
      <c r="G40" s="674"/>
      <c r="H40" s="674"/>
      <c r="I40" s="674"/>
    </row>
    <row r="41" spans="2:9" ht="15.75">
      <c r="B41" s="674"/>
      <c r="C41" s="674"/>
      <c r="D41" s="674"/>
      <c r="E41" s="674"/>
      <c r="F41" s="674"/>
      <c r="G41" s="674"/>
      <c r="H41" s="674"/>
      <c r="I41" s="674"/>
    </row>
    <row r="42" spans="2:9" ht="15.75">
      <c r="B42" s="674"/>
      <c r="C42" s="674"/>
      <c r="D42" s="674"/>
      <c r="E42" s="674"/>
      <c r="F42" s="674"/>
      <c r="G42" s="674"/>
      <c r="H42" s="674"/>
      <c r="I42" s="674"/>
    </row>
    <row r="43" spans="2:9" ht="15.75">
      <c r="B43" s="783" t="s">
        <v>898</v>
      </c>
      <c r="C43" s="784"/>
      <c r="D43" s="784"/>
      <c r="E43" s="784"/>
      <c r="F43" s="784"/>
      <c r="G43" s="784"/>
      <c r="H43" s="784"/>
      <c r="I43" s="784"/>
    </row>
    <row r="44" spans="2:9" ht="15.75">
      <c r="B44" s="674"/>
      <c r="C44" s="674"/>
      <c r="D44" s="674"/>
      <c r="E44" s="674"/>
      <c r="F44" s="674"/>
      <c r="G44" s="674"/>
      <c r="H44" s="674"/>
      <c r="I44" s="674"/>
    </row>
    <row r="45" spans="2:9" ht="15.75">
      <c r="B45" s="690" t="s">
        <v>899</v>
      </c>
      <c r="C45" s="674"/>
      <c r="D45" s="674"/>
      <c r="E45" s="674"/>
      <c r="F45" s="674"/>
      <c r="G45" s="674"/>
      <c r="H45" s="674"/>
      <c r="I45" s="674"/>
    </row>
    <row r="46" spans="2:9" ht="15.75">
      <c r="B46" s="690" t="str">
        <f>CONCATENATE("sources in your ",G14," library fund is not equal to or greater than the amount from the same")</f>
        <v>sources in your 2014 library fund is not equal to or greater than the amount from the same</v>
      </c>
      <c r="C46" s="674"/>
      <c r="D46" s="674"/>
      <c r="E46" s="674"/>
      <c r="F46" s="674"/>
      <c r="G46" s="674"/>
      <c r="H46" s="674"/>
      <c r="I46" s="674"/>
    </row>
    <row r="47" spans="2:9" ht="15.75">
      <c r="B47" s="690" t="str">
        <f>CONCATENATE("sources in ",E14,".")</f>
        <v>sources in 2013.</v>
      </c>
      <c r="C47" s="672"/>
      <c r="D47" s="672"/>
      <c r="E47" s="672"/>
      <c r="F47" s="672"/>
      <c r="G47" s="672"/>
      <c r="H47" s="672"/>
      <c r="I47" s="672"/>
    </row>
    <row r="48" spans="2:9" ht="15.75">
      <c r="B48" s="672"/>
      <c r="C48" s="672"/>
      <c r="D48" s="672"/>
      <c r="E48" s="672"/>
      <c r="F48" s="672"/>
      <c r="G48" s="672"/>
      <c r="H48" s="672"/>
      <c r="I48" s="672"/>
    </row>
    <row r="49" spans="2:9" ht="15.75">
      <c r="B49" s="690" t="s">
        <v>900</v>
      </c>
      <c r="C49" s="690"/>
      <c r="D49" s="691"/>
      <c r="E49" s="691"/>
      <c r="F49" s="691"/>
      <c r="G49" s="691"/>
      <c r="H49" s="691"/>
      <c r="I49" s="691"/>
    </row>
    <row r="50" spans="2:9" ht="15.75">
      <c r="B50" s="690" t="s">
        <v>901</v>
      </c>
      <c r="C50" s="690"/>
      <c r="D50" s="691"/>
      <c r="E50" s="691"/>
      <c r="F50" s="691"/>
      <c r="G50" s="691"/>
      <c r="H50" s="691"/>
      <c r="I50" s="691"/>
    </row>
    <row r="51" spans="2:9" ht="15.75">
      <c r="B51" s="690" t="s">
        <v>902</v>
      </c>
      <c r="C51" s="690"/>
      <c r="D51" s="691"/>
      <c r="E51" s="691"/>
      <c r="F51" s="691"/>
      <c r="G51" s="691"/>
      <c r="H51" s="691"/>
      <c r="I51" s="691"/>
    </row>
    <row r="52" spans="2:9" ht="15">
      <c r="B52" s="691"/>
      <c r="C52" s="691"/>
      <c r="D52" s="691"/>
      <c r="E52" s="691"/>
      <c r="F52" s="691"/>
      <c r="G52" s="691"/>
      <c r="H52" s="691"/>
      <c r="I52" s="691"/>
    </row>
    <row r="53" spans="2:9" ht="15.75">
      <c r="B53" s="692" t="s">
        <v>903</v>
      </c>
      <c r="C53" s="691"/>
      <c r="D53" s="691"/>
      <c r="E53" s="691"/>
      <c r="F53" s="691"/>
      <c r="G53" s="691"/>
      <c r="H53" s="691"/>
      <c r="I53" s="691"/>
    </row>
    <row r="54" spans="2:9" ht="15">
      <c r="B54" s="691"/>
      <c r="C54" s="691"/>
      <c r="D54" s="691"/>
      <c r="E54" s="691"/>
      <c r="F54" s="691"/>
      <c r="G54" s="691"/>
      <c r="H54" s="691"/>
      <c r="I54" s="691"/>
    </row>
    <row r="55" spans="2:9" ht="15.75">
      <c r="B55" s="690" t="s">
        <v>904</v>
      </c>
      <c r="C55" s="691"/>
      <c r="D55" s="691"/>
      <c r="E55" s="691"/>
      <c r="F55" s="691"/>
      <c r="G55" s="691"/>
      <c r="H55" s="691"/>
      <c r="I55" s="691"/>
    </row>
    <row r="56" spans="2:9" ht="15.75">
      <c r="B56" s="690" t="s">
        <v>905</v>
      </c>
      <c r="C56" s="691"/>
      <c r="D56" s="691"/>
      <c r="E56" s="691"/>
      <c r="F56" s="691"/>
      <c r="G56" s="691"/>
      <c r="H56" s="691"/>
      <c r="I56" s="691"/>
    </row>
    <row r="57" spans="2:9" ht="15">
      <c r="B57" s="691"/>
      <c r="C57" s="691"/>
      <c r="D57" s="691"/>
      <c r="E57" s="691"/>
      <c r="F57" s="691"/>
      <c r="G57" s="691"/>
      <c r="H57" s="691"/>
      <c r="I57" s="691"/>
    </row>
    <row r="58" spans="2:9" ht="15.75">
      <c r="B58" s="692" t="s">
        <v>906</v>
      </c>
      <c r="C58" s="690"/>
      <c r="D58" s="690"/>
      <c r="E58" s="690"/>
      <c r="F58" s="690"/>
      <c r="G58" s="691"/>
      <c r="H58" s="691"/>
      <c r="I58" s="691"/>
    </row>
    <row r="59" spans="2:9" ht="15.75">
      <c r="B59" s="690"/>
      <c r="C59" s="690"/>
      <c r="D59" s="690"/>
      <c r="E59" s="690"/>
      <c r="F59" s="690"/>
      <c r="G59" s="691"/>
      <c r="H59" s="691"/>
      <c r="I59" s="691"/>
    </row>
    <row r="60" spans="2:9" ht="15.75">
      <c r="B60" s="690" t="s">
        <v>907</v>
      </c>
      <c r="C60" s="690"/>
      <c r="D60" s="690"/>
      <c r="E60" s="690"/>
      <c r="F60" s="690"/>
      <c r="G60" s="691"/>
      <c r="H60" s="691"/>
      <c r="I60" s="691"/>
    </row>
    <row r="61" spans="2:9" ht="15.75">
      <c r="B61" s="690" t="s">
        <v>908</v>
      </c>
      <c r="C61" s="690"/>
      <c r="D61" s="690"/>
      <c r="E61" s="690"/>
      <c r="F61" s="690"/>
      <c r="G61" s="691"/>
      <c r="H61" s="691"/>
      <c r="I61" s="691"/>
    </row>
    <row r="62" spans="2:9" ht="15.75">
      <c r="B62" s="690" t="s">
        <v>909</v>
      </c>
      <c r="C62" s="690"/>
      <c r="D62" s="690"/>
      <c r="E62" s="690"/>
      <c r="F62" s="690"/>
      <c r="G62" s="691"/>
      <c r="H62" s="691"/>
      <c r="I62" s="691"/>
    </row>
    <row r="63" spans="2:9" ht="15.75">
      <c r="B63" s="690" t="s">
        <v>910</v>
      </c>
      <c r="C63" s="690"/>
      <c r="D63" s="690"/>
      <c r="E63" s="690"/>
      <c r="F63" s="690"/>
      <c r="G63" s="691"/>
      <c r="H63" s="691"/>
      <c r="I63" s="691"/>
    </row>
    <row r="64" spans="2:9" ht="15">
      <c r="B64" s="693"/>
      <c r="C64" s="693"/>
      <c r="D64" s="693"/>
      <c r="E64" s="693"/>
      <c r="F64" s="693"/>
      <c r="G64" s="691"/>
      <c r="H64" s="691"/>
      <c r="I64" s="691"/>
    </row>
    <row r="65" spans="2:9" ht="15.75">
      <c r="B65" s="690" t="s">
        <v>911</v>
      </c>
      <c r="C65" s="693"/>
      <c r="D65" s="693"/>
      <c r="E65" s="693"/>
      <c r="F65" s="693"/>
      <c r="G65" s="691"/>
      <c r="H65" s="691"/>
      <c r="I65" s="691"/>
    </row>
    <row r="66" spans="2:9" ht="15.75">
      <c r="B66" s="690" t="s">
        <v>912</v>
      </c>
      <c r="C66" s="693"/>
      <c r="D66" s="693"/>
      <c r="E66" s="693"/>
      <c r="F66" s="693"/>
      <c r="G66" s="691"/>
      <c r="H66" s="691"/>
      <c r="I66" s="691"/>
    </row>
    <row r="67" spans="2:9" ht="15">
      <c r="B67" s="693"/>
      <c r="C67" s="693"/>
      <c r="D67" s="693"/>
      <c r="E67" s="693"/>
      <c r="F67" s="693"/>
      <c r="G67" s="691"/>
      <c r="H67" s="691"/>
      <c r="I67" s="691"/>
    </row>
    <row r="68" spans="2:9" ht="15.75">
      <c r="B68" s="690" t="s">
        <v>913</v>
      </c>
      <c r="C68" s="693"/>
      <c r="D68" s="693"/>
      <c r="E68" s="693"/>
      <c r="F68" s="693"/>
      <c r="G68" s="691"/>
      <c r="H68" s="691"/>
      <c r="I68" s="691"/>
    </row>
    <row r="69" spans="2:9" ht="15.75">
      <c r="B69" s="690" t="s">
        <v>914</v>
      </c>
      <c r="C69" s="693"/>
      <c r="D69" s="693"/>
      <c r="E69" s="693"/>
      <c r="F69" s="693"/>
      <c r="G69" s="691"/>
      <c r="H69" s="691"/>
      <c r="I69" s="691"/>
    </row>
    <row r="70" spans="2:9" ht="15">
      <c r="B70" s="693"/>
      <c r="C70" s="693"/>
      <c r="D70" s="693"/>
      <c r="E70" s="693"/>
      <c r="F70" s="693"/>
      <c r="G70" s="691"/>
      <c r="H70" s="691"/>
      <c r="I70" s="691"/>
    </row>
    <row r="71" spans="2:9" ht="15.75">
      <c r="B71" s="692" t="s">
        <v>915</v>
      </c>
      <c r="C71" s="693"/>
      <c r="D71" s="693"/>
      <c r="E71" s="693"/>
      <c r="F71" s="693"/>
      <c r="G71" s="691"/>
      <c r="H71" s="691"/>
      <c r="I71" s="691"/>
    </row>
    <row r="72" spans="2:9" ht="15">
      <c r="B72" s="693"/>
      <c r="C72" s="693"/>
      <c r="D72" s="693"/>
      <c r="E72" s="693"/>
      <c r="F72" s="693"/>
      <c r="G72" s="691"/>
      <c r="H72" s="691"/>
      <c r="I72" s="691"/>
    </row>
    <row r="73" spans="2:9" ht="15.75">
      <c r="B73" s="690" t="s">
        <v>916</v>
      </c>
      <c r="C73" s="693"/>
      <c r="D73" s="693"/>
      <c r="E73" s="693"/>
      <c r="F73" s="693"/>
      <c r="G73" s="691"/>
      <c r="H73" s="691"/>
      <c r="I73" s="691"/>
    </row>
    <row r="74" spans="2:9" ht="15.75">
      <c r="B74" s="690" t="s">
        <v>917</v>
      </c>
      <c r="C74" s="693"/>
      <c r="D74" s="693"/>
      <c r="E74" s="693"/>
      <c r="F74" s="693"/>
      <c r="G74" s="691"/>
      <c r="H74" s="691"/>
      <c r="I74" s="691"/>
    </row>
    <row r="75" spans="2:9" ht="15">
      <c r="B75" s="693"/>
      <c r="C75" s="693"/>
      <c r="D75" s="693"/>
      <c r="E75" s="693"/>
      <c r="F75" s="693"/>
      <c r="G75" s="691"/>
      <c r="H75" s="691"/>
      <c r="I75" s="691"/>
    </row>
    <row r="76" spans="2:9" ht="15.75">
      <c r="B76" s="692" t="s">
        <v>918</v>
      </c>
      <c r="C76" s="693"/>
      <c r="D76" s="693"/>
      <c r="E76" s="693"/>
      <c r="F76" s="693"/>
      <c r="G76" s="691"/>
      <c r="H76" s="691"/>
      <c r="I76" s="691"/>
    </row>
    <row r="77" spans="2:9" ht="15">
      <c r="B77" s="693"/>
      <c r="C77" s="693"/>
      <c r="D77" s="693"/>
      <c r="E77" s="693"/>
      <c r="F77" s="693"/>
      <c r="G77" s="691"/>
      <c r="H77" s="691"/>
      <c r="I77" s="691"/>
    </row>
    <row r="78" spans="2:9" ht="15.75">
      <c r="B78" s="690" t="str">
        <f>CONCATENATE("If the ",G14," municipal budget has not been published and has not been submitted to the County")</f>
        <v>If the 2014 municipal budget has not been published and has not been submitted to the County</v>
      </c>
      <c r="C78" s="693"/>
      <c r="D78" s="693"/>
      <c r="E78" s="693"/>
      <c r="F78" s="693"/>
      <c r="G78" s="691"/>
      <c r="H78" s="691"/>
      <c r="I78" s="691"/>
    </row>
    <row r="79" spans="2:9" ht="15.75">
      <c r="B79" s="690" t="s">
        <v>919</v>
      </c>
      <c r="C79" s="693"/>
      <c r="D79" s="693"/>
      <c r="E79" s="693"/>
      <c r="F79" s="693"/>
      <c r="G79" s="691"/>
      <c r="H79" s="691"/>
      <c r="I79" s="691"/>
    </row>
    <row r="80" spans="2:9" ht="15">
      <c r="B80" s="693"/>
      <c r="C80" s="693"/>
      <c r="D80" s="693"/>
      <c r="E80" s="693"/>
      <c r="F80" s="693"/>
      <c r="G80" s="691"/>
      <c r="H80" s="691"/>
      <c r="I80" s="691"/>
    </row>
    <row r="81" spans="2:9" ht="15.75">
      <c r="B81" s="692" t="s">
        <v>438</v>
      </c>
      <c r="C81" s="693"/>
      <c r="D81" s="693"/>
      <c r="E81" s="693"/>
      <c r="F81" s="693"/>
      <c r="G81" s="691"/>
      <c r="H81" s="691"/>
      <c r="I81" s="691"/>
    </row>
    <row r="82" spans="2:9" ht="15">
      <c r="B82" s="693"/>
      <c r="C82" s="693"/>
      <c r="D82" s="693"/>
      <c r="E82" s="693"/>
      <c r="F82" s="693"/>
      <c r="G82" s="691"/>
      <c r="H82" s="691"/>
      <c r="I82" s="691"/>
    </row>
    <row r="83" spans="2:9" ht="15.75">
      <c r="B83" s="690" t="s">
        <v>920</v>
      </c>
      <c r="C83" s="693"/>
      <c r="D83" s="693"/>
      <c r="E83" s="693"/>
      <c r="F83" s="693"/>
      <c r="G83" s="691"/>
      <c r="H83" s="691"/>
      <c r="I83" s="691"/>
    </row>
    <row r="84" spans="2:9" ht="15.75">
      <c r="B84" s="690" t="str">
        <f>CONCATENATE("Budget Year ",G14," is equal to or greater than that for Current Year Estimate ",E14,".")</f>
        <v>Budget Year 2014 is equal to or greater than that for Current Year Estimate 2013.</v>
      </c>
      <c r="C84" s="693"/>
      <c r="D84" s="693"/>
      <c r="E84" s="693"/>
      <c r="F84" s="693"/>
      <c r="G84" s="691"/>
      <c r="H84" s="691"/>
      <c r="I84" s="691"/>
    </row>
    <row r="85" spans="2:9" ht="15">
      <c r="B85" s="693"/>
      <c r="C85" s="693"/>
      <c r="D85" s="693"/>
      <c r="E85" s="693"/>
      <c r="F85" s="693"/>
      <c r="G85" s="691"/>
      <c r="H85" s="691"/>
      <c r="I85" s="691"/>
    </row>
    <row r="86" spans="2:9" ht="15.75">
      <c r="B86" s="690" t="s">
        <v>921</v>
      </c>
      <c r="C86" s="693"/>
      <c r="D86" s="693"/>
      <c r="E86" s="693"/>
      <c r="F86" s="693"/>
      <c r="G86" s="691"/>
      <c r="H86" s="691"/>
      <c r="I86" s="691"/>
    </row>
    <row r="87" spans="2:9" ht="15.75">
      <c r="B87" s="690" t="s">
        <v>922</v>
      </c>
      <c r="C87" s="693"/>
      <c r="D87" s="693"/>
      <c r="E87" s="693"/>
      <c r="F87" s="693"/>
      <c r="G87" s="691"/>
      <c r="H87" s="691"/>
      <c r="I87" s="691"/>
    </row>
    <row r="88" spans="2:9" ht="15.75">
      <c r="B88" s="690" t="s">
        <v>923</v>
      </c>
      <c r="C88" s="693"/>
      <c r="D88" s="693"/>
      <c r="E88" s="693"/>
      <c r="F88" s="693"/>
      <c r="G88" s="691"/>
      <c r="H88" s="691"/>
      <c r="I88" s="691"/>
    </row>
    <row r="89" spans="2:9" ht="15.75">
      <c r="B89" s="690" t="str">
        <f>CONCATENATE("purpose for the previous (",E14,") year.")</f>
        <v>purpose for the previous (2013) year.</v>
      </c>
      <c r="C89" s="693"/>
      <c r="D89" s="693"/>
      <c r="E89" s="693"/>
      <c r="F89" s="693"/>
      <c r="G89" s="691"/>
      <c r="H89" s="691"/>
      <c r="I89" s="691"/>
    </row>
    <row r="90" spans="2:9" ht="15">
      <c r="B90" s="693"/>
      <c r="C90" s="693"/>
      <c r="D90" s="693"/>
      <c r="E90" s="693"/>
      <c r="F90" s="693"/>
      <c r="G90" s="691"/>
      <c r="H90" s="691"/>
      <c r="I90" s="691"/>
    </row>
    <row r="91" spans="2:9" ht="15.75">
      <c r="B91" s="690" t="str">
        <f>CONCATENATE("Next, look to see if delinquent tax for ",G14," is budgeted. Often this line is budgeted at $0 or left")</f>
        <v>Next, look to see if delinquent tax for 2014 is budgeted. Often this line is budgeted at $0 or left</v>
      </c>
      <c r="C91" s="693"/>
      <c r="D91" s="693"/>
      <c r="E91" s="693"/>
      <c r="F91" s="693"/>
      <c r="G91" s="691"/>
      <c r="H91" s="691"/>
      <c r="I91" s="691"/>
    </row>
    <row r="92" spans="2:9" ht="15.75">
      <c r="B92" s="690" t="s">
        <v>924</v>
      </c>
      <c r="C92" s="693"/>
      <c r="D92" s="693"/>
      <c r="E92" s="693"/>
      <c r="F92" s="693"/>
      <c r="G92" s="691"/>
      <c r="H92" s="691"/>
      <c r="I92" s="691"/>
    </row>
    <row r="93" spans="2:9" ht="15.75">
      <c r="B93" s="690" t="s">
        <v>925</v>
      </c>
      <c r="C93" s="693"/>
      <c r="D93" s="693"/>
      <c r="E93" s="693"/>
      <c r="F93" s="693"/>
      <c r="G93" s="691"/>
      <c r="H93" s="691"/>
      <c r="I93" s="691"/>
    </row>
    <row r="94" spans="2:9" ht="15.75">
      <c r="B94" s="690" t="s">
        <v>926</v>
      </c>
      <c r="C94" s="693"/>
      <c r="D94" s="693"/>
      <c r="E94" s="693"/>
      <c r="F94" s="693"/>
      <c r="G94" s="691"/>
      <c r="H94" s="691"/>
      <c r="I94" s="691"/>
    </row>
    <row r="95" spans="2:9" ht="15">
      <c r="B95" s="693"/>
      <c r="C95" s="693"/>
      <c r="D95" s="693"/>
      <c r="E95" s="693"/>
      <c r="F95" s="693"/>
      <c r="G95" s="691"/>
      <c r="H95" s="691"/>
      <c r="I95" s="691"/>
    </row>
    <row r="96" spans="2:9" ht="15.75">
      <c r="B96" s="692" t="s">
        <v>927</v>
      </c>
      <c r="C96" s="693"/>
      <c r="D96" s="693"/>
      <c r="E96" s="693"/>
      <c r="F96" s="693"/>
      <c r="G96" s="691"/>
      <c r="H96" s="691"/>
      <c r="I96" s="691"/>
    </row>
    <row r="97" spans="2:9" ht="15">
      <c r="B97" s="693"/>
      <c r="C97" s="693"/>
      <c r="D97" s="693"/>
      <c r="E97" s="693"/>
      <c r="F97" s="693"/>
      <c r="G97" s="691"/>
      <c r="H97" s="691"/>
      <c r="I97" s="691"/>
    </row>
    <row r="98" spans="2:9" ht="15.75">
      <c r="B98" s="690" t="s">
        <v>928</v>
      </c>
      <c r="C98" s="693"/>
      <c r="D98" s="693"/>
      <c r="E98" s="693"/>
      <c r="F98" s="693"/>
      <c r="G98" s="691"/>
      <c r="H98" s="691"/>
      <c r="I98" s="691"/>
    </row>
    <row r="99" spans="2:9" ht="15.75">
      <c r="B99" s="690" t="s">
        <v>929</v>
      </c>
      <c r="C99" s="693"/>
      <c r="D99" s="693"/>
      <c r="E99" s="693"/>
      <c r="F99" s="693"/>
      <c r="G99" s="691"/>
      <c r="H99" s="691"/>
      <c r="I99" s="691"/>
    </row>
    <row r="100" spans="2:9" ht="15">
      <c r="B100" s="693"/>
      <c r="C100" s="693"/>
      <c r="D100" s="693"/>
      <c r="E100" s="693"/>
      <c r="F100" s="693"/>
      <c r="G100" s="691"/>
      <c r="H100" s="691"/>
      <c r="I100" s="691"/>
    </row>
    <row r="101" spans="2:9" ht="15.75">
      <c r="B101" s="690" t="s">
        <v>930</v>
      </c>
      <c r="C101" s="693"/>
      <c r="D101" s="693"/>
      <c r="E101" s="693"/>
      <c r="F101" s="693"/>
      <c r="G101" s="691"/>
      <c r="H101" s="691"/>
      <c r="I101" s="691"/>
    </row>
    <row r="102" spans="2:9" ht="15.75">
      <c r="B102" s="690" t="s">
        <v>931</v>
      </c>
      <c r="C102" s="693"/>
      <c r="D102" s="693"/>
      <c r="E102" s="693"/>
      <c r="F102" s="693"/>
      <c r="G102" s="691"/>
      <c r="H102" s="691"/>
      <c r="I102" s="691"/>
    </row>
    <row r="103" spans="2:9" ht="15.75">
      <c r="B103" s="690" t="s">
        <v>932</v>
      </c>
      <c r="C103" s="693"/>
      <c r="D103" s="693"/>
      <c r="E103" s="693"/>
      <c r="F103" s="693"/>
      <c r="G103" s="691"/>
      <c r="H103" s="691"/>
      <c r="I103" s="691"/>
    </row>
    <row r="104" spans="2:9" ht="15.75">
      <c r="B104" s="690" t="s">
        <v>933</v>
      </c>
      <c r="C104" s="693"/>
      <c r="D104" s="693"/>
      <c r="E104" s="693"/>
      <c r="F104" s="693"/>
      <c r="G104" s="691"/>
      <c r="H104" s="691"/>
      <c r="I104" s="691"/>
    </row>
    <row r="105" spans="2:9" ht="15.75">
      <c r="B105" s="730" t="s">
        <v>983</v>
      </c>
      <c r="C105" s="731"/>
      <c r="D105" s="731"/>
      <c r="E105" s="731"/>
      <c r="F105" s="731"/>
      <c r="G105" s="691"/>
      <c r="H105" s="691"/>
      <c r="I105" s="691"/>
    </row>
    <row r="108" ht="15">
      <c r="G108" s="69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133"/>
  <sheetViews>
    <sheetView zoomScaleSheetLayoutView="100" zoomScalePageLayoutView="0" workbookViewId="0" topLeftCell="A61">
      <selection activeCell="L80" sqref="L80"/>
    </sheetView>
  </sheetViews>
  <sheetFormatPr defaultColWidth="8.796875" defaultRowHeight="15"/>
  <cols>
    <col min="1" max="1" width="2.3984375" style="44" customWidth="1"/>
    <col min="2" max="2" width="31.09765625" style="44" customWidth="1"/>
    <col min="3" max="4" width="15.796875" style="44" customWidth="1"/>
    <col min="5" max="5" width="16.296875" style="44" customWidth="1"/>
    <col min="6" max="6" width="6.898437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196" t="str">
        <f>inputPrYr!D2</f>
        <v>City of Fredonia</v>
      </c>
      <c r="C1" s="46"/>
      <c r="D1" s="46"/>
      <c r="E1" s="247">
        <f>inputPrYr!C5</f>
        <v>2014</v>
      </c>
    </row>
    <row r="2" spans="2:5" ht="15.75">
      <c r="B2" s="46"/>
      <c r="C2" s="46"/>
      <c r="D2" s="46"/>
      <c r="E2" s="168"/>
    </row>
    <row r="3" spans="2:5" ht="15.75">
      <c r="B3" s="248"/>
      <c r="C3" s="46"/>
      <c r="D3" s="46"/>
      <c r="E3" s="135"/>
    </row>
    <row r="4" spans="2:5" ht="15.75">
      <c r="B4" s="382" t="s">
        <v>169</v>
      </c>
      <c r="C4" s="249"/>
      <c r="D4" s="249"/>
      <c r="E4" s="249"/>
    </row>
    <row r="5" spans="2:5" ht="15.75">
      <c r="B5" s="170" t="s">
        <v>103</v>
      </c>
      <c r="C5" s="705" t="s">
        <v>937</v>
      </c>
      <c r="D5" s="706" t="s">
        <v>938</v>
      </c>
      <c r="E5" s="143" t="s">
        <v>939</v>
      </c>
    </row>
    <row r="6" spans="2:5" ht="15.75">
      <c r="B6" s="525" t="str">
        <f>inputPrYr!B17</f>
        <v>General</v>
      </c>
      <c r="C6" s="224" t="str">
        <f>CONCATENATE("Actual for ",E1-2,"")</f>
        <v>Actual for 2012</v>
      </c>
      <c r="D6" s="224" t="str">
        <f>CONCATENATE("Estimate for ",E1-1,"")</f>
        <v>Estimate for 2013</v>
      </c>
      <c r="E6" s="207" t="str">
        <f>CONCATENATE("Year for ",E1,"")</f>
        <v>Year for 2014</v>
      </c>
    </row>
    <row r="7" spans="2:5" ht="15.75">
      <c r="B7" s="251" t="s">
        <v>224</v>
      </c>
      <c r="C7" s="252">
        <v>306376</v>
      </c>
      <c r="D7" s="253">
        <f>C112</f>
        <v>487146</v>
      </c>
      <c r="E7" s="227">
        <f>D112</f>
        <v>202548</v>
      </c>
    </row>
    <row r="8" spans="2:5" ht="15.75">
      <c r="B8" s="254" t="s">
        <v>226</v>
      </c>
      <c r="C8" s="158"/>
      <c r="D8" s="158"/>
      <c r="E8" s="86"/>
    </row>
    <row r="9" spans="2:5" ht="15.75">
      <c r="B9" s="251" t="s">
        <v>104</v>
      </c>
      <c r="C9" s="255">
        <v>382902</v>
      </c>
      <c r="D9" s="253">
        <v>347200</v>
      </c>
      <c r="E9" s="257" t="s">
        <v>93</v>
      </c>
    </row>
    <row r="10" spans="2:5" ht="15.75">
      <c r="B10" s="251" t="s">
        <v>105</v>
      </c>
      <c r="C10" s="255">
        <v>53158</v>
      </c>
      <c r="D10" s="255">
        <v>22250</v>
      </c>
      <c r="E10" s="258">
        <v>17500</v>
      </c>
    </row>
    <row r="11" spans="2:5" ht="15.75">
      <c r="B11" s="251" t="s">
        <v>106</v>
      </c>
      <c r="C11" s="255">
        <v>66051</v>
      </c>
      <c r="D11" s="255">
        <v>63640</v>
      </c>
      <c r="E11" s="227">
        <f>mvalloc!D7</f>
        <v>63383.81</v>
      </c>
    </row>
    <row r="12" spans="2:5" ht="15.75">
      <c r="B12" s="251" t="s">
        <v>107</v>
      </c>
      <c r="C12" s="255">
        <v>934</v>
      </c>
      <c r="D12" s="255">
        <v>777</v>
      </c>
      <c r="E12" s="227">
        <f>mvalloc!E7</f>
        <v>766.21</v>
      </c>
    </row>
    <row r="13" spans="2:5" ht="15.75">
      <c r="B13" s="251" t="s">
        <v>201</v>
      </c>
      <c r="C13" s="255">
        <v>1372</v>
      </c>
      <c r="D13" s="255">
        <v>1466</v>
      </c>
      <c r="E13" s="227">
        <f>mvalloc!F7</f>
        <v>1380.04</v>
      </c>
    </row>
    <row r="14" spans="2:5" ht="15.75">
      <c r="B14" s="251" t="s">
        <v>202</v>
      </c>
      <c r="C14" s="255">
        <v>0</v>
      </c>
      <c r="D14" s="255">
        <v>0</v>
      </c>
      <c r="E14" s="227">
        <f>inputOth!E16</f>
        <v>0</v>
      </c>
    </row>
    <row r="15" spans="2:5" ht="15.75">
      <c r="B15" s="251" t="s">
        <v>262</v>
      </c>
      <c r="C15" s="255">
        <v>0</v>
      </c>
      <c r="D15" s="255">
        <v>0</v>
      </c>
      <c r="E15" s="227">
        <f>inputOth!E42</f>
        <v>0</v>
      </c>
    </row>
    <row r="16" spans="2:5" ht="15.75">
      <c r="B16" s="251" t="s">
        <v>263</v>
      </c>
      <c r="C16" s="255">
        <v>0</v>
      </c>
      <c r="D16" s="255">
        <v>0</v>
      </c>
      <c r="E16" s="227">
        <f>inputOth!E43</f>
        <v>0</v>
      </c>
    </row>
    <row r="17" spans="2:5" ht="15.75">
      <c r="B17" s="252" t="s">
        <v>108</v>
      </c>
      <c r="C17" s="255">
        <v>831</v>
      </c>
      <c r="D17" s="255">
        <v>1000</v>
      </c>
      <c r="E17" s="258">
        <v>1000</v>
      </c>
    </row>
    <row r="18" spans="2:5" ht="15.75">
      <c r="B18" s="252" t="s">
        <v>1045</v>
      </c>
      <c r="C18" s="255">
        <v>4220</v>
      </c>
      <c r="D18" s="255">
        <v>6100</v>
      </c>
      <c r="E18" s="258">
        <v>5500</v>
      </c>
    </row>
    <row r="19" spans="2:5" ht="15.75">
      <c r="B19" s="252" t="s">
        <v>1046</v>
      </c>
      <c r="C19" s="255">
        <v>912</v>
      </c>
      <c r="D19" s="255">
        <v>2800</v>
      </c>
      <c r="E19" s="258">
        <v>2250</v>
      </c>
    </row>
    <row r="20" spans="2:5" ht="15.75">
      <c r="B20" s="527" t="s">
        <v>1047</v>
      </c>
      <c r="C20" s="255">
        <v>13625</v>
      </c>
      <c r="D20" s="255">
        <v>13500</v>
      </c>
      <c r="E20" s="258">
        <v>13000</v>
      </c>
    </row>
    <row r="21" spans="2:5" ht="15.75">
      <c r="B21" s="526" t="s">
        <v>1048</v>
      </c>
      <c r="C21" s="255">
        <v>54032</v>
      </c>
      <c r="D21" s="255">
        <v>65152</v>
      </c>
      <c r="E21" s="258">
        <v>61500</v>
      </c>
    </row>
    <row r="22" spans="2:5" ht="15.75">
      <c r="B22" s="526" t="s">
        <v>1049</v>
      </c>
      <c r="C22" s="255">
        <v>109134</v>
      </c>
      <c r="D22" s="255">
        <v>107257</v>
      </c>
      <c r="E22" s="258">
        <v>110000</v>
      </c>
    </row>
    <row r="23" spans="2:5" ht="15.75">
      <c r="B23" s="526" t="s">
        <v>1050</v>
      </c>
      <c r="C23" s="255">
        <v>355</v>
      </c>
      <c r="D23" s="255">
        <v>350</v>
      </c>
      <c r="E23" s="258">
        <v>300</v>
      </c>
    </row>
    <row r="24" spans="2:5" ht="15.75">
      <c r="B24" s="252" t="s">
        <v>1051</v>
      </c>
      <c r="C24" s="255">
        <v>320000</v>
      </c>
      <c r="D24" s="255">
        <v>320000</v>
      </c>
      <c r="E24" s="258">
        <v>355000</v>
      </c>
    </row>
    <row r="25" spans="2:5" ht="15.75">
      <c r="B25" s="252" t="s">
        <v>1052</v>
      </c>
      <c r="C25" s="255">
        <v>0</v>
      </c>
      <c r="D25" s="255">
        <v>5000</v>
      </c>
      <c r="E25" s="258">
        <v>5000</v>
      </c>
    </row>
    <row r="26" spans="2:5" ht="15.75">
      <c r="B26" s="252" t="s">
        <v>1053</v>
      </c>
      <c r="C26" s="255">
        <v>0</v>
      </c>
      <c r="D26" s="255">
        <v>5000</v>
      </c>
      <c r="E26" s="258">
        <v>5000</v>
      </c>
    </row>
    <row r="27" spans="2:5" ht="15.75">
      <c r="B27" s="252" t="s">
        <v>1054</v>
      </c>
      <c r="C27" s="255">
        <v>4523</v>
      </c>
      <c r="D27" s="255">
        <v>2500</v>
      </c>
      <c r="E27" s="258">
        <v>2500</v>
      </c>
    </row>
    <row r="28" spans="2:5" ht="15.75">
      <c r="B28" s="252" t="s">
        <v>1055</v>
      </c>
      <c r="C28" s="255">
        <v>1524</v>
      </c>
      <c r="D28" s="255">
        <v>1525</v>
      </c>
      <c r="E28" s="258">
        <v>1500</v>
      </c>
    </row>
    <row r="29" spans="2:5" ht="15.75">
      <c r="B29" s="252" t="s">
        <v>1056</v>
      </c>
      <c r="C29" s="255">
        <v>29757</v>
      </c>
      <c r="D29" s="255">
        <v>26906</v>
      </c>
      <c r="E29" s="258">
        <v>25000</v>
      </c>
    </row>
    <row r="30" spans="2:5" ht="15.75">
      <c r="B30" s="252" t="s">
        <v>1057</v>
      </c>
      <c r="C30" s="255">
        <v>8224</v>
      </c>
      <c r="D30" s="255">
        <v>7500</v>
      </c>
      <c r="E30" s="258">
        <v>7500</v>
      </c>
    </row>
    <row r="31" spans="2:5" ht="15.75">
      <c r="B31" s="252" t="s">
        <v>1058</v>
      </c>
      <c r="C31" s="255">
        <v>2981836</v>
      </c>
      <c r="D31" s="255">
        <v>219161</v>
      </c>
      <c r="E31" s="258">
        <v>0</v>
      </c>
    </row>
    <row r="32" spans="2:5" ht="15.75">
      <c r="B32" s="252" t="s">
        <v>1167</v>
      </c>
      <c r="C32" s="255">
        <v>0</v>
      </c>
      <c r="D32" s="255">
        <v>0</v>
      </c>
      <c r="E32" s="258">
        <v>0</v>
      </c>
    </row>
    <row r="33" spans="2:5" ht="15.75">
      <c r="B33" s="252"/>
      <c r="C33" s="255"/>
      <c r="D33" s="255"/>
      <c r="E33" s="258"/>
    </row>
    <row r="34" spans="2:5" ht="15.75">
      <c r="B34" s="252"/>
      <c r="C34" s="255"/>
      <c r="D34" s="255"/>
      <c r="E34" s="258"/>
    </row>
    <row r="35" spans="2:5" ht="15.75">
      <c r="B35" s="252"/>
      <c r="C35" s="255"/>
      <c r="D35" s="255"/>
      <c r="E35" s="258"/>
    </row>
    <row r="36" spans="2:5" ht="15.75">
      <c r="B36" s="252"/>
      <c r="C36" s="255"/>
      <c r="D36" s="255"/>
      <c r="E36" s="258"/>
    </row>
    <row r="37" spans="2:5" ht="15.75">
      <c r="B37" s="252"/>
      <c r="C37" s="255"/>
      <c r="D37" s="255"/>
      <c r="E37" s="258"/>
    </row>
    <row r="38" spans="2:5" ht="15.75">
      <c r="B38" s="252"/>
      <c r="C38" s="255"/>
      <c r="D38" s="255"/>
      <c r="E38" s="258"/>
    </row>
    <row r="39" spans="2:5" ht="15.75">
      <c r="B39" s="252"/>
      <c r="C39" s="255"/>
      <c r="D39" s="255"/>
      <c r="E39" s="258"/>
    </row>
    <row r="40" spans="2:5" ht="15.75">
      <c r="B40" s="252"/>
      <c r="C40" s="255"/>
      <c r="D40" s="255"/>
      <c r="E40" s="258"/>
    </row>
    <row r="41" spans="2:5" ht="15.75">
      <c r="B41" s="252"/>
      <c r="C41" s="255"/>
      <c r="D41" s="255"/>
      <c r="E41" s="258"/>
    </row>
    <row r="42" spans="2:5" ht="15.75">
      <c r="B42" s="252"/>
      <c r="C42" s="255"/>
      <c r="D42" s="255"/>
      <c r="E42" s="258"/>
    </row>
    <row r="43" spans="2:5" ht="15.75">
      <c r="B43" s="252"/>
      <c r="C43" s="255"/>
      <c r="D43" s="255"/>
      <c r="E43" s="258"/>
    </row>
    <row r="44" spans="2:5" ht="15.75">
      <c r="B44" s="252"/>
      <c r="C44" s="255"/>
      <c r="D44" s="255"/>
      <c r="E44" s="258"/>
    </row>
    <row r="45" spans="2:5" ht="15.75">
      <c r="B45" s="252"/>
      <c r="C45" s="255"/>
      <c r="D45" s="255"/>
      <c r="E45" s="258"/>
    </row>
    <row r="46" spans="2:5" ht="15.75">
      <c r="B46" s="252"/>
      <c r="C46" s="255"/>
      <c r="D46" s="255"/>
      <c r="E46" s="258"/>
    </row>
    <row r="47" spans="2:5" ht="15.75">
      <c r="B47" s="252"/>
      <c r="C47" s="255"/>
      <c r="D47" s="255"/>
      <c r="E47" s="258"/>
    </row>
    <row r="48" spans="2:5" ht="15.75">
      <c r="B48" s="252"/>
      <c r="C48" s="255"/>
      <c r="D48" s="255"/>
      <c r="E48" s="258"/>
    </row>
    <row r="49" spans="2:5" ht="15.75">
      <c r="B49" s="252"/>
      <c r="C49" s="255"/>
      <c r="D49" s="255"/>
      <c r="E49" s="258"/>
    </row>
    <row r="50" spans="2:5" ht="15.75">
      <c r="B50" s="252"/>
      <c r="C50" s="255"/>
      <c r="D50" s="255"/>
      <c r="E50" s="258"/>
    </row>
    <row r="51" spans="2:5" ht="15.75">
      <c r="B51" s="252"/>
      <c r="C51" s="255"/>
      <c r="D51" s="255"/>
      <c r="E51" s="258"/>
    </row>
    <row r="52" spans="2:5" ht="15.75">
      <c r="B52" s="252" t="s">
        <v>109</v>
      </c>
      <c r="C52" s="255">
        <v>0</v>
      </c>
      <c r="D52" s="255">
        <v>0</v>
      </c>
      <c r="E52" s="258">
        <v>0</v>
      </c>
    </row>
    <row r="53" spans="2:5" ht="15.75">
      <c r="B53" s="259" t="s">
        <v>110</v>
      </c>
      <c r="C53" s="255">
        <v>10500</v>
      </c>
      <c r="D53" s="255">
        <v>5055</v>
      </c>
      <c r="E53" s="258">
        <v>10000</v>
      </c>
    </row>
    <row r="54" spans="2:5" ht="15.75">
      <c r="B54" s="158" t="s">
        <v>14</v>
      </c>
      <c r="C54" s="255">
        <v>0</v>
      </c>
      <c r="D54" s="255">
        <v>0</v>
      </c>
      <c r="E54" s="258">
        <v>0</v>
      </c>
    </row>
    <row r="55" spans="2:5" ht="15.75">
      <c r="B55" s="251" t="s">
        <v>774</v>
      </c>
      <c r="C55" s="260">
        <f>IF(C56*0.1&lt;C54,"Exceed 10% Rule","")</f>
      </c>
      <c r="D55" s="260">
        <f>IF(D56*0.1&lt;D54,"Exceed 10% Rule","")</f>
      </c>
      <c r="E55" s="292">
        <f>IF(E56*0.1+E118&lt;E54,"Exceed 10% Rule","")</f>
      </c>
    </row>
    <row r="56" spans="2:5" ht="15.75">
      <c r="B56" s="262" t="s">
        <v>111</v>
      </c>
      <c r="C56" s="264">
        <f>SUM(C9:C54)</f>
        <v>4043890</v>
      </c>
      <c r="D56" s="264">
        <f>SUM(D9:D54)</f>
        <v>1224139</v>
      </c>
      <c r="E56" s="265">
        <f>SUM(E10:E54)</f>
        <v>688080.06</v>
      </c>
    </row>
    <row r="57" spans="2:5" ht="15.75">
      <c r="B57" s="262" t="s">
        <v>112</v>
      </c>
      <c r="C57" s="264">
        <f>C7+C56</f>
        <v>4350266</v>
      </c>
      <c r="D57" s="264">
        <f>D7+D56</f>
        <v>1711285</v>
      </c>
      <c r="E57" s="265">
        <f>E7+E56</f>
        <v>890628.06</v>
      </c>
    </row>
    <row r="58" spans="2:5" ht="15.75">
      <c r="B58" s="46"/>
      <c r="C58" s="46"/>
      <c r="D58" s="46"/>
      <c r="E58" s="46"/>
    </row>
    <row r="59" spans="2:5" ht="15.75">
      <c r="B59" s="135" t="s">
        <v>121</v>
      </c>
      <c r="C59" s="170">
        <f>IF(inputPrYr!D19&gt;0,8,7)</f>
        <v>8</v>
      </c>
      <c r="D59" s="171"/>
      <c r="E59" s="171"/>
    </row>
    <row r="60" spans="2:5" ht="15.75">
      <c r="B60" s="171"/>
      <c r="C60" s="171"/>
      <c r="D60" s="171"/>
      <c r="E60" s="171"/>
    </row>
    <row r="61" spans="2:5" ht="15.75">
      <c r="B61" s="196" t="str">
        <f>inputPrYr!D2</f>
        <v>City of Fredonia</v>
      </c>
      <c r="C61" s="46"/>
      <c r="D61" s="46"/>
      <c r="E61" s="168"/>
    </row>
    <row r="62" spans="2:5" ht="15.75">
      <c r="B62" s="46"/>
      <c r="C62" s="46"/>
      <c r="D62" s="46"/>
      <c r="E62" s="135"/>
    </row>
    <row r="63" spans="2:5" ht="15.75">
      <c r="B63" s="266" t="s">
        <v>168</v>
      </c>
      <c r="C63" s="220"/>
      <c r="D63" s="220"/>
      <c r="E63" s="220"/>
    </row>
    <row r="64" spans="2:5" ht="15.75">
      <c r="B64" s="46" t="s">
        <v>103</v>
      </c>
      <c r="C64" s="705" t="s">
        <v>937</v>
      </c>
      <c r="D64" s="706" t="s">
        <v>938</v>
      </c>
      <c r="E64" s="143" t="s">
        <v>939</v>
      </c>
    </row>
    <row r="65" spans="2:5" ht="15.75">
      <c r="B65" s="76" t="str">
        <f>inputPrYr!B17</f>
        <v>General</v>
      </c>
      <c r="C65" s="224" t="str">
        <f>CONCATENATE("Actual for ",E1-2,"")</f>
        <v>Actual for 2012</v>
      </c>
      <c r="D65" s="224" t="str">
        <f>CONCATENATE("Estimate for ",E1-1,"")</f>
        <v>Estimate for 2013</v>
      </c>
      <c r="E65" s="207" t="str">
        <f>CONCATENATE("Year for ",E1,"")</f>
        <v>Year for 2014</v>
      </c>
    </row>
    <row r="66" spans="2:5" ht="15.75">
      <c r="B66" s="267" t="s">
        <v>112</v>
      </c>
      <c r="C66" s="253">
        <f>C57</f>
        <v>4350266</v>
      </c>
      <c r="D66" s="253">
        <f>D57</f>
        <v>1711285</v>
      </c>
      <c r="E66" s="227">
        <f>E57</f>
        <v>890628.06</v>
      </c>
    </row>
    <row r="67" spans="2:5" ht="15.75">
      <c r="B67" s="254" t="s">
        <v>114</v>
      </c>
      <c r="C67" s="158"/>
      <c r="D67" s="158"/>
      <c r="E67" s="86"/>
    </row>
    <row r="68" spans="2:6" ht="15.75">
      <c r="B68" s="251" t="str">
        <f>GenDetail!A7</f>
        <v>Administration</v>
      </c>
      <c r="C68" s="268">
        <f>GenDetail!B15</f>
        <v>93272</v>
      </c>
      <c r="D68" s="268">
        <f>GenDetail!C15</f>
        <v>152943</v>
      </c>
      <c r="E68" s="81">
        <f>GenDetail!D15</f>
        <v>100331</v>
      </c>
      <c r="F68" s="269"/>
    </row>
    <row r="69" spans="2:6" ht="15.75">
      <c r="B69" s="251" t="str">
        <f>GenDetail!A16</f>
        <v>Police</v>
      </c>
      <c r="C69" s="268">
        <f>GenDetail!B22</f>
        <v>443964</v>
      </c>
      <c r="D69" s="268">
        <f>GenDetail!C22</f>
        <v>436651</v>
      </c>
      <c r="E69" s="81">
        <f>GenDetail!D22</f>
        <v>452421</v>
      </c>
      <c r="F69" s="269"/>
    </row>
    <row r="70" spans="2:5" ht="15.75">
      <c r="B70" s="251" t="str">
        <f>GenDetail!A23</f>
        <v>Fire</v>
      </c>
      <c r="C70" s="268">
        <f>GenDetail!B29</f>
        <v>65301</v>
      </c>
      <c r="D70" s="268">
        <f>GenDetail!C29</f>
        <v>73897</v>
      </c>
      <c r="E70" s="81">
        <f>GenDetail!D29</f>
        <v>76336</v>
      </c>
    </row>
    <row r="71" spans="2:5" ht="15.75">
      <c r="B71" s="251" t="str">
        <f>GenDetail!A30</f>
        <v>Code Enforcement</v>
      </c>
      <c r="C71" s="268">
        <f>GenDetail!B35</f>
        <v>43875</v>
      </c>
      <c r="D71" s="268">
        <f>GenDetail!C35</f>
        <v>68318</v>
      </c>
      <c r="E71" s="81">
        <f>GenDetail!D35</f>
        <v>49129</v>
      </c>
    </row>
    <row r="72" spans="2:5" ht="15.75">
      <c r="B72" s="251" t="str">
        <f>GenDetail!A36</f>
        <v>Street</v>
      </c>
      <c r="C72" s="268">
        <f>GenDetail!B42</f>
        <v>293292</v>
      </c>
      <c r="D72" s="268">
        <f>GenDetail!C42</f>
        <v>308808</v>
      </c>
      <c r="E72" s="81">
        <f>GenDetail!D42</f>
        <v>304608</v>
      </c>
    </row>
    <row r="73" spans="2:5" ht="15.75">
      <c r="B73" s="251" t="str">
        <f>GenDetail!A43</f>
        <v>Parks</v>
      </c>
      <c r="C73" s="268">
        <f>GenDetail!B49</f>
        <v>91729</v>
      </c>
      <c r="D73" s="268">
        <f>GenDetail!C49</f>
        <v>89460</v>
      </c>
      <c r="E73" s="81">
        <f>GenDetail!D49</f>
        <v>96753</v>
      </c>
    </row>
    <row r="74" spans="2:5" ht="15.75">
      <c r="B74" s="251" t="str">
        <f>GenDetail!A50</f>
        <v>Cemetery</v>
      </c>
      <c r="C74" s="268">
        <f>GenDetail!B56</f>
        <v>81393</v>
      </c>
      <c r="D74" s="268">
        <f>GenDetail!C56</f>
        <v>82376</v>
      </c>
      <c r="E74" s="81">
        <f>GenDetail!D56</f>
        <v>94244</v>
      </c>
    </row>
    <row r="75" spans="2:5" ht="15.75">
      <c r="B75" s="251" t="str">
        <f>GenDetail!A57</f>
        <v>Municipal Court</v>
      </c>
      <c r="C75" s="268">
        <f>GenDetail!B63</f>
        <v>62748</v>
      </c>
      <c r="D75" s="268">
        <f>GenDetail!C63</f>
        <v>46486</v>
      </c>
      <c r="E75" s="81">
        <f>GenDetail!D63</f>
        <v>52770</v>
      </c>
    </row>
    <row r="76" spans="2:5" ht="15.75">
      <c r="B76" s="251"/>
      <c r="C76" s="268"/>
      <c r="D76" s="268"/>
      <c r="E76" s="81"/>
    </row>
    <row r="77" spans="2:5" ht="15.75">
      <c r="B77" s="251"/>
      <c r="C77" s="268"/>
      <c r="D77" s="268"/>
      <c r="E77" s="81"/>
    </row>
    <row r="78" spans="2:5" ht="15.75">
      <c r="B78" s="251"/>
      <c r="C78" s="268"/>
      <c r="D78" s="268"/>
      <c r="E78" s="81"/>
    </row>
    <row r="79" spans="2:5" ht="15.75">
      <c r="B79" s="251"/>
      <c r="C79" s="268"/>
      <c r="D79" s="268"/>
      <c r="E79" s="81"/>
    </row>
    <row r="80" spans="2:5" ht="15.75">
      <c r="B80" s="251"/>
      <c r="C80" s="268"/>
      <c r="D80" s="268"/>
      <c r="E80" s="81"/>
    </row>
    <row r="81" spans="2:5" ht="15.75">
      <c r="B81" s="251"/>
      <c r="C81" s="268"/>
      <c r="D81" s="268"/>
      <c r="E81" s="81"/>
    </row>
    <row r="82" spans="2:5" ht="15.75">
      <c r="B82" s="251"/>
      <c r="C82" s="268"/>
      <c r="D82" s="268"/>
      <c r="E82" s="81"/>
    </row>
    <row r="83" spans="2:5" ht="15.75">
      <c r="B83" s="251"/>
      <c r="C83" s="268"/>
      <c r="D83" s="268"/>
      <c r="E83" s="81"/>
    </row>
    <row r="84" spans="2:5" ht="15.75">
      <c r="B84" s="270" t="s">
        <v>667</v>
      </c>
      <c r="C84" s="373">
        <f>SUM(C68:C83)</f>
        <v>1175574</v>
      </c>
      <c r="D84" s="373">
        <f>SUM(D68:D83)</f>
        <v>1258939</v>
      </c>
      <c r="E84" s="285">
        <f>SUM(E68:E83)</f>
        <v>1226592</v>
      </c>
    </row>
    <row r="85" spans="2:5" ht="15.75">
      <c r="B85" s="259" t="s">
        <v>1069</v>
      </c>
      <c r="C85" s="255">
        <v>3750</v>
      </c>
      <c r="D85" s="255">
        <v>100</v>
      </c>
      <c r="E85" s="258">
        <v>2100</v>
      </c>
    </row>
    <row r="86" spans="2:5" ht="15.75">
      <c r="B86" s="259" t="s">
        <v>1054</v>
      </c>
      <c r="C86" s="255">
        <v>5213</v>
      </c>
      <c r="D86" s="255">
        <v>4100</v>
      </c>
      <c r="E86" s="258">
        <v>4500</v>
      </c>
    </row>
    <row r="87" spans="2:5" ht="15.75">
      <c r="B87" s="259" t="s">
        <v>1070</v>
      </c>
      <c r="C87" s="255">
        <v>8514</v>
      </c>
      <c r="D87" s="255">
        <v>10144</v>
      </c>
      <c r="E87" s="258">
        <v>9000</v>
      </c>
    </row>
    <row r="88" spans="2:5" ht="15.75">
      <c r="B88" s="259" t="s">
        <v>1071</v>
      </c>
      <c r="C88" s="255">
        <v>3081</v>
      </c>
      <c r="D88" s="255">
        <v>1525</v>
      </c>
      <c r="E88" s="258">
        <v>2750</v>
      </c>
    </row>
    <row r="89" spans="2:5" ht="15.75">
      <c r="B89" s="259" t="s">
        <v>1072</v>
      </c>
      <c r="C89" s="255">
        <v>3016</v>
      </c>
      <c r="D89" s="255">
        <v>0</v>
      </c>
      <c r="E89" s="258">
        <v>0</v>
      </c>
    </row>
    <row r="90" spans="2:5" ht="15.75">
      <c r="B90" s="259" t="s">
        <v>1073</v>
      </c>
      <c r="C90" s="255">
        <v>0</v>
      </c>
      <c r="D90" s="255">
        <v>16500</v>
      </c>
      <c r="E90" s="258">
        <v>16500</v>
      </c>
    </row>
    <row r="91" spans="2:5" ht="15.75">
      <c r="B91" s="271" t="s">
        <v>1074</v>
      </c>
      <c r="C91" s="255">
        <v>2655472</v>
      </c>
      <c r="D91" s="255">
        <v>217429</v>
      </c>
      <c r="E91" s="258">
        <v>0</v>
      </c>
    </row>
    <row r="92" spans="2:5" ht="15.75">
      <c r="B92" s="271" t="s">
        <v>1075</v>
      </c>
      <c r="C92" s="255">
        <v>8500</v>
      </c>
      <c r="D92" s="255">
        <v>0</v>
      </c>
      <c r="E92" s="258">
        <v>0</v>
      </c>
    </row>
    <row r="93" spans="2:5" ht="15.75">
      <c r="B93" s="271"/>
      <c r="C93" s="255"/>
      <c r="D93" s="255"/>
      <c r="E93" s="258"/>
    </row>
    <row r="94" spans="2:5" ht="15.75">
      <c r="B94" s="271"/>
      <c r="C94" s="255"/>
      <c r="D94" s="255"/>
      <c r="E94" s="258"/>
    </row>
    <row r="95" spans="2:5" ht="15.75">
      <c r="B95" s="271"/>
      <c r="C95" s="255"/>
      <c r="D95" s="255"/>
      <c r="E95" s="258"/>
    </row>
    <row r="96" spans="2:5" ht="15.75">
      <c r="B96" s="271"/>
      <c r="C96" s="255"/>
      <c r="D96" s="255"/>
      <c r="E96" s="258"/>
    </row>
    <row r="97" spans="2:5" ht="15.75">
      <c r="B97" s="271"/>
      <c r="C97" s="255"/>
      <c r="D97" s="255"/>
      <c r="E97" s="258"/>
    </row>
    <row r="98" spans="2:5" ht="15.75">
      <c r="B98" s="271"/>
      <c r="C98" s="255"/>
      <c r="D98" s="255"/>
      <c r="E98" s="258"/>
    </row>
    <row r="99" spans="2:5" ht="15.75">
      <c r="B99" s="271"/>
      <c r="C99" s="255"/>
      <c r="D99" s="255"/>
      <c r="E99" s="258"/>
    </row>
    <row r="100" spans="2:5" ht="15.75">
      <c r="B100" s="271"/>
      <c r="C100" s="255"/>
      <c r="D100" s="255"/>
      <c r="E100" s="258"/>
    </row>
    <row r="101" spans="2:5" ht="15.75">
      <c r="B101" s="271"/>
      <c r="C101" s="255"/>
      <c r="D101" s="255"/>
      <c r="E101" s="258"/>
    </row>
    <row r="102" spans="2:10" ht="15.75">
      <c r="B102" s="271"/>
      <c r="C102" s="255"/>
      <c r="D102" s="255"/>
      <c r="E102" s="258"/>
      <c r="G102" s="785" t="str">
        <f>CONCATENATE("Desired Carryover Into ",E1+1,"")</f>
        <v>Desired Carryover Into 2015</v>
      </c>
      <c r="H102" s="786"/>
      <c r="I102" s="786"/>
      <c r="J102" s="787"/>
    </row>
    <row r="103" spans="2:10" ht="15.75">
      <c r="B103" s="271"/>
      <c r="C103" s="255"/>
      <c r="D103" s="255"/>
      <c r="E103" s="258"/>
      <c r="G103" s="532"/>
      <c r="H103" s="529"/>
      <c r="I103" s="529"/>
      <c r="J103" s="533"/>
    </row>
    <row r="104" spans="2:10" ht="15.75">
      <c r="B104" s="271"/>
      <c r="C104" s="255"/>
      <c r="D104" s="255"/>
      <c r="E104" s="258"/>
      <c r="G104" s="543" t="s">
        <v>762</v>
      </c>
      <c r="H104" s="537"/>
      <c r="I104" s="537"/>
      <c r="J104" s="531">
        <v>0</v>
      </c>
    </row>
    <row r="105" spans="2:10" ht="15.75">
      <c r="B105" s="271"/>
      <c r="C105" s="255"/>
      <c r="D105" s="255"/>
      <c r="E105" s="258"/>
      <c r="G105" s="547" t="s">
        <v>763</v>
      </c>
      <c r="H105" s="528"/>
      <c r="I105" s="530"/>
      <c r="J105" s="546">
        <f>IF(J104=0,"",ROUND((J104+E118-G117)/inputOth!E7*1000,3)-general!G122)</f>
      </c>
    </row>
    <row r="106" spans="2:10" ht="15.75">
      <c r="B106" s="271"/>
      <c r="C106" s="255"/>
      <c r="D106" s="255"/>
      <c r="E106" s="258"/>
      <c r="G106" s="616" t="str">
        <f>CONCATENATE("",E1," Total Expenditures Must Be:")</f>
        <v>2014 Total Expenditures Must Be:</v>
      </c>
      <c r="H106" s="617"/>
      <c r="I106" s="618"/>
      <c r="J106" s="545">
        <f>IF(J104&gt;0,IF(E115&lt;E57,IF(J104=G117,E115,((J104-G117)*(1-D117))+E57),E115+(J104-G117)),0)</f>
        <v>0</v>
      </c>
    </row>
    <row r="107" spans="2:10" ht="15.75">
      <c r="B107" s="271"/>
      <c r="C107" s="255"/>
      <c r="D107" s="255"/>
      <c r="E107" s="258"/>
      <c r="G107" s="620" t="s">
        <v>879</v>
      </c>
      <c r="H107" s="621"/>
      <c r="I107" s="622"/>
      <c r="J107" s="655">
        <f>IF(J104&gt;0,J106-E115,0)</f>
        <v>0</v>
      </c>
    </row>
    <row r="108" spans="2:5" ht="15.75">
      <c r="B108" s="272" t="s">
        <v>13</v>
      </c>
      <c r="C108" s="255"/>
      <c r="D108" s="255"/>
      <c r="E108" s="273">
        <f>nhood!E6</f>
        <v>935</v>
      </c>
    </row>
    <row r="109" spans="2:10" ht="15.75">
      <c r="B109" s="272" t="s">
        <v>14</v>
      </c>
      <c r="C109" s="255">
        <v>0</v>
      </c>
      <c r="D109" s="255">
        <v>0</v>
      </c>
      <c r="E109" s="258">
        <v>0</v>
      </c>
      <c r="G109" s="785" t="str">
        <f>CONCATENATE("Projected Carryover Into ",E1+1,"")</f>
        <v>Projected Carryover Into 2015</v>
      </c>
      <c r="H109" s="794"/>
      <c r="I109" s="794"/>
      <c r="J109" s="795"/>
    </row>
    <row r="110" spans="2:10" ht="15.75">
      <c r="B110" s="272" t="s">
        <v>775</v>
      </c>
      <c r="C110" s="260">
        <f>IF(C111*0.1&lt;C109,"Exceed 10% Rule","")</f>
      </c>
      <c r="D110" s="260">
        <f>IF(D111*0.1&lt;D109,"Exceed 10% Rule","")</f>
      </c>
      <c r="E110" s="292">
        <f>IF(E111*0.1&lt;E109,"Exceed 10% Rule","")</f>
      </c>
      <c r="G110" s="532"/>
      <c r="H110" s="529"/>
      <c r="I110" s="529"/>
      <c r="J110" s="533"/>
    </row>
    <row r="111" spans="2:10" ht="15.75">
      <c r="B111" s="262" t="s">
        <v>118</v>
      </c>
      <c r="C111" s="264">
        <f>SUM(C84:C109)</f>
        <v>3863120</v>
      </c>
      <c r="D111" s="264">
        <f>SUM(D84:D109)</f>
        <v>1508737</v>
      </c>
      <c r="E111" s="265">
        <f>SUM(E84:E109)</f>
        <v>1262377</v>
      </c>
      <c r="G111" s="534">
        <f>D112</f>
        <v>202548</v>
      </c>
      <c r="H111" s="535" t="str">
        <f>CONCATENATE("",E1-1," Ending Cash Balance (est.)")</f>
        <v>2013 Ending Cash Balance (est.)</v>
      </c>
      <c r="I111" s="536"/>
      <c r="J111" s="533"/>
    </row>
    <row r="112" spans="2:10" ht="15.75">
      <c r="B112" s="149" t="s">
        <v>225</v>
      </c>
      <c r="C112" s="268">
        <f>C57-C111</f>
        <v>487146</v>
      </c>
      <c r="D112" s="268">
        <f>D57-D111</f>
        <v>202548</v>
      </c>
      <c r="E112" s="257" t="s">
        <v>93</v>
      </c>
      <c r="G112" s="534">
        <f>E56</f>
        <v>688080.06</v>
      </c>
      <c r="H112" s="537" t="str">
        <f>CONCATENATE("",E1," Non-AV Receipts (est.)")</f>
        <v>2014 Non-AV Receipts (est.)</v>
      </c>
      <c r="I112" s="536"/>
      <c r="J112" s="533"/>
    </row>
    <row r="113" spans="2:11" ht="15.75">
      <c r="B113" s="135" t="str">
        <f>CONCATENATE("",E1-2,"/",E1-1," Budget Authority Amount:")</f>
        <v>2012/2013 Budget Authority Amount:</v>
      </c>
      <c r="C113" s="240">
        <f>inputOth!B60</f>
        <v>3876011</v>
      </c>
      <c r="D113" s="240">
        <f>inputPrYr!D17</f>
        <v>1247506</v>
      </c>
      <c r="E113" s="257" t="s">
        <v>93</v>
      </c>
      <c r="F113" s="274"/>
      <c r="G113" s="538">
        <f>IF(E117&gt;0,E116,E118)</f>
        <v>371748.93999999994</v>
      </c>
      <c r="H113" s="537" t="str">
        <f>CONCATENATE("",E1," Ad Valorem Tax (est.)")</f>
        <v>2014 Ad Valorem Tax (est.)</v>
      </c>
      <c r="I113" s="536"/>
      <c r="J113" s="533"/>
      <c r="K113" s="634" t="str">
        <f>IF(G113=E118,"","Note: Does not include Delinquent Taxes")</f>
        <v>Note: Does not include Delinquent Taxes</v>
      </c>
    </row>
    <row r="114" spans="2:10" ht="15.75">
      <c r="B114" s="135"/>
      <c r="C114" s="788" t="s">
        <v>665</v>
      </c>
      <c r="D114" s="789"/>
      <c r="E114" s="258"/>
      <c r="F114" s="429">
        <f>IF(E111/0.95-E111&lt;E114,"Exceeds 5%","")</f>
      </c>
      <c r="G114" s="534">
        <f>SUM(G111:G113)</f>
        <v>1262377</v>
      </c>
      <c r="H114" s="537" t="str">
        <f>CONCATENATE("Total ",E1," Resources Available")</f>
        <v>Total 2014 Resources Available</v>
      </c>
      <c r="I114" s="536"/>
      <c r="J114" s="533"/>
    </row>
    <row r="115" spans="2:10" ht="15.75">
      <c r="B115" s="521" t="str">
        <f>CONCATENATE(C132,"     ",D132)</f>
        <v>     See Tab C</v>
      </c>
      <c r="C115" s="790" t="s">
        <v>666</v>
      </c>
      <c r="D115" s="791"/>
      <c r="E115" s="227">
        <f>E111+E114</f>
        <v>1262377</v>
      </c>
      <c r="G115" s="539"/>
      <c r="H115" s="537"/>
      <c r="I115" s="537"/>
      <c r="J115" s="533"/>
    </row>
    <row r="116" spans="2:10" ht="15.75">
      <c r="B116" s="521" t="str">
        <f>CONCATENATE(C133,"     ",D133)</f>
        <v>     </v>
      </c>
      <c r="C116" s="275"/>
      <c r="D116" s="168" t="s">
        <v>119</v>
      </c>
      <c r="E116" s="81">
        <f>IF(E115-E57&gt;0,E115-E57,0)</f>
        <v>371748.93999999994</v>
      </c>
      <c r="G116" s="538">
        <f>C111*0.05+C111</f>
        <v>4056276</v>
      </c>
      <c r="H116" s="537" t="str">
        <f>CONCATENATE("Less ",E1-2," Expenditures + 5%")</f>
        <v>Less 2012 Expenditures + 5%</v>
      </c>
      <c r="I116" s="536"/>
      <c r="J116" s="533"/>
    </row>
    <row r="117" spans="2:10" ht="15.75">
      <c r="B117" s="168"/>
      <c r="C117" s="377" t="s">
        <v>664</v>
      </c>
      <c r="D117" s="719">
        <f>inputOth!$E$47</f>
        <v>0.049</v>
      </c>
      <c r="E117" s="227">
        <f>ROUND(IF(D117&gt;0,(E116*D117),0),0)</f>
        <v>18216</v>
      </c>
      <c r="G117" s="544">
        <f>G114-G116</f>
        <v>-2793899</v>
      </c>
      <c r="H117" s="540" t="str">
        <f>CONCATENATE("Projected ",E1+1," Carryover (est.)")</f>
        <v>Projected 2015 Carryover (est.)</v>
      </c>
      <c r="I117" s="541"/>
      <c r="J117" s="542"/>
    </row>
    <row r="118" spans="2:5" ht="16.5" thickBot="1">
      <c r="B118" s="46"/>
      <c r="C118" s="792" t="str">
        <f>CONCATENATE("Amount of  ",$E$1-1," Ad Valorem Tax")</f>
        <v>Amount of  2013 Ad Valorem Tax</v>
      </c>
      <c r="D118" s="793"/>
      <c r="E118" s="640">
        <f>E116+E117</f>
        <v>389964.93999999994</v>
      </c>
    </row>
    <row r="119" spans="2:10" ht="16.5" thickTop="1">
      <c r="B119" s="46"/>
      <c r="C119" s="46"/>
      <c r="D119" s="46"/>
      <c r="E119" s="46"/>
      <c r="G119" s="796" t="s">
        <v>880</v>
      </c>
      <c r="H119" s="797"/>
      <c r="I119" s="797"/>
      <c r="J119" s="798"/>
    </row>
    <row r="120" spans="2:10" ht="15.75">
      <c r="B120" s="135" t="s">
        <v>121</v>
      </c>
      <c r="C120" s="170" t="str">
        <f>CONCATENATE("",C59,"a")</f>
        <v>8a</v>
      </c>
      <c r="D120" s="171"/>
      <c r="E120" s="171"/>
      <c r="G120" s="624"/>
      <c r="H120" s="625"/>
      <c r="I120" s="626"/>
      <c r="J120" s="627"/>
    </row>
    <row r="121" spans="7:10" ht="15.75">
      <c r="G121" s="628">
        <f>summ!H15</f>
        <v>35.757</v>
      </c>
      <c r="H121" s="625" t="str">
        <f>CONCATENATE("",E1," Fund Mill Rate")</f>
        <v>2014 Fund Mill Rate</v>
      </c>
      <c r="I121" s="626"/>
      <c r="J121" s="627"/>
    </row>
    <row r="122" spans="2:10" ht="15.75">
      <c r="B122" s="105"/>
      <c r="G122" s="629">
        <f>summ!E15</f>
        <v>35.389</v>
      </c>
      <c r="H122" s="625" t="str">
        <f>CONCATENATE("",E1-1," Fund Mill Rate")</f>
        <v>2013 Fund Mill Rate</v>
      </c>
      <c r="I122" s="626"/>
      <c r="J122" s="627"/>
    </row>
    <row r="123" spans="7:10" ht="15.75">
      <c r="G123" s="630">
        <f>summ!H52</f>
        <v>53.329</v>
      </c>
      <c r="H123" s="625" t="str">
        <f>CONCATENATE("Total ",E1," Mill Rate")</f>
        <v>Total 2014 Mill Rate</v>
      </c>
      <c r="I123" s="626"/>
      <c r="J123" s="627"/>
    </row>
    <row r="124" spans="7:10" ht="15.75">
      <c r="G124" s="629">
        <f>summ!E52</f>
        <v>53.337</v>
      </c>
      <c r="H124" s="631" t="str">
        <f>CONCATENATE("Total ",E1-1," Mill Rate")</f>
        <v>Total 2013 Mill Rate</v>
      </c>
      <c r="I124" s="632"/>
      <c r="J124" s="633"/>
    </row>
    <row r="125" spans="2:3" ht="15.75">
      <c r="B125" s="32"/>
      <c r="C125" s="32"/>
    </row>
    <row r="126" spans="7:9" ht="15.75">
      <c r="G126" s="736" t="s">
        <v>993</v>
      </c>
      <c r="H126" s="735"/>
      <c r="I126" s="734" t="str">
        <f>cert!F58</f>
        <v>Yes</v>
      </c>
    </row>
    <row r="132" spans="3:4" ht="15.75" hidden="1">
      <c r="C132" s="520">
        <f>IF(C111&gt;C113,"See Tab A","")</f>
      </c>
      <c r="D132" s="520" t="str">
        <f>IF(D111&gt;D113,"See Tab C","")</f>
        <v>See Tab C</v>
      </c>
    </row>
    <row r="133" spans="3:4" ht="15.75" hidden="1">
      <c r="C133" s="520">
        <f>IF(C112&lt;0,"See Tab B","")</f>
      </c>
      <c r="D133" s="520">
        <f>IF(D112&lt;0,"See Tab D","")</f>
      </c>
    </row>
  </sheetData>
  <sheetProtection/>
  <mergeCells count="6">
    <mergeCell ref="G102:J102"/>
    <mergeCell ref="C114:D114"/>
    <mergeCell ref="C115:D115"/>
    <mergeCell ref="C118:D118"/>
    <mergeCell ref="G109:J109"/>
    <mergeCell ref="G119:J119"/>
  </mergeCells>
  <conditionalFormatting sqref="E109">
    <cfRule type="cellIs" priority="2" dxfId="144" operator="greaterThan" stopIfTrue="1">
      <formula>$E$111*0.1</formula>
    </cfRule>
  </conditionalFormatting>
  <conditionalFormatting sqref="E114">
    <cfRule type="cellIs" priority="3" dxfId="144" operator="greaterThan" stopIfTrue="1">
      <formula>$E$111/0.95-$E$111</formula>
    </cfRule>
  </conditionalFormatting>
  <conditionalFormatting sqref="D111">
    <cfRule type="cellIs" priority="4" dxfId="3" operator="greaterThan" stopIfTrue="1">
      <formula>$D$113</formula>
    </cfRule>
  </conditionalFormatting>
  <conditionalFormatting sqref="C111">
    <cfRule type="cellIs" priority="5" dxfId="3" operator="greaterThan" stopIfTrue="1">
      <formula>$C$113</formula>
    </cfRule>
  </conditionalFormatting>
  <conditionalFormatting sqref="C112">
    <cfRule type="cellIs" priority="6" dxfId="3" operator="lessThan" stopIfTrue="1">
      <formula>0</formula>
    </cfRule>
  </conditionalFormatting>
  <conditionalFormatting sqref="C109">
    <cfRule type="cellIs" priority="7" dxfId="3" operator="greaterThan" stopIfTrue="1">
      <formula>$C$111*0.1</formula>
    </cfRule>
  </conditionalFormatting>
  <conditionalFormatting sqref="D109">
    <cfRule type="cellIs" priority="8" dxfId="3" operator="greaterThan" stopIfTrue="1">
      <formula>$D$111*0.1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144"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5"/>
  <pageSetup blackAndWhite="1" fitToHeight="2" fitToWidth="1" horizontalDpi="120" verticalDpi="120" orientation="portrait" scale="73" r:id="rId1"/>
  <headerFooter alignWithMargins="0">
    <oddHeader>&amp;RState of Kansas
City</oddHeader>
  </headerFooter>
  <rowBreaks count="2" manualBreakCount="2">
    <brk id="59" min="1" max="4" man="1"/>
    <brk id="60" max="255" man="1"/>
  </rowBreaks>
</worksheet>
</file>

<file path=xl/worksheets/sheet14.xml><?xml version="1.0" encoding="utf-8"?>
<worksheet xmlns="http://schemas.openxmlformats.org/spreadsheetml/2006/main" xmlns:r="http://schemas.openxmlformats.org/officeDocument/2006/relationships">
  <dimension ref="A1:F135"/>
  <sheetViews>
    <sheetView view="pageBreakPreview" zoomScale="60" workbookViewId="0" topLeftCell="A28">
      <selection activeCell="C13" sqref="C13"/>
    </sheetView>
  </sheetViews>
  <sheetFormatPr defaultColWidth="8.796875" defaultRowHeight="15"/>
  <cols>
    <col min="1" max="1" width="28.296875" style="32" customWidth="1"/>
    <col min="2" max="3" width="15.796875" style="32" customWidth="1"/>
    <col min="4" max="4" width="16.09765625" style="32" customWidth="1"/>
    <col min="5" max="16384" width="8.8984375" style="32" customWidth="1"/>
  </cols>
  <sheetData>
    <row r="1" spans="1:4" ht="15.75">
      <c r="A1" s="196" t="str">
        <f>inputPrYr!D2</f>
        <v>City of Fredonia</v>
      </c>
      <c r="B1" s="46"/>
      <c r="C1" s="170"/>
      <c r="D1" s="46">
        <f>inputPrYr!C5</f>
        <v>2014</v>
      </c>
    </row>
    <row r="2" spans="1:4" ht="15.75">
      <c r="A2" s="46"/>
      <c r="B2" s="46"/>
      <c r="C2" s="46"/>
      <c r="D2" s="170"/>
    </row>
    <row r="3" spans="1:4" ht="15.75">
      <c r="A3" s="561"/>
      <c r="B3" s="276"/>
      <c r="C3" s="276"/>
      <c r="D3" s="276"/>
    </row>
    <row r="4" spans="1:4" ht="15.75">
      <c r="A4" s="707" t="s">
        <v>103</v>
      </c>
      <c r="B4" s="277" t="s">
        <v>937</v>
      </c>
      <c r="C4" s="143" t="s">
        <v>938</v>
      </c>
      <c r="D4" s="143" t="s">
        <v>939</v>
      </c>
    </row>
    <row r="5" spans="1:4" ht="15.75">
      <c r="A5" s="561" t="s">
        <v>402</v>
      </c>
      <c r="B5" s="250" t="str">
        <f>CONCATENATE("Actual for ",D1-2,"")</f>
        <v>Actual for 2012</v>
      </c>
      <c r="C5" s="250" t="str">
        <f>CONCATENATE("Estimate for ",D1-1,"")</f>
        <v>Estimate for 2013</v>
      </c>
      <c r="D5" s="250" t="str">
        <f>CONCATENATE("Year for ",D1,"")</f>
        <v>Year for 2014</v>
      </c>
    </row>
    <row r="6" spans="1:4" ht="15.75">
      <c r="A6" s="225" t="s">
        <v>114</v>
      </c>
      <c r="B6" s="86"/>
      <c r="C6" s="86"/>
      <c r="D6" s="86"/>
    </row>
    <row r="7" spans="1:4" ht="15.75">
      <c r="A7" s="278" t="s">
        <v>1059</v>
      </c>
      <c r="B7" s="86"/>
      <c r="C7" s="86"/>
      <c r="D7" s="86"/>
    </row>
    <row r="8" spans="1:4" ht="15.75">
      <c r="A8" s="279" t="s">
        <v>122</v>
      </c>
      <c r="B8" s="258">
        <v>54160</v>
      </c>
      <c r="C8" s="258">
        <v>53726</v>
      </c>
      <c r="D8" s="258">
        <v>56310</v>
      </c>
    </row>
    <row r="9" spans="1:4" ht="15.75">
      <c r="A9" s="279" t="s">
        <v>115</v>
      </c>
      <c r="B9" s="258">
        <v>33552</v>
      </c>
      <c r="C9" s="258">
        <v>34157</v>
      </c>
      <c r="D9" s="258">
        <v>34021</v>
      </c>
    </row>
    <row r="10" spans="1:4" ht="15.75">
      <c r="A10" s="279" t="s">
        <v>116</v>
      </c>
      <c r="B10" s="258">
        <v>2309</v>
      </c>
      <c r="C10" s="258">
        <v>5970</v>
      </c>
      <c r="D10" s="258">
        <v>5500</v>
      </c>
    </row>
    <row r="11" spans="1:4" ht="15.75">
      <c r="A11" s="279" t="s">
        <v>117</v>
      </c>
      <c r="B11" s="258">
        <v>3251</v>
      </c>
      <c r="C11" s="258">
        <v>1090</v>
      </c>
      <c r="D11" s="258">
        <v>4500</v>
      </c>
    </row>
    <row r="12" spans="1:4" ht="15.75">
      <c r="A12" s="279" t="s">
        <v>1060</v>
      </c>
      <c r="B12" s="258">
        <v>0</v>
      </c>
      <c r="C12" s="258">
        <v>58000</v>
      </c>
      <c r="D12" s="258">
        <v>0</v>
      </c>
    </row>
    <row r="13" spans="1:4" ht="15.75">
      <c r="A13" s="68"/>
      <c r="B13" s="258"/>
      <c r="C13" s="258"/>
      <c r="D13" s="258"/>
    </row>
    <row r="14" spans="1:4" ht="15.75">
      <c r="A14" s="68"/>
      <c r="B14" s="258"/>
      <c r="C14" s="258"/>
      <c r="D14" s="258"/>
    </row>
    <row r="15" spans="1:4" ht="15.75">
      <c r="A15" s="225" t="s">
        <v>76</v>
      </c>
      <c r="B15" s="263">
        <f>SUM(B8:B14)</f>
        <v>93272</v>
      </c>
      <c r="C15" s="263">
        <f>SUM(C8:C14)</f>
        <v>152943</v>
      </c>
      <c r="D15" s="263">
        <f>SUM(D8:D14)</f>
        <v>100331</v>
      </c>
    </row>
    <row r="16" spans="1:4" ht="15.75">
      <c r="A16" s="280" t="s">
        <v>1061</v>
      </c>
      <c r="B16" s="196"/>
      <c r="C16" s="196"/>
      <c r="D16" s="196"/>
    </row>
    <row r="17" spans="1:4" ht="15.75">
      <c r="A17" s="279" t="s">
        <v>122</v>
      </c>
      <c r="B17" s="258">
        <v>369693</v>
      </c>
      <c r="C17" s="258">
        <v>364320</v>
      </c>
      <c r="D17" s="258">
        <v>384056</v>
      </c>
    </row>
    <row r="18" spans="1:4" ht="15.75">
      <c r="A18" s="279" t="s">
        <v>115</v>
      </c>
      <c r="B18" s="258">
        <v>27695</v>
      </c>
      <c r="C18" s="258">
        <v>31904</v>
      </c>
      <c r="D18" s="258">
        <v>31765</v>
      </c>
    </row>
    <row r="19" spans="1:4" ht="15.75">
      <c r="A19" s="279" t="s">
        <v>116</v>
      </c>
      <c r="B19" s="258">
        <v>30751</v>
      </c>
      <c r="C19" s="258">
        <v>31975</v>
      </c>
      <c r="D19" s="258">
        <v>31100</v>
      </c>
    </row>
    <row r="20" spans="1:4" ht="15.75">
      <c r="A20" s="279" t="s">
        <v>117</v>
      </c>
      <c r="B20" s="258">
        <v>15825</v>
      </c>
      <c r="C20" s="258">
        <v>8452</v>
      </c>
      <c r="D20" s="258">
        <v>5500</v>
      </c>
    </row>
    <row r="21" spans="1:4" ht="15.75">
      <c r="A21" s="279"/>
      <c r="B21" s="258"/>
      <c r="C21" s="258"/>
      <c r="D21" s="258"/>
    </row>
    <row r="22" spans="1:4" ht="15.75">
      <c r="A22" s="225" t="s">
        <v>76</v>
      </c>
      <c r="B22" s="263">
        <f>SUM(B17:B21)</f>
        <v>443964</v>
      </c>
      <c r="C22" s="263">
        <f>SUM(C17:C21)</f>
        <v>436651</v>
      </c>
      <c r="D22" s="263">
        <f>SUM(D17:D21)</f>
        <v>452421</v>
      </c>
    </row>
    <row r="23" spans="1:4" ht="15.75">
      <c r="A23" s="280" t="s">
        <v>1062</v>
      </c>
      <c r="B23" s="196"/>
      <c r="C23" s="196"/>
      <c r="D23" s="196"/>
    </row>
    <row r="24" spans="1:4" ht="15.75">
      <c r="A24" s="279" t="s">
        <v>122</v>
      </c>
      <c r="B24" s="258">
        <v>33269</v>
      </c>
      <c r="C24" s="258">
        <v>30904</v>
      </c>
      <c r="D24" s="258">
        <v>36026</v>
      </c>
    </row>
    <row r="25" spans="1:4" ht="15.75">
      <c r="A25" s="279" t="s">
        <v>115</v>
      </c>
      <c r="B25" s="258">
        <v>19446</v>
      </c>
      <c r="C25" s="258">
        <v>25754</v>
      </c>
      <c r="D25" s="258">
        <v>27310</v>
      </c>
    </row>
    <row r="26" spans="1:4" ht="15.75">
      <c r="A26" s="279" t="s">
        <v>116</v>
      </c>
      <c r="B26" s="258">
        <v>8844</v>
      </c>
      <c r="C26" s="258">
        <v>10260</v>
      </c>
      <c r="D26" s="258">
        <v>8300</v>
      </c>
    </row>
    <row r="27" spans="1:4" ht="15.75">
      <c r="A27" s="279" t="s">
        <v>117</v>
      </c>
      <c r="B27" s="258">
        <v>3742</v>
      </c>
      <c r="C27" s="258">
        <v>6979</v>
      </c>
      <c r="D27" s="258">
        <v>4700</v>
      </c>
    </row>
    <row r="28" spans="1:4" ht="15.75">
      <c r="A28" s="279"/>
      <c r="B28" s="258"/>
      <c r="C28" s="258"/>
      <c r="D28" s="258"/>
    </row>
    <row r="29" spans="1:4" ht="15.75">
      <c r="A29" s="225" t="s">
        <v>76</v>
      </c>
      <c r="B29" s="263">
        <f>SUM(B24:B28)</f>
        <v>65301</v>
      </c>
      <c r="C29" s="263">
        <f>SUM(C24:C28)</f>
        <v>73897</v>
      </c>
      <c r="D29" s="263">
        <f>SUM(D24:D28)</f>
        <v>76336</v>
      </c>
    </row>
    <row r="30" spans="1:4" ht="15.75">
      <c r="A30" s="280" t="s">
        <v>1063</v>
      </c>
      <c r="B30" s="196"/>
      <c r="C30" s="196"/>
      <c r="D30" s="196"/>
    </row>
    <row r="31" spans="1:4" ht="15.75">
      <c r="A31" s="279" t="s">
        <v>122</v>
      </c>
      <c r="B31" s="258">
        <v>33850</v>
      </c>
      <c r="C31" s="258">
        <v>33763</v>
      </c>
      <c r="D31" s="258">
        <v>35504</v>
      </c>
    </row>
    <row r="32" spans="1:4" ht="15.75">
      <c r="A32" s="279" t="s">
        <v>115</v>
      </c>
      <c r="B32" s="258">
        <v>2311</v>
      </c>
      <c r="C32" s="258">
        <v>6760</v>
      </c>
      <c r="D32" s="258">
        <v>3900</v>
      </c>
    </row>
    <row r="33" spans="1:4" ht="15.75">
      <c r="A33" s="279" t="s">
        <v>116</v>
      </c>
      <c r="B33" s="258">
        <v>1789</v>
      </c>
      <c r="C33" s="258">
        <v>3275</v>
      </c>
      <c r="D33" s="258">
        <v>3725</v>
      </c>
    </row>
    <row r="34" spans="1:4" ht="15.75">
      <c r="A34" s="279" t="s">
        <v>117</v>
      </c>
      <c r="B34" s="258">
        <v>5925</v>
      </c>
      <c r="C34" s="258">
        <v>24520</v>
      </c>
      <c r="D34" s="258">
        <v>6000</v>
      </c>
    </row>
    <row r="35" spans="1:4" ht="15.75">
      <c r="A35" s="225" t="s">
        <v>76</v>
      </c>
      <c r="B35" s="263">
        <f>SUM(B31:B34)</f>
        <v>43875</v>
      </c>
      <c r="C35" s="263">
        <f>SUM(C31:C34)</f>
        <v>68318</v>
      </c>
      <c r="D35" s="263">
        <f>SUM(D31:D34)</f>
        <v>49129</v>
      </c>
    </row>
    <row r="36" spans="1:4" ht="15.75">
      <c r="A36" s="280" t="s">
        <v>1064</v>
      </c>
      <c r="B36" s="196"/>
      <c r="C36" s="196"/>
      <c r="D36" s="196"/>
    </row>
    <row r="37" spans="1:4" ht="15.75">
      <c r="A37" s="279" t="s">
        <v>122</v>
      </c>
      <c r="B37" s="258">
        <v>231585</v>
      </c>
      <c r="C37" s="258">
        <v>242592</v>
      </c>
      <c r="D37" s="258">
        <v>230658</v>
      </c>
    </row>
    <row r="38" spans="1:4" ht="15.75">
      <c r="A38" s="279" t="s">
        <v>115</v>
      </c>
      <c r="B38" s="258">
        <v>16937</v>
      </c>
      <c r="C38" s="258">
        <v>22791</v>
      </c>
      <c r="D38" s="258">
        <v>26350</v>
      </c>
    </row>
    <row r="39" spans="1:4" ht="15.75">
      <c r="A39" s="279" t="s">
        <v>116</v>
      </c>
      <c r="B39" s="258">
        <v>44770</v>
      </c>
      <c r="C39" s="258">
        <v>43425</v>
      </c>
      <c r="D39" s="258">
        <v>47600</v>
      </c>
    </row>
    <row r="40" spans="1:4" ht="15.75">
      <c r="A40" s="279" t="s">
        <v>117</v>
      </c>
      <c r="B40" s="258">
        <v>0</v>
      </c>
      <c r="C40" s="258">
        <v>0</v>
      </c>
      <c r="D40" s="258">
        <v>0</v>
      </c>
    </row>
    <row r="41" spans="1:4" ht="15.75">
      <c r="A41" s="279"/>
      <c r="B41" s="258"/>
      <c r="C41" s="258"/>
      <c r="D41" s="258"/>
    </row>
    <row r="42" spans="1:4" ht="15.75">
      <c r="A42" s="225" t="s">
        <v>76</v>
      </c>
      <c r="B42" s="263">
        <f>SUM(B37:B41)</f>
        <v>293292</v>
      </c>
      <c r="C42" s="263">
        <f>SUM(C37:C41)</f>
        <v>308808</v>
      </c>
      <c r="D42" s="263">
        <f>SUM(D37:D41)</f>
        <v>304608</v>
      </c>
    </row>
    <row r="43" spans="1:4" ht="15.75">
      <c r="A43" s="280" t="s">
        <v>1065</v>
      </c>
      <c r="B43" s="196"/>
      <c r="C43" s="196"/>
      <c r="D43" s="196"/>
    </row>
    <row r="44" spans="1:4" ht="15.75">
      <c r="A44" s="279" t="s">
        <v>122</v>
      </c>
      <c r="B44" s="258">
        <v>71178</v>
      </c>
      <c r="C44" s="258">
        <v>67134</v>
      </c>
      <c r="D44" s="258">
        <v>69848</v>
      </c>
    </row>
    <row r="45" spans="1:4" ht="15.75">
      <c r="A45" s="279" t="s">
        <v>115</v>
      </c>
      <c r="B45" s="258">
        <v>5233</v>
      </c>
      <c r="C45" s="258">
        <v>6236</v>
      </c>
      <c r="D45" s="258">
        <v>7255</v>
      </c>
    </row>
    <row r="46" spans="1:4" ht="15.75">
      <c r="A46" s="279" t="s">
        <v>116</v>
      </c>
      <c r="B46" s="258">
        <v>15318</v>
      </c>
      <c r="C46" s="258">
        <v>16090</v>
      </c>
      <c r="D46" s="258">
        <v>16150</v>
      </c>
    </row>
    <row r="47" spans="1:4" ht="15.75">
      <c r="A47" s="279" t="s">
        <v>117</v>
      </c>
      <c r="B47" s="258">
        <v>0</v>
      </c>
      <c r="C47" s="258">
        <v>0</v>
      </c>
      <c r="D47" s="258">
        <v>3500</v>
      </c>
    </row>
    <row r="48" spans="1:4" ht="15.75">
      <c r="A48" s="279"/>
      <c r="B48" s="258"/>
      <c r="C48" s="258"/>
      <c r="D48" s="258"/>
    </row>
    <row r="49" spans="1:4" ht="15.75">
      <c r="A49" s="225" t="s">
        <v>76</v>
      </c>
      <c r="B49" s="263">
        <f>SUM(B44:B48)</f>
        <v>91729</v>
      </c>
      <c r="C49" s="263">
        <f>SUM(C44:C48)</f>
        <v>89460</v>
      </c>
      <c r="D49" s="263">
        <f>SUM(D44:D48)</f>
        <v>96753</v>
      </c>
    </row>
    <row r="50" spans="1:4" ht="15.75">
      <c r="A50" s="280" t="s">
        <v>1066</v>
      </c>
      <c r="B50" s="196"/>
      <c r="C50" s="196"/>
      <c r="D50" s="196"/>
    </row>
    <row r="51" spans="1:4" ht="15.75">
      <c r="A51" s="279" t="s">
        <v>122</v>
      </c>
      <c r="B51" s="258">
        <v>70058</v>
      </c>
      <c r="C51" s="258">
        <v>66749</v>
      </c>
      <c r="D51" s="258">
        <v>74844</v>
      </c>
    </row>
    <row r="52" spans="1:4" ht="15.75">
      <c r="A52" s="279" t="s">
        <v>115</v>
      </c>
      <c r="B52" s="258">
        <v>5809</v>
      </c>
      <c r="C52" s="258">
        <v>8302</v>
      </c>
      <c r="D52" s="258">
        <v>5200</v>
      </c>
    </row>
    <row r="53" spans="1:4" ht="15.75">
      <c r="A53" s="279" t="s">
        <v>116</v>
      </c>
      <c r="B53" s="258">
        <v>5526</v>
      </c>
      <c r="C53" s="258">
        <v>7325</v>
      </c>
      <c r="D53" s="258">
        <v>8700</v>
      </c>
    </row>
    <row r="54" spans="1:4" ht="15.75">
      <c r="A54" s="279" t="s">
        <v>117</v>
      </c>
      <c r="B54" s="258">
        <v>0</v>
      </c>
      <c r="C54" s="258">
        <v>0</v>
      </c>
      <c r="D54" s="258">
        <v>5500</v>
      </c>
    </row>
    <row r="55" spans="1:4" ht="15.75">
      <c r="A55" s="279"/>
      <c r="B55" s="258"/>
      <c r="C55" s="258"/>
      <c r="D55" s="258"/>
    </row>
    <row r="56" spans="1:4" ht="15.75">
      <c r="A56" s="225" t="s">
        <v>76</v>
      </c>
      <c r="B56" s="263">
        <f>SUM(B51:B55)</f>
        <v>81393</v>
      </c>
      <c r="C56" s="263">
        <f>SUM(C51:C55)</f>
        <v>82376</v>
      </c>
      <c r="D56" s="263">
        <f>SUM(D51:D55)</f>
        <v>94244</v>
      </c>
    </row>
    <row r="57" spans="1:4" ht="15.75">
      <c r="A57" s="280" t="s">
        <v>1067</v>
      </c>
      <c r="B57" s="196"/>
      <c r="C57" s="196"/>
      <c r="D57" s="196"/>
    </row>
    <row r="58" spans="1:4" ht="15.75">
      <c r="A58" s="279" t="s">
        <v>122</v>
      </c>
      <c r="B58" s="258">
        <v>29606</v>
      </c>
      <c r="C58" s="258">
        <v>29136</v>
      </c>
      <c r="D58" s="258">
        <v>29290</v>
      </c>
    </row>
    <row r="59" spans="1:4" ht="15.75">
      <c r="A59" s="279" t="s">
        <v>115</v>
      </c>
      <c r="B59" s="258">
        <v>26182</v>
      </c>
      <c r="C59" s="258">
        <v>7750</v>
      </c>
      <c r="D59" s="258">
        <v>13600</v>
      </c>
    </row>
    <row r="60" spans="1:4" ht="15.75">
      <c r="A60" s="279" t="s">
        <v>116</v>
      </c>
      <c r="B60" s="258">
        <v>1382</v>
      </c>
      <c r="C60" s="258">
        <v>3500</v>
      </c>
      <c r="D60" s="258">
        <v>2500</v>
      </c>
    </row>
    <row r="61" spans="1:4" ht="15.75">
      <c r="A61" s="279" t="s">
        <v>117</v>
      </c>
      <c r="B61" s="258">
        <v>0</v>
      </c>
      <c r="C61" s="258">
        <v>0</v>
      </c>
      <c r="D61" s="258">
        <v>0</v>
      </c>
    </row>
    <row r="62" spans="1:4" ht="15.75">
      <c r="A62" s="279" t="s">
        <v>1068</v>
      </c>
      <c r="B62" s="258">
        <v>5578</v>
      </c>
      <c r="C62" s="258">
        <v>6100</v>
      </c>
      <c r="D62" s="258">
        <v>7380</v>
      </c>
    </row>
    <row r="63" spans="1:4" ht="15.75">
      <c r="A63" s="225" t="s">
        <v>76</v>
      </c>
      <c r="B63" s="263">
        <f>SUM(B58:B62)</f>
        <v>62748</v>
      </c>
      <c r="C63" s="263">
        <f>SUM(C58:C62)</f>
        <v>46486</v>
      </c>
      <c r="D63" s="263">
        <f>SUM(D58:D62)</f>
        <v>52770</v>
      </c>
    </row>
    <row r="64" spans="1:4" ht="15.75">
      <c r="A64" s="46"/>
      <c r="B64" s="196"/>
      <c r="C64" s="196"/>
      <c r="D64" s="196"/>
    </row>
    <row r="65" spans="1:4" ht="16.5" thickBot="1">
      <c r="A65" s="225" t="s">
        <v>398</v>
      </c>
      <c r="B65" s="281">
        <f>B15+B22+B29+B35+B42+B49+B56+B63</f>
        <v>1175574</v>
      </c>
      <c r="C65" s="281">
        <f>C15+C22+C29+C35+C42+C49+C56+C63</f>
        <v>1258939</v>
      </c>
      <c r="D65" s="281">
        <f>D15+D22+D29+D35+D42+D49+D56+D63</f>
        <v>1226592</v>
      </c>
    </row>
    <row r="66" spans="1:4" ht="16.5" thickTop="1">
      <c r="A66" s="282"/>
      <c r="B66" s="196"/>
      <c r="C66" s="196"/>
      <c r="D66" s="196"/>
    </row>
    <row r="67" spans="1:4" ht="15.75">
      <c r="A67" s="395" t="s">
        <v>121</v>
      </c>
      <c r="B67" s="196" t="str">
        <f>CONCATENATE("",general!C59,"b")</f>
        <v>8b</v>
      </c>
      <c r="C67" s="196"/>
      <c r="D67" s="196"/>
    </row>
    <row r="68" spans="1:4" ht="15.75">
      <c r="A68" s="46"/>
      <c r="B68" s="196"/>
      <c r="C68" s="196"/>
      <c r="D68" s="196"/>
    </row>
    <row r="69" spans="1:4" ht="15.75">
      <c r="A69" s="196" t="str">
        <f>A1</f>
        <v>City of Fredonia</v>
      </c>
      <c r="B69" s="46"/>
      <c r="C69" s="170"/>
      <c r="D69" s="46">
        <f>D1</f>
        <v>2014</v>
      </c>
    </row>
    <row r="70" spans="1:4" ht="15.75">
      <c r="A70" s="46"/>
      <c r="B70" s="46"/>
      <c r="C70" s="46"/>
      <c r="D70" s="170"/>
    </row>
    <row r="71" spans="1:6" ht="15.75">
      <c r="A71" s="248"/>
      <c r="B71" s="220"/>
      <c r="C71" s="220"/>
      <c r="D71" s="220"/>
      <c r="F71" s="710"/>
    </row>
    <row r="72" spans="1:6" ht="15.75">
      <c r="A72" s="708" t="s">
        <v>103</v>
      </c>
      <c r="B72" s="560" t="str">
        <f aca="true" t="shared" si="0" ref="B72:D73">B4</f>
        <v>Prior Year </v>
      </c>
      <c r="C72" s="709" t="str">
        <f t="shared" si="0"/>
        <v>Current Year </v>
      </c>
      <c r="D72" s="559" t="str">
        <f t="shared" si="0"/>
        <v>Proposed Budget </v>
      </c>
      <c r="F72" s="710"/>
    </row>
    <row r="73" spans="1:4" ht="15.75">
      <c r="A73" s="561" t="s">
        <v>403</v>
      </c>
      <c r="B73" s="250" t="str">
        <f t="shared" si="0"/>
        <v>Actual for 2012</v>
      </c>
      <c r="C73" s="250" t="str">
        <f t="shared" si="0"/>
        <v>Estimate for 2013</v>
      </c>
      <c r="D73" s="250" t="str">
        <f t="shared" si="0"/>
        <v>Year for 2014</v>
      </c>
    </row>
    <row r="74" spans="1:4" ht="15.75">
      <c r="A74" s="225" t="s">
        <v>114</v>
      </c>
      <c r="B74" s="86"/>
      <c r="C74" s="86"/>
      <c r="D74" s="86"/>
    </row>
    <row r="75" spans="1:4" ht="15.75">
      <c r="A75" s="278"/>
      <c r="B75" s="86"/>
      <c r="C75" s="86"/>
      <c r="D75" s="86"/>
    </row>
    <row r="76" spans="1:4" ht="15.75">
      <c r="A76" s="279" t="s">
        <v>122</v>
      </c>
      <c r="B76" s="258"/>
      <c r="C76" s="258"/>
      <c r="D76" s="258"/>
    </row>
    <row r="77" spans="1:4" ht="15.75">
      <c r="A77" s="279" t="s">
        <v>115</v>
      </c>
      <c r="B77" s="258"/>
      <c r="C77" s="258"/>
      <c r="D77" s="258"/>
    </row>
    <row r="78" spans="1:4" ht="15.75">
      <c r="A78" s="279" t="s">
        <v>116</v>
      </c>
      <c r="B78" s="258"/>
      <c r="C78" s="258"/>
      <c r="D78" s="258"/>
    </row>
    <row r="79" spans="1:4" ht="15.75">
      <c r="A79" s="279" t="s">
        <v>117</v>
      </c>
      <c r="B79" s="258"/>
      <c r="C79" s="258"/>
      <c r="D79" s="258"/>
    </row>
    <row r="80" spans="1:4" ht="15.75">
      <c r="A80" s="68"/>
      <c r="B80" s="258"/>
      <c r="C80" s="258"/>
      <c r="D80" s="258"/>
    </row>
    <row r="81" spans="1:4" ht="15.75">
      <c r="A81" s="225" t="s">
        <v>76</v>
      </c>
      <c r="B81" s="263">
        <f>SUM(B76:B80)</f>
        <v>0</v>
      </c>
      <c r="C81" s="263">
        <f>SUM(C76:C80)</f>
        <v>0</v>
      </c>
      <c r="D81" s="263">
        <f>SUM(D76:D80)</f>
        <v>0</v>
      </c>
    </row>
    <row r="82" spans="1:4" ht="15.75">
      <c r="A82" s="280"/>
      <c r="B82" s="196"/>
      <c r="C82" s="196"/>
      <c r="D82" s="196"/>
    </row>
    <row r="83" spans="1:4" ht="15.75">
      <c r="A83" s="279" t="s">
        <v>122</v>
      </c>
      <c r="B83" s="258"/>
      <c r="C83" s="258"/>
      <c r="D83" s="258"/>
    </row>
    <row r="84" spans="1:4" ht="15.75">
      <c r="A84" s="279" t="s">
        <v>115</v>
      </c>
      <c r="B84" s="258"/>
      <c r="C84" s="258"/>
      <c r="D84" s="258"/>
    </row>
    <row r="85" spans="1:4" ht="15.75">
      <c r="A85" s="279" t="s">
        <v>116</v>
      </c>
      <c r="B85" s="258"/>
      <c r="C85" s="258"/>
      <c r="D85" s="258"/>
    </row>
    <row r="86" spans="1:4" ht="15.75">
      <c r="A86" s="279" t="s">
        <v>117</v>
      </c>
      <c r="B86" s="258"/>
      <c r="C86" s="258"/>
      <c r="D86" s="258"/>
    </row>
    <row r="87" spans="1:4" ht="15.75">
      <c r="A87" s="279"/>
      <c r="B87" s="258"/>
      <c r="C87" s="258"/>
      <c r="D87" s="258"/>
    </row>
    <row r="88" spans="1:4" ht="15.75">
      <c r="A88" s="225" t="s">
        <v>76</v>
      </c>
      <c r="B88" s="263">
        <f>SUM(B83:B87)</f>
        <v>0</v>
      </c>
      <c r="C88" s="263">
        <f>SUM(C83:C87)</f>
        <v>0</v>
      </c>
      <c r="D88" s="263">
        <f>SUM(D83:D87)</f>
        <v>0</v>
      </c>
    </row>
    <row r="89" spans="1:4" ht="15.75">
      <c r="A89" s="280"/>
      <c r="B89" s="196"/>
      <c r="C89" s="196"/>
      <c r="D89" s="196"/>
    </row>
    <row r="90" spans="1:4" ht="15.75">
      <c r="A90" s="279" t="s">
        <v>122</v>
      </c>
      <c r="B90" s="258"/>
      <c r="C90" s="258"/>
      <c r="D90" s="258"/>
    </row>
    <row r="91" spans="1:4" ht="15.75">
      <c r="A91" s="279" t="s">
        <v>115</v>
      </c>
      <c r="B91" s="258"/>
      <c r="C91" s="258"/>
      <c r="D91" s="258"/>
    </row>
    <row r="92" spans="1:4" ht="15.75">
      <c r="A92" s="279" t="s">
        <v>116</v>
      </c>
      <c r="B92" s="258"/>
      <c r="C92" s="258"/>
      <c r="D92" s="258"/>
    </row>
    <row r="93" spans="1:4" ht="15.75">
      <c r="A93" s="279" t="s">
        <v>117</v>
      </c>
      <c r="B93" s="258"/>
      <c r="C93" s="258"/>
      <c r="D93" s="258"/>
    </row>
    <row r="94" spans="1:4" ht="15.75">
      <c r="A94" s="279"/>
      <c r="B94" s="258"/>
      <c r="C94" s="258"/>
      <c r="D94" s="258"/>
    </row>
    <row r="95" spans="1:4" ht="15.75">
      <c r="A95" s="225" t="s">
        <v>76</v>
      </c>
      <c r="B95" s="263">
        <f>SUM(B90:B94)</f>
        <v>0</v>
      </c>
      <c r="C95" s="263">
        <f>SUM(C90:C94)</f>
        <v>0</v>
      </c>
      <c r="D95" s="263">
        <f>SUM(D90:D94)</f>
        <v>0</v>
      </c>
    </row>
    <row r="96" spans="1:4" ht="15.75">
      <c r="A96" s="280"/>
      <c r="B96" s="196"/>
      <c r="C96" s="196"/>
      <c r="D96" s="196"/>
    </row>
    <row r="97" spans="1:4" ht="15.75">
      <c r="A97" s="279" t="s">
        <v>122</v>
      </c>
      <c r="B97" s="258"/>
      <c r="C97" s="258"/>
      <c r="D97" s="258"/>
    </row>
    <row r="98" spans="1:4" ht="15.75">
      <c r="A98" s="279" t="s">
        <v>115</v>
      </c>
      <c r="B98" s="258"/>
      <c r="C98" s="258"/>
      <c r="D98" s="258"/>
    </row>
    <row r="99" spans="1:4" ht="15.75">
      <c r="A99" s="279" t="s">
        <v>116</v>
      </c>
      <c r="B99" s="258"/>
      <c r="C99" s="258"/>
      <c r="D99" s="258"/>
    </row>
    <row r="100" spans="1:4" ht="15.75">
      <c r="A100" s="279" t="s">
        <v>117</v>
      </c>
      <c r="B100" s="258"/>
      <c r="C100" s="258"/>
      <c r="D100" s="258"/>
    </row>
    <row r="101" spans="1:4" ht="15.75">
      <c r="A101" s="225" t="s">
        <v>76</v>
      </c>
      <c r="B101" s="263">
        <f>SUM(B97:B100)</f>
        <v>0</v>
      </c>
      <c r="C101" s="263">
        <f>SUM(C97:C100)</f>
        <v>0</v>
      </c>
      <c r="D101" s="263">
        <f>SUM(D97:D100)</f>
        <v>0</v>
      </c>
    </row>
    <row r="102" spans="1:4" ht="15.75">
      <c r="A102" s="280"/>
      <c r="B102" s="196"/>
      <c r="C102" s="196"/>
      <c r="D102" s="196"/>
    </row>
    <row r="103" spans="1:4" ht="15.75">
      <c r="A103" s="279" t="s">
        <v>122</v>
      </c>
      <c r="B103" s="258"/>
      <c r="C103" s="258"/>
      <c r="D103" s="258"/>
    </row>
    <row r="104" spans="1:4" ht="15.75">
      <c r="A104" s="279" t="s">
        <v>115</v>
      </c>
      <c r="B104" s="258"/>
      <c r="C104" s="258"/>
      <c r="D104" s="258"/>
    </row>
    <row r="105" spans="1:4" ht="15.75">
      <c r="A105" s="279" t="s">
        <v>116</v>
      </c>
      <c r="B105" s="258"/>
      <c r="C105" s="258"/>
      <c r="D105" s="258"/>
    </row>
    <row r="106" spans="1:4" ht="15.75">
      <c r="A106" s="279" t="s">
        <v>117</v>
      </c>
      <c r="B106" s="258"/>
      <c r="C106" s="258"/>
      <c r="D106" s="258"/>
    </row>
    <row r="107" spans="1:4" ht="15.75">
      <c r="A107" s="279"/>
      <c r="B107" s="258"/>
      <c r="C107" s="258"/>
      <c r="D107" s="258"/>
    </row>
    <row r="108" spans="1:4" ht="15.75">
      <c r="A108" s="225" t="s">
        <v>76</v>
      </c>
      <c r="B108" s="263">
        <f>SUM(B103:B107)</f>
        <v>0</v>
      </c>
      <c r="C108" s="263">
        <f>SUM(C103:C107)</f>
        <v>0</v>
      </c>
      <c r="D108" s="263">
        <f>SUM(D103:D107)</f>
        <v>0</v>
      </c>
    </row>
    <row r="109" spans="1:4" ht="15.75">
      <c r="A109" s="280"/>
      <c r="B109" s="196"/>
      <c r="C109" s="196"/>
      <c r="D109" s="196"/>
    </row>
    <row r="110" spans="1:4" ht="15.75">
      <c r="A110" s="279" t="s">
        <v>122</v>
      </c>
      <c r="B110" s="258"/>
      <c r="C110" s="258"/>
      <c r="D110" s="258"/>
    </row>
    <row r="111" spans="1:4" ht="15.75">
      <c r="A111" s="279" t="s">
        <v>115</v>
      </c>
      <c r="B111" s="258"/>
      <c r="C111" s="258"/>
      <c r="D111" s="258"/>
    </row>
    <row r="112" spans="1:4" ht="15.75">
      <c r="A112" s="279" t="s">
        <v>116</v>
      </c>
      <c r="B112" s="258"/>
      <c r="C112" s="258"/>
      <c r="D112" s="258"/>
    </row>
    <row r="113" spans="1:4" ht="15.75">
      <c r="A113" s="279" t="s">
        <v>117</v>
      </c>
      <c r="B113" s="258"/>
      <c r="C113" s="258"/>
      <c r="D113" s="258"/>
    </row>
    <row r="114" spans="1:4" ht="15.75">
      <c r="A114" s="279"/>
      <c r="B114" s="258"/>
      <c r="C114" s="258"/>
      <c r="D114" s="258"/>
    </row>
    <row r="115" spans="1:4" ht="15.75">
      <c r="A115" s="225" t="s">
        <v>76</v>
      </c>
      <c r="B115" s="263">
        <f>SUM(B110:B114)</f>
        <v>0</v>
      </c>
      <c r="C115" s="263">
        <f>SUM(C110:C114)</f>
        <v>0</v>
      </c>
      <c r="D115" s="263">
        <f>SUM(D110:D114)</f>
        <v>0</v>
      </c>
    </row>
    <row r="116" spans="1:4" ht="15.75">
      <c r="A116" s="280"/>
      <c r="B116" s="196"/>
      <c r="C116" s="196"/>
      <c r="D116" s="196"/>
    </row>
    <row r="117" spans="1:4" ht="15.75">
      <c r="A117" s="279" t="s">
        <v>122</v>
      </c>
      <c r="B117" s="258"/>
      <c r="C117" s="258"/>
      <c r="D117" s="258"/>
    </row>
    <row r="118" spans="1:4" ht="15.75">
      <c r="A118" s="279" t="s">
        <v>115</v>
      </c>
      <c r="B118" s="258"/>
      <c r="C118" s="258"/>
      <c r="D118" s="258"/>
    </row>
    <row r="119" spans="1:4" ht="15.75">
      <c r="A119" s="279" t="s">
        <v>116</v>
      </c>
      <c r="B119" s="258"/>
      <c r="C119" s="258"/>
      <c r="D119" s="258"/>
    </row>
    <row r="120" spans="1:4" ht="15.75">
      <c r="A120" s="279" t="s">
        <v>117</v>
      </c>
      <c r="B120" s="258"/>
      <c r="C120" s="258"/>
      <c r="D120" s="258"/>
    </row>
    <row r="121" spans="1:4" ht="15.75">
      <c r="A121" s="279"/>
      <c r="B121" s="258"/>
      <c r="C121" s="258"/>
      <c r="D121" s="258"/>
    </row>
    <row r="122" spans="1:4" ht="15.75">
      <c r="A122" s="225" t="s">
        <v>76</v>
      </c>
      <c r="B122" s="263">
        <f>SUM(B117:B121)</f>
        <v>0</v>
      </c>
      <c r="C122" s="263">
        <f>SUM(C117:C121)</f>
        <v>0</v>
      </c>
      <c r="D122" s="263">
        <f>SUM(D117:D121)</f>
        <v>0</v>
      </c>
    </row>
    <row r="123" spans="1:4" ht="15.75">
      <c r="A123" s="280"/>
      <c r="B123" s="196"/>
      <c r="C123" s="196"/>
      <c r="D123" s="196"/>
    </row>
    <row r="124" spans="1:4" ht="15.75">
      <c r="A124" s="279" t="s">
        <v>122</v>
      </c>
      <c r="B124" s="258"/>
      <c r="C124" s="258"/>
      <c r="D124" s="258"/>
    </row>
    <row r="125" spans="1:4" ht="15.75">
      <c r="A125" s="279" t="s">
        <v>115</v>
      </c>
      <c r="B125" s="258"/>
      <c r="C125" s="258"/>
      <c r="D125" s="258"/>
    </row>
    <row r="126" spans="1:4" ht="15.75">
      <c r="A126" s="279" t="s">
        <v>116</v>
      </c>
      <c r="B126" s="258"/>
      <c r="C126" s="258"/>
      <c r="D126" s="258"/>
    </row>
    <row r="127" spans="1:4" ht="15.75">
      <c r="A127" s="279" t="s">
        <v>117</v>
      </c>
      <c r="B127" s="258"/>
      <c r="C127" s="258"/>
      <c r="D127" s="258"/>
    </row>
    <row r="128" spans="1:4" ht="15.75">
      <c r="A128" s="279"/>
      <c r="B128" s="258"/>
      <c r="C128" s="258"/>
      <c r="D128" s="258"/>
    </row>
    <row r="129" spans="1:4" ht="15.75">
      <c r="A129" s="225" t="s">
        <v>76</v>
      </c>
      <c r="B129" s="263">
        <f>SUM(B124:B128)</f>
        <v>0</v>
      </c>
      <c r="C129" s="263">
        <f>SUM(C124:C128)</f>
        <v>0</v>
      </c>
      <c r="D129" s="341">
        <f>SUM(D124:D128)</f>
        <v>0</v>
      </c>
    </row>
    <row r="130" spans="1:4" ht="15.75">
      <c r="A130" s="225"/>
      <c r="B130" s="196"/>
      <c r="C130" s="196"/>
      <c r="D130" s="196"/>
    </row>
    <row r="131" spans="1:4" ht="15.75">
      <c r="A131" s="64" t="s">
        <v>400</v>
      </c>
      <c r="B131" s="342">
        <f>B81+B88+B95+B101+B108+B115+B122+B129</f>
        <v>0</v>
      </c>
      <c r="C131" s="342">
        <f>C81+C88+C95+C101+C108+C115+C122+C129</f>
        <v>0</v>
      </c>
      <c r="D131" s="342">
        <f>D81+D88+D95+D101+D108+D115+D122+D129</f>
        <v>0</v>
      </c>
    </row>
    <row r="132" spans="1:4" ht="15.75">
      <c r="A132" s="225" t="s">
        <v>399</v>
      </c>
      <c r="B132" s="263">
        <f>B65</f>
        <v>1175574</v>
      </c>
      <c r="C132" s="263">
        <f>C65</f>
        <v>1258939</v>
      </c>
      <c r="D132" s="263">
        <f>D65</f>
        <v>1226592</v>
      </c>
    </row>
    <row r="133" spans="1:4" ht="16.5" thickBot="1">
      <c r="A133" s="225" t="s">
        <v>401</v>
      </c>
      <c r="B133" s="281">
        <f>SUM(B131:B132)</f>
        <v>1175574</v>
      </c>
      <c r="C133" s="281">
        <f>SUM(C131:C132)</f>
        <v>1258939</v>
      </c>
      <c r="D133" s="281">
        <f>SUM(D131:D132)</f>
        <v>1226592</v>
      </c>
    </row>
    <row r="134" spans="1:4" ht="16.5" thickTop="1">
      <c r="A134" s="282" t="s">
        <v>46</v>
      </c>
      <c r="B134" s="196"/>
      <c r="C134" s="196"/>
      <c r="D134" s="196"/>
    </row>
    <row r="135" spans="1:4" ht="15.75">
      <c r="A135" s="395" t="s">
        <v>121</v>
      </c>
      <c r="B135" s="196" t="str">
        <f>CONCATENATE("",general!C59,"c")</f>
        <v>8c</v>
      </c>
      <c r="C135" s="196"/>
      <c r="D135" s="196"/>
    </row>
  </sheetData>
  <sheetProtection sheet="1"/>
  <printOptions/>
  <pageMargins left="0.5" right="0.5" top="1" bottom="0.5" header="0.5" footer="0.5"/>
  <pageSetup blackAndWhite="1" fitToHeight="2" horizontalDpi="300" verticalDpi="300" orientation="portrait" scale="6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B58">
      <selection activeCell="E29" sqref="E29"/>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6" width="7.0976562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393" t="str">
        <f>inputPrYr!D2</f>
        <v>City of Fredonia</v>
      </c>
      <c r="C1" s="393"/>
      <c r="D1" s="379"/>
      <c r="E1" s="387">
        <f>inputPrYr!C5</f>
        <v>2014</v>
      </c>
    </row>
    <row r="2" spans="2:5" ht="15.75">
      <c r="B2" s="379"/>
      <c r="C2" s="379"/>
      <c r="D2" s="379"/>
      <c r="E2" s="395"/>
    </row>
    <row r="3" spans="2:5" ht="15.75">
      <c r="B3" s="382" t="s">
        <v>169</v>
      </c>
      <c r="C3" s="382"/>
      <c r="D3" s="397"/>
      <c r="E3" s="388"/>
    </row>
    <row r="4" spans="2:5" ht="15.75">
      <c r="B4" s="381" t="s">
        <v>103</v>
      </c>
      <c r="C4" s="705" t="s">
        <v>937</v>
      </c>
      <c r="D4" s="706" t="s">
        <v>938</v>
      </c>
      <c r="E4" s="143" t="s">
        <v>939</v>
      </c>
    </row>
    <row r="5" spans="2:5" ht="15.75">
      <c r="B5" s="424" t="s">
        <v>1035</v>
      </c>
      <c r="C5" s="224" t="str">
        <f>CONCATENATE("Actual for ",E1-2,"")</f>
        <v>Actual for 2012</v>
      </c>
      <c r="D5" s="224" t="str">
        <f>CONCATENATE("Estimate for ",E1-1,"")</f>
        <v>Estimate for 2013</v>
      </c>
      <c r="E5" s="207" t="str">
        <f>CONCATENATE("Year for ",E1,"")</f>
        <v>Year for 2014</v>
      </c>
    </row>
    <row r="6" spans="2:5" ht="15.75">
      <c r="B6" s="389" t="s">
        <v>224</v>
      </c>
      <c r="C6" s="420">
        <v>6964</v>
      </c>
      <c r="D6" s="419">
        <f>C36</f>
        <v>3379</v>
      </c>
      <c r="E6" s="390">
        <f>D36</f>
        <v>66</v>
      </c>
    </row>
    <row r="7" spans="2:5" ht="15.75">
      <c r="B7" s="389" t="s">
        <v>226</v>
      </c>
      <c r="C7" s="391"/>
      <c r="D7" s="419"/>
      <c r="E7" s="390"/>
    </row>
    <row r="8" spans="2:5" ht="15.75">
      <c r="B8" s="389" t="s">
        <v>104</v>
      </c>
      <c r="C8" s="417">
        <v>66697</v>
      </c>
      <c r="D8" s="419">
        <v>73002</v>
      </c>
      <c r="E8" s="406" t="s">
        <v>93</v>
      </c>
    </row>
    <row r="9" spans="2:5" ht="15.75">
      <c r="B9" s="389" t="s">
        <v>105</v>
      </c>
      <c r="C9" s="417">
        <v>3943</v>
      </c>
      <c r="D9" s="421">
        <v>2980</v>
      </c>
      <c r="E9" s="383">
        <v>1000</v>
      </c>
    </row>
    <row r="10" spans="2:5" ht="15.75">
      <c r="B10" s="389" t="s">
        <v>106</v>
      </c>
      <c r="C10" s="417">
        <v>6529</v>
      </c>
      <c r="D10" s="421">
        <v>8183</v>
      </c>
      <c r="E10" s="390">
        <f>mvalloc!D8</f>
        <v>13776</v>
      </c>
    </row>
    <row r="11" spans="2:5" ht="15.75">
      <c r="B11" s="389" t="s">
        <v>107</v>
      </c>
      <c r="C11" s="417">
        <v>79</v>
      </c>
      <c r="D11" s="421">
        <v>250</v>
      </c>
      <c r="E11" s="390">
        <f>mvalloc!E8</f>
        <v>166</v>
      </c>
    </row>
    <row r="12" spans="2:5" ht="15.75">
      <c r="B12" s="392" t="s">
        <v>201</v>
      </c>
      <c r="C12" s="417">
        <v>0</v>
      </c>
      <c r="D12" s="421">
        <v>80</v>
      </c>
      <c r="E12" s="390">
        <f>mvalloc!F8</f>
        <v>300</v>
      </c>
    </row>
    <row r="13" spans="2:5" ht="15.75">
      <c r="B13" s="408" t="s">
        <v>1076</v>
      </c>
      <c r="C13" s="417">
        <v>21778</v>
      </c>
      <c r="D13" s="421">
        <v>21778</v>
      </c>
      <c r="E13" s="383">
        <v>21778</v>
      </c>
    </row>
    <row r="14" spans="2:5" ht="15.75">
      <c r="B14" s="408" t="s">
        <v>1077</v>
      </c>
      <c r="C14" s="417">
        <v>240725</v>
      </c>
      <c r="D14" s="421">
        <v>252925</v>
      </c>
      <c r="E14" s="383">
        <v>250925</v>
      </c>
    </row>
    <row r="15" spans="2:5" ht="15.75">
      <c r="B15" s="408" t="s">
        <v>1078</v>
      </c>
      <c r="C15" s="417">
        <v>0</v>
      </c>
      <c r="D15" s="421">
        <v>0</v>
      </c>
      <c r="E15" s="383">
        <v>322237</v>
      </c>
    </row>
    <row r="16" spans="2:5" ht="15.75">
      <c r="B16" s="408" t="s">
        <v>1079</v>
      </c>
      <c r="C16" s="417">
        <v>115000</v>
      </c>
      <c r="D16" s="421">
        <v>108000</v>
      </c>
      <c r="E16" s="383">
        <v>100000</v>
      </c>
    </row>
    <row r="17" spans="2:9" ht="15.75">
      <c r="B17" s="403" t="s">
        <v>110</v>
      </c>
      <c r="C17" s="417">
        <v>0</v>
      </c>
      <c r="D17" s="421">
        <v>0</v>
      </c>
      <c r="E17" s="383">
        <v>0</v>
      </c>
      <c r="F17" s="378"/>
      <c r="G17" s="378"/>
      <c r="H17" s="378"/>
      <c r="I17" s="378"/>
    </row>
    <row r="18" spans="2:9" ht="15.75">
      <c r="B18" s="389" t="s">
        <v>14</v>
      </c>
      <c r="C18" s="255">
        <v>0</v>
      </c>
      <c r="D18" s="255">
        <v>0</v>
      </c>
      <c r="E18" s="66">
        <v>0</v>
      </c>
      <c r="F18" s="378"/>
      <c r="G18" s="378"/>
      <c r="H18" s="378"/>
      <c r="I18" s="378"/>
    </row>
    <row r="19" spans="2:9" ht="15.75">
      <c r="B19" s="389" t="s">
        <v>774</v>
      </c>
      <c r="C19" s="260">
        <f>IF(C20*0.1&lt;C18,"Exceed 10% Rule","")</f>
      </c>
      <c r="D19" s="260">
        <f>IF(D20*0.1&lt;D18,"Exceed 10% Rule","")</f>
      </c>
      <c r="E19" s="292">
        <f>IF(E20*0.1+E42&lt;E18,"Exceed 10% Rule","")</f>
      </c>
      <c r="F19" s="378"/>
      <c r="G19" s="378"/>
      <c r="H19" s="378"/>
      <c r="I19" s="378"/>
    </row>
    <row r="20" spans="2:9" ht="15.75">
      <c r="B20" s="399" t="s">
        <v>111</v>
      </c>
      <c r="C20" s="422">
        <f>SUM(C8:C18)</f>
        <v>454751</v>
      </c>
      <c r="D20" s="422">
        <f>SUM(D8:D18)</f>
        <v>467198</v>
      </c>
      <c r="E20" s="409">
        <f>SUM(E9:E18)</f>
        <v>710182</v>
      </c>
      <c r="F20" s="378"/>
      <c r="G20" s="378"/>
      <c r="H20" s="378"/>
      <c r="I20" s="378"/>
    </row>
    <row r="21" spans="2:9" ht="15.75">
      <c r="B21" s="399" t="s">
        <v>112</v>
      </c>
      <c r="C21" s="422">
        <f>SUM(C6+C20)</f>
        <v>461715</v>
      </c>
      <c r="D21" s="422">
        <f>SUM(D6+D20)</f>
        <v>470577</v>
      </c>
      <c r="E21" s="409">
        <f>SUM(E6+E20)</f>
        <v>710248</v>
      </c>
      <c r="F21" s="378"/>
      <c r="G21" s="378"/>
      <c r="H21" s="378"/>
      <c r="I21" s="378"/>
    </row>
    <row r="22" spans="2:9" ht="15.75">
      <c r="B22" s="389" t="s">
        <v>114</v>
      </c>
      <c r="C22" s="389"/>
      <c r="D22" s="419"/>
      <c r="E22" s="390"/>
      <c r="F22" s="378"/>
      <c r="G22" s="378"/>
      <c r="H22" s="378"/>
      <c r="I22" s="378"/>
    </row>
    <row r="23" spans="2:9" ht="15.75">
      <c r="B23" s="408" t="s">
        <v>1080</v>
      </c>
      <c r="C23" s="484">
        <v>75000</v>
      </c>
      <c r="D23" s="421">
        <v>80000</v>
      </c>
      <c r="E23" s="383">
        <v>80000</v>
      </c>
      <c r="F23" s="378"/>
      <c r="G23" s="378"/>
      <c r="H23" s="378"/>
      <c r="I23" s="378"/>
    </row>
    <row r="24" spans="2:10" ht="15.75">
      <c r="B24" s="408" t="s">
        <v>1081</v>
      </c>
      <c r="C24" s="484">
        <v>80345</v>
      </c>
      <c r="D24" s="421">
        <v>77720</v>
      </c>
      <c r="E24" s="383">
        <v>75080</v>
      </c>
      <c r="F24" s="378"/>
      <c r="G24" s="802" t="str">
        <f>CONCATENATE("Desired Carryover Into ",E1+1,"")</f>
        <v>Desired Carryover Into 2015</v>
      </c>
      <c r="H24" s="794"/>
      <c r="I24" s="794"/>
      <c r="J24" s="795"/>
    </row>
    <row r="25" spans="2:10" ht="15.75">
      <c r="B25" s="408" t="s">
        <v>1082</v>
      </c>
      <c r="C25" s="484">
        <v>20000</v>
      </c>
      <c r="D25" s="421">
        <v>20000</v>
      </c>
      <c r="E25" s="383">
        <v>20000</v>
      </c>
      <c r="F25" s="378"/>
      <c r="G25" s="642"/>
      <c r="H25" s="643"/>
      <c r="I25" s="644"/>
      <c r="J25" s="645"/>
    </row>
    <row r="26" spans="2:10" ht="15.75">
      <c r="B26" s="408" t="s">
        <v>1083</v>
      </c>
      <c r="C26" s="484">
        <v>20488</v>
      </c>
      <c r="D26" s="421">
        <v>20088</v>
      </c>
      <c r="E26" s="383">
        <v>20088</v>
      </c>
      <c r="F26" s="378"/>
      <c r="G26" s="646" t="s">
        <v>762</v>
      </c>
      <c r="H26" s="644"/>
      <c r="I26" s="644"/>
      <c r="J26" s="647">
        <v>0</v>
      </c>
    </row>
    <row r="27" spans="2:10" ht="15.75">
      <c r="B27" s="408" t="s">
        <v>1084</v>
      </c>
      <c r="C27" s="484">
        <v>205000</v>
      </c>
      <c r="D27" s="421">
        <v>220000</v>
      </c>
      <c r="E27" s="383">
        <v>220000</v>
      </c>
      <c r="F27" s="378"/>
      <c r="G27" s="642" t="s">
        <v>763</v>
      </c>
      <c r="H27" s="643"/>
      <c r="I27" s="643"/>
      <c r="J27" s="648">
        <f>IF(J26=0,"",ROUND((J26+E42-G41)/inputOth!E7*1000,3)-G46)</f>
      </c>
    </row>
    <row r="28" spans="2:10" ht="15.75">
      <c r="B28" s="408" t="s">
        <v>1085</v>
      </c>
      <c r="C28" s="484">
        <v>35725</v>
      </c>
      <c r="D28" s="421">
        <v>30925</v>
      </c>
      <c r="E28" s="383">
        <v>30925</v>
      </c>
      <c r="F28" s="378"/>
      <c r="G28" s="649" t="str">
        <f>CONCATENATE("",E1," Tot Exp/Non-Appr Must Be:")</f>
        <v>2014 Tot Exp/Non-Appr Must Be:</v>
      </c>
      <c r="H28" s="650"/>
      <c r="I28" s="651"/>
      <c r="J28" s="652">
        <f>IF(J26&gt;0,IF(E39&lt;E21,IF(J26=G41,E39,((J26-G41)*(1-D41))+E21),E39+(J26-G41)),0)</f>
        <v>0</v>
      </c>
    </row>
    <row r="29" spans="2:10" ht="15.75">
      <c r="B29" s="408" t="s">
        <v>1086</v>
      </c>
      <c r="C29" s="484">
        <v>21778</v>
      </c>
      <c r="D29" s="421">
        <v>21778</v>
      </c>
      <c r="E29" s="383">
        <v>21778</v>
      </c>
      <c r="F29" s="378"/>
      <c r="G29" s="649"/>
      <c r="H29" s="650"/>
      <c r="I29" s="651"/>
      <c r="J29" s="743"/>
    </row>
    <row r="30" spans="2:10" ht="15.75">
      <c r="B30" s="408" t="s">
        <v>1087</v>
      </c>
      <c r="C30" s="484">
        <v>0</v>
      </c>
      <c r="D30" s="421">
        <v>0</v>
      </c>
      <c r="E30" s="383">
        <v>240297</v>
      </c>
      <c r="F30" s="378"/>
      <c r="G30" s="649"/>
      <c r="H30" s="650"/>
      <c r="I30" s="651"/>
      <c r="J30" s="743"/>
    </row>
    <row r="31" spans="2:10" ht="15.75">
      <c r="B31" s="408" t="s">
        <v>1088</v>
      </c>
      <c r="C31" s="484">
        <v>0</v>
      </c>
      <c r="D31" s="421">
        <v>0</v>
      </c>
      <c r="E31" s="383">
        <v>81940</v>
      </c>
      <c r="F31" s="378"/>
      <c r="G31" s="653" t="s">
        <v>881</v>
      </c>
      <c r="H31" s="654"/>
      <c r="I31" s="654"/>
      <c r="J31" s="655">
        <f>IF(J26&gt;0,J28-E39,0)</f>
        <v>0</v>
      </c>
    </row>
    <row r="32" spans="2:9" ht="15.75">
      <c r="B32" s="405" t="s">
        <v>13</v>
      </c>
      <c r="C32" s="484"/>
      <c r="D32" s="421"/>
      <c r="E32" s="390">
        <f>nhood!E7</f>
        <v>201</v>
      </c>
      <c r="F32" s="378"/>
      <c r="G32" s="378"/>
      <c r="H32" s="378"/>
      <c r="I32" s="378"/>
    </row>
    <row r="33" spans="2:10" ht="15.75">
      <c r="B33" s="405" t="s">
        <v>14</v>
      </c>
      <c r="C33" s="484"/>
      <c r="D33" s="421"/>
      <c r="E33" s="383"/>
      <c r="F33" s="378"/>
      <c r="G33" s="801" t="str">
        <f>CONCATENATE("Projected Carryover Into ",E1+1,"")</f>
        <v>Projected Carryover Into 2015</v>
      </c>
      <c r="H33" s="794"/>
      <c r="I33" s="794"/>
      <c r="J33" s="795"/>
    </row>
    <row r="34" spans="2:10" ht="15.75">
      <c r="B34" s="405" t="s">
        <v>776</v>
      </c>
      <c r="C34" s="260">
        <f>IF(C35*0.1&lt;C33,"Exceed 10% Rule","")</f>
      </c>
      <c r="D34" s="260">
        <f>IF(D35*0.1&lt;D33,"Exceed 10% Rule","")</f>
      </c>
      <c r="E34" s="292">
        <f>IF(E35*0.1&lt;E33,"Exceed 10% Rule","")</f>
      </c>
      <c r="F34" s="378"/>
      <c r="G34" s="410"/>
      <c r="H34" s="528"/>
      <c r="I34" s="528"/>
      <c r="J34" s="638"/>
    </row>
    <row r="35" spans="2:10" ht="15.75">
      <c r="B35" s="399" t="s">
        <v>118</v>
      </c>
      <c r="C35" s="418">
        <f>SUM(C23:C33)</f>
        <v>458336</v>
      </c>
      <c r="D35" s="418">
        <f>SUM(D23:D33)</f>
        <v>470511</v>
      </c>
      <c r="E35" s="404">
        <f>SUM(E23:E33)</f>
        <v>790309</v>
      </c>
      <c r="F35" s="378"/>
      <c r="G35" s="414">
        <f>D36</f>
        <v>66</v>
      </c>
      <c r="H35" s="416" t="str">
        <f>CONCATENATE("",E1-1," Ending Cash Balance (est.)")</f>
        <v>2013 Ending Cash Balance (est.)</v>
      </c>
      <c r="I35" s="411"/>
      <c r="J35" s="638"/>
    </row>
    <row r="36" spans="2:10" ht="15.75">
      <c r="B36" s="389" t="s">
        <v>225</v>
      </c>
      <c r="C36" s="423">
        <f>SUM(C21-C35)</f>
        <v>3379</v>
      </c>
      <c r="D36" s="423">
        <f>SUM(D21-D35)</f>
        <v>66</v>
      </c>
      <c r="E36" s="406" t="s">
        <v>93</v>
      </c>
      <c r="F36" s="378"/>
      <c r="G36" s="414">
        <f>E20</f>
        <v>710182</v>
      </c>
      <c r="H36" s="415" t="str">
        <f>CONCATENATE("",E1," Non-AV Receipts (est.)")</f>
        <v>2014 Non-AV Receipts (est.)</v>
      </c>
      <c r="I36" s="528"/>
      <c r="J36" s="638"/>
    </row>
    <row r="37" spans="2:10" ht="15.75">
      <c r="B37" s="394" t="str">
        <f>CONCATENATE("",E1-2,"/",E1-1," Budget Authority Amount:")</f>
        <v>2012/2013 Budget Authority Amount:</v>
      </c>
      <c r="C37" s="396">
        <f>inputOth!B61</f>
        <v>458336</v>
      </c>
      <c r="D37" s="400">
        <f>inputPrYr!D18</f>
        <v>473377</v>
      </c>
      <c r="E37" s="406" t="s">
        <v>93</v>
      </c>
      <c r="F37" s="401"/>
      <c r="G37" s="413">
        <f>IF(E41&gt;0,E40,E42)</f>
        <v>80061</v>
      </c>
      <c r="H37" s="415" t="str">
        <f>CONCATENATE("",E1," Ad Valorem Tax (est.)")</f>
        <v>2014 Ad Valorem Tax (est.)</v>
      </c>
      <c r="I37" s="528"/>
      <c r="J37" s="638"/>
    </row>
    <row r="38" spans="2:10" ht="15.75">
      <c r="B38" s="394"/>
      <c r="C38" s="788" t="s">
        <v>665</v>
      </c>
      <c r="D38" s="789"/>
      <c r="E38" s="66"/>
      <c r="F38" s="429">
        <f>IF(E35/0.95-E35&lt;E38,"Exceeds 5%","")</f>
      </c>
      <c r="G38" s="414">
        <f>SUM(G35:G37)</f>
        <v>790309</v>
      </c>
      <c r="H38" s="415" t="str">
        <f>CONCATENATE("Total ",E1," Resources Available")</f>
        <v>Total 2014 Resources Available</v>
      </c>
      <c r="I38" s="411"/>
      <c r="J38" s="638"/>
    </row>
    <row r="39" spans="2:10" ht="15.75">
      <c r="B39" s="521" t="str">
        <f>CONCATENATE(C95,"     ",D95)</f>
        <v>     </v>
      </c>
      <c r="C39" s="790" t="s">
        <v>666</v>
      </c>
      <c r="D39" s="791"/>
      <c r="E39" s="390">
        <f>SUM(E35+E38)</f>
        <v>790309</v>
      </c>
      <c r="F39" s="378"/>
      <c r="G39" s="412"/>
      <c r="H39" s="415"/>
      <c r="I39" s="528"/>
      <c r="J39" s="638"/>
    </row>
    <row r="40" spans="2:10" ht="15.75">
      <c r="B40" s="521" t="str">
        <f>CONCATENATE(C96,"     ",D96)</f>
        <v>     </v>
      </c>
      <c r="C40" s="402"/>
      <c r="D40" s="395" t="s">
        <v>119</v>
      </c>
      <c r="E40" s="384">
        <f>IF(E39-E21&gt;0,E39-E21,0)</f>
        <v>80061</v>
      </c>
      <c r="F40" s="378"/>
      <c r="G40" s="413">
        <f>C35</f>
        <v>458336</v>
      </c>
      <c r="H40" s="415" t="str">
        <f>CONCATENATE("Less ",E1-2," Expenditures")</f>
        <v>Less 2012 Expenditures</v>
      </c>
      <c r="I40" s="528"/>
      <c r="J40" s="638"/>
    </row>
    <row r="41" spans="2:10" ht="15.75">
      <c r="B41" s="395"/>
      <c r="C41" s="377" t="s">
        <v>664</v>
      </c>
      <c r="D41" s="719">
        <f>inputOth!$E$47</f>
        <v>0.049</v>
      </c>
      <c r="E41" s="390">
        <f>ROUND(IF(D41&gt;0,(E40*D41),0),0)</f>
        <v>3923</v>
      </c>
      <c r="F41" s="378"/>
      <c r="G41" s="635">
        <f>SUM(G38-G40)</f>
        <v>331973</v>
      </c>
      <c r="H41" s="636" t="str">
        <f>CONCATENATE("Projected ",E1+1," carryover (est.)")</f>
        <v>Projected 2015 carryover (est.)</v>
      </c>
      <c r="I41" s="637"/>
      <c r="J41" s="623"/>
    </row>
    <row r="42" spans="2:6" ht="16.5" thickBot="1">
      <c r="B42" s="379"/>
      <c r="C42" s="799" t="str">
        <f>CONCATENATE("Amount of  ",E1-1," Ad Valorem Tax")</f>
        <v>Amount of  2013 Ad Valorem Tax</v>
      </c>
      <c r="D42" s="800"/>
      <c r="E42" s="639">
        <f>SUM(E40:E41)</f>
        <v>83984</v>
      </c>
      <c r="F42" s="378"/>
    </row>
    <row r="43" spans="2:10" ht="16.5" thickTop="1">
      <c r="B43" s="379"/>
      <c r="C43" s="598"/>
      <c r="D43" s="385"/>
      <c r="E43" s="385"/>
      <c r="F43" s="378"/>
      <c r="G43" s="796" t="s">
        <v>880</v>
      </c>
      <c r="H43" s="797"/>
      <c r="I43" s="797"/>
      <c r="J43" s="798"/>
    </row>
    <row r="44" spans="2:10" ht="15.75">
      <c r="B44" s="381"/>
      <c r="C44" s="381"/>
      <c r="D44" s="397"/>
      <c r="E44" s="397"/>
      <c r="F44" s="378"/>
      <c r="G44" s="624"/>
      <c r="H44" s="625"/>
      <c r="I44" s="626"/>
      <c r="J44" s="627"/>
    </row>
    <row r="45" spans="2:10" ht="15.75">
      <c r="B45" s="381" t="s">
        <v>103</v>
      </c>
      <c r="C45" s="705" t="s">
        <v>937</v>
      </c>
      <c r="D45" s="706" t="s">
        <v>938</v>
      </c>
      <c r="E45" s="143" t="s">
        <v>939</v>
      </c>
      <c r="F45" s="378"/>
      <c r="G45" s="628">
        <f>summ!H16</f>
        <v>7.701</v>
      </c>
      <c r="H45" s="625" t="str">
        <f>CONCATENATE("",E1," Fund Mill Rate")</f>
        <v>2014 Fund Mill Rate</v>
      </c>
      <c r="I45" s="626"/>
      <c r="J45" s="627"/>
    </row>
    <row r="46" spans="2:10" ht="15.75">
      <c r="B46" s="425" t="str">
        <f>inputPrYr!B19</f>
        <v>Library</v>
      </c>
      <c r="C46" s="224" t="str">
        <f>CONCATENATE("Actual for ",E1-2,"")</f>
        <v>Actual for 2012</v>
      </c>
      <c r="D46" s="224" t="str">
        <f>CONCATENATE("Estimate for ",E1-1,"")</f>
        <v>Estimate for 2013</v>
      </c>
      <c r="E46" s="207" t="str">
        <f>CONCATENATE("Year for ",E1,"")</f>
        <v>Year for 2014</v>
      </c>
      <c r="F46" s="378"/>
      <c r="G46" s="629">
        <f>summ!E16</f>
        <v>7.692</v>
      </c>
      <c r="H46" s="625" t="str">
        <f>CONCATENATE("",E1-1," Fund Mill Rate")</f>
        <v>2013 Fund Mill Rate</v>
      </c>
      <c r="I46" s="626"/>
      <c r="J46" s="627"/>
    </row>
    <row r="47" spans="2:10" ht="15.75">
      <c r="B47" s="389" t="s">
        <v>224</v>
      </c>
      <c r="C47" s="417">
        <v>0</v>
      </c>
      <c r="D47" s="419">
        <f>C76</f>
        <v>0</v>
      </c>
      <c r="E47" s="390">
        <f>D76</f>
        <v>0</v>
      </c>
      <c r="F47" s="378"/>
      <c r="G47" s="630">
        <f>summ!H52</f>
        <v>53.329</v>
      </c>
      <c r="H47" s="625" t="str">
        <f>CONCATENATE("Total ",E1," Mill Rate")</f>
        <v>Total 2014 Mill Rate</v>
      </c>
      <c r="I47" s="626"/>
      <c r="J47" s="627"/>
    </row>
    <row r="48" spans="2:10" ht="15.75">
      <c r="B48" s="398" t="s">
        <v>226</v>
      </c>
      <c r="C48" s="389"/>
      <c r="D48" s="419"/>
      <c r="E48" s="390"/>
      <c r="F48" s="378"/>
      <c r="G48" s="629">
        <f>summ!E52</f>
        <v>53.337</v>
      </c>
      <c r="H48" s="631" t="str">
        <f>CONCATENATE("Total ",E1-1," Mill Rate")</f>
        <v>Total 2013 Mill Rate</v>
      </c>
      <c r="I48" s="632"/>
      <c r="J48" s="633"/>
    </row>
    <row r="49" spans="2:9" ht="15.75">
      <c r="B49" s="389" t="s">
        <v>104</v>
      </c>
      <c r="C49" s="417">
        <v>64979</v>
      </c>
      <c r="D49" s="419">
        <v>65580</v>
      </c>
      <c r="E49" s="406" t="s">
        <v>93</v>
      </c>
      <c r="F49" s="378"/>
      <c r="G49" s="378"/>
      <c r="H49" s="378"/>
      <c r="I49" s="378"/>
    </row>
    <row r="50" spans="2:9" ht="15.75">
      <c r="B50" s="389" t="s">
        <v>105</v>
      </c>
      <c r="C50" s="417">
        <v>8583</v>
      </c>
      <c r="D50" s="421">
        <v>3500</v>
      </c>
      <c r="E50" s="383">
        <v>5500</v>
      </c>
      <c r="F50" s="378"/>
      <c r="G50" s="736" t="s">
        <v>993</v>
      </c>
      <c r="H50" s="735"/>
      <c r="I50" s="734" t="str">
        <f>cert!F58</f>
        <v>Yes</v>
      </c>
    </row>
    <row r="51" spans="2:9" ht="15.75">
      <c r="B51" s="389" t="s">
        <v>106</v>
      </c>
      <c r="C51" s="417">
        <v>11193</v>
      </c>
      <c r="D51" s="421">
        <v>11270</v>
      </c>
      <c r="E51" s="390">
        <f>mvalloc!D9</f>
        <v>12054</v>
      </c>
      <c r="F51" s="378"/>
      <c r="G51" s="378"/>
      <c r="H51" s="378"/>
      <c r="I51" s="378"/>
    </row>
    <row r="52" spans="2:9" ht="15.75">
      <c r="B52" s="389" t="s">
        <v>107</v>
      </c>
      <c r="C52" s="417">
        <v>155</v>
      </c>
      <c r="D52" s="421">
        <v>125</v>
      </c>
      <c r="E52" s="390">
        <f>mvalloc!E9</f>
        <v>146</v>
      </c>
      <c r="F52" s="378"/>
      <c r="G52" s="378"/>
      <c r="H52" s="378"/>
      <c r="I52" s="378"/>
    </row>
    <row r="53" spans="2:5" ht="15.75">
      <c r="B53" s="392" t="s">
        <v>201</v>
      </c>
      <c r="C53" s="417">
        <v>201</v>
      </c>
      <c r="D53" s="421">
        <v>285</v>
      </c>
      <c r="E53" s="390">
        <f>mvalloc!F9</f>
        <v>262</v>
      </c>
    </row>
    <row r="54" spans="2:5" ht="15.75">
      <c r="B54" s="383"/>
      <c r="C54" s="417"/>
      <c r="D54" s="421"/>
      <c r="E54" s="383"/>
    </row>
    <row r="55" spans="2:5" ht="15.75">
      <c r="B55" s="383"/>
      <c r="C55" s="417"/>
      <c r="D55" s="421"/>
      <c r="E55" s="383"/>
    </row>
    <row r="56" spans="2:5" ht="15.75">
      <c r="B56" s="383"/>
      <c r="C56" s="417"/>
      <c r="D56" s="421"/>
      <c r="E56" s="383"/>
    </row>
    <row r="57" spans="2:5" ht="15.75">
      <c r="B57" s="408"/>
      <c r="C57" s="417"/>
      <c r="D57" s="421"/>
      <c r="E57" s="383"/>
    </row>
    <row r="58" spans="2:5" ht="15.75">
      <c r="B58" s="408"/>
      <c r="C58" s="417"/>
      <c r="D58" s="421"/>
      <c r="E58" s="383"/>
    </row>
    <row r="59" spans="2:5" ht="15.75">
      <c r="B59" s="403" t="s">
        <v>110</v>
      </c>
      <c r="C59" s="417">
        <v>0</v>
      </c>
      <c r="D59" s="421">
        <v>0</v>
      </c>
      <c r="E59" s="383"/>
    </row>
    <row r="60" spans="2:5" ht="15.75">
      <c r="B60" s="389" t="s">
        <v>14</v>
      </c>
      <c r="C60" s="417">
        <v>0</v>
      </c>
      <c r="D60" s="255">
        <v>0</v>
      </c>
      <c r="E60" s="66"/>
    </row>
    <row r="61" spans="2:5" ht="15.75">
      <c r="B61" s="389" t="s">
        <v>774</v>
      </c>
      <c r="C61" s="260">
        <f>IF(C62*0.1&lt;C60,"Exceed 10% Rule","")</f>
      </c>
      <c r="D61" s="260">
        <f>IF(D62*0.1&lt;D60,"Exceed 10% Rule","")</f>
      </c>
      <c r="E61" s="292">
        <f>IF(E62*0.1+E82&lt;E60,"Exceed 10% Rule","")</f>
      </c>
    </row>
    <row r="62" spans="2:5" ht="15.75">
      <c r="B62" s="399" t="s">
        <v>111</v>
      </c>
      <c r="C62" s="418">
        <f>SUM(C49:C60)</f>
        <v>85111</v>
      </c>
      <c r="D62" s="418">
        <f>SUM(D49:D60)</f>
        <v>80760</v>
      </c>
      <c r="E62" s="404">
        <f>SUM(E50:E60)</f>
        <v>17962</v>
      </c>
    </row>
    <row r="63" spans="2:5" ht="15.75">
      <c r="B63" s="399" t="s">
        <v>112</v>
      </c>
      <c r="C63" s="418">
        <f>SUM(C47+C62)</f>
        <v>85111</v>
      </c>
      <c r="D63" s="418">
        <f>SUM(D47+D62)</f>
        <v>80760</v>
      </c>
      <c r="E63" s="404">
        <f>SUM(E47+E62)</f>
        <v>17962</v>
      </c>
    </row>
    <row r="64" spans="2:5" ht="15.75">
      <c r="B64" s="389" t="s">
        <v>114</v>
      </c>
      <c r="C64" s="389"/>
      <c r="D64" s="419"/>
      <c r="E64" s="390"/>
    </row>
    <row r="65" spans="2:5" ht="15.75">
      <c r="B65" s="408" t="s">
        <v>1089</v>
      </c>
      <c r="C65" s="417">
        <v>85111</v>
      </c>
      <c r="D65" s="421">
        <v>80760</v>
      </c>
      <c r="E65" s="383">
        <v>87763.61</v>
      </c>
    </row>
    <row r="66" spans="2:10" ht="15.75">
      <c r="B66" s="408"/>
      <c r="C66" s="417"/>
      <c r="D66" s="421"/>
      <c r="E66" s="383"/>
      <c r="F66" s="2"/>
      <c r="G66" s="802" t="str">
        <f>CONCATENATE("Desired Carryover Into ",E1+1,"")</f>
        <v>Desired Carryover Into 2015</v>
      </c>
      <c r="H66" s="794"/>
      <c r="I66" s="794"/>
      <c r="J66" s="795"/>
    </row>
    <row r="67" spans="2:10" ht="15.75">
      <c r="B67" s="408"/>
      <c r="C67" s="417"/>
      <c r="D67" s="421"/>
      <c r="E67" s="383"/>
      <c r="F67" s="2"/>
      <c r="G67" s="642"/>
      <c r="H67" s="643"/>
      <c r="I67" s="644"/>
      <c r="J67" s="645"/>
    </row>
    <row r="68" spans="2:10" ht="15.75">
      <c r="B68" s="408"/>
      <c r="C68" s="417"/>
      <c r="D68" s="421"/>
      <c r="E68" s="383"/>
      <c r="F68" s="2"/>
      <c r="G68" s="646" t="s">
        <v>762</v>
      </c>
      <c r="H68" s="644"/>
      <c r="I68" s="644"/>
      <c r="J68" s="647">
        <v>0</v>
      </c>
    </row>
    <row r="69" spans="2:10" ht="15.75">
      <c r="B69" s="408"/>
      <c r="C69" s="417"/>
      <c r="D69" s="421"/>
      <c r="E69" s="383"/>
      <c r="F69" s="2"/>
      <c r="G69" s="642" t="s">
        <v>763</v>
      </c>
      <c r="H69" s="643"/>
      <c r="I69" s="643"/>
      <c r="J69" s="648">
        <f>IF(J68=0,"",ROUND((J68+E82-G81)/inputOth!E7*1000,3)-G86)</f>
      </c>
    </row>
    <row r="70" spans="2:10" ht="15.75">
      <c r="B70" s="408"/>
      <c r="C70" s="417"/>
      <c r="D70" s="421"/>
      <c r="E70" s="383"/>
      <c r="F70" s="2"/>
      <c r="G70" s="649" t="str">
        <f>CONCATENATE("",E1," Tot Exp/Non-Appr Must Be:")</f>
        <v>2014 Tot Exp/Non-Appr Must Be:</v>
      </c>
      <c r="H70" s="650"/>
      <c r="I70" s="651"/>
      <c r="J70" s="652">
        <f>IF(J68&gt;0,IF(E79&lt;E63,IF(J68=G81,E79,((J68-G81)*(1-D81))+E63),E79+(J68-G81)),0)</f>
        <v>0</v>
      </c>
    </row>
    <row r="71" spans="2:10" ht="15.75">
      <c r="B71" s="408"/>
      <c r="C71" s="417"/>
      <c r="D71" s="421"/>
      <c r="E71" s="383"/>
      <c r="F71" s="2"/>
      <c r="G71" s="653" t="s">
        <v>881</v>
      </c>
      <c r="H71" s="654"/>
      <c r="I71" s="654"/>
      <c r="J71" s="655">
        <f>IF(J68&gt;0,J70-E79,0)</f>
        <v>0</v>
      </c>
    </row>
    <row r="72" spans="2:10" ht="15.75">
      <c r="B72" s="392" t="s">
        <v>13</v>
      </c>
      <c r="C72" s="417"/>
      <c r="D72" s="421"/>
      <c r="E72" s="390">
        <f>nhood!E8</f>
        <v>176</v>
      </c>
      <c r="F72"/>
      <c r="G72" s="2"/>
      <c r="H72" s="2"/>
      <c r="I72" s="2"/>
      <c r="J72" s="2"/>
    </row>
    <row r="73" spans="2:10" ht="15.75">
      <c r="B73" s="392" t="s">
        <v>14</v>
      </c>
      <c r="C73" s="484"/>
      <c r="D73" s="421"/>
      <c r="E73" s="383"/>
      <c r="F73"/>
      <c r="G73" s="802" t="str">
        <f>CONCATENATE("Projected Carryover Into ",E1+1,"")</f>
        <v>Projected Carryover Into 2015</v>
      </c>
      <c r="H73" s="803"/>
      <c r="I73" s="803"/>
      <c r="J73" s="804"/>
    </row>
    <row r="74" spans="2:10" ht="15.75">
      <c r="B74" s="392" t="s">
        <v>775</v>
      </c>
      <c r="C74" s="260">
        <f>IF(C75*0.1&lt;C73,"Exceed 10% Rule","")</f>
      </c>
      <c r="D74" s="260">
        <f>IF(D75*0.1&lt;D73,"Exceed 10% Rule","")</f>
      </c>
      <c r="E74" s="292">
        <f>IF(E75*0.1&lt;E73,"Exceed 10% Rule","")</f>
      </c>
      <c r="F74"/>
      <c r="G74" s="656"/>
      <c r="H74" s="643"/>
      <c r="I74" s="643"/>
      <c r="J74" s="657"/>
    </row>
    <row r="75" spans="2:10" ht="15.75">
      <c r="B75" s="399" t="s">
        <v>118</v>
      </c>
      <c r="C75" s="418">
        <f>SUM(C65:C73)</f>
        <v>85111</v>
      </c>
      <c r="D75" s="418">
        <f>SUM(D65:D73)</f>
        <v>80760</v>
      </c>
      <c r="E75" s="404">
        <f>SUM(E65:E73)</f>
        <v>87939.61</v>
      </c>
      <c r="F75"/>
      <c r="G75" s="658">
        <f>D76</f>
        <v>0</v>
      </c>
      <c r="H75" s="625" t="str">
        <f>CONCATENATE("",E1-1," Ending Cash Balance (est.)")</f>
        <v>2013 Ending Cash Balance (est.)</v>
      </c>
      <c r="I75" s="659"/>
      <c r="J75" s="657"/>
    </row>
    <row r="76" spans="2:10" ht="15.75">
      <c r="B76" s="389" t="s">
        <v>225</v>
      </c>
      <c r="C76" s="423">
        <f>SUM(C63-C75)</f>
        <v>0</v>
      </c>
      <c r="D76" s="423">
        <f>SUM(D63-D75)</f>
        <v>0</v>
      </c>
      <c r="E76" s="406" t="s">
        <v>93</v>
      </c>
      <c r="F76"/>
      <c r="G76" s="658">
        <f>E62</f>
        <v>17962</v>
      </c>
      <c r="H76" s="644" t="str">
        <f>CONCATENATE("",E1," Non-AV Receipts (est.)")</f>
        <v>2014 Non-AV Receipts (est.)</v>
      </c>
      <c r="I76" s="659"/>
      <c r="J76" s="657"/>
    </row>
    <row r="77" spans="2:11" ht="15.75">
      <c r="B77" s="394" t="str">
        <f>CONCATENATE("",E1-2,"/",E1-1," Budget Authority Amount:")</f>
        <v>2012/2013 Budget Authority Amount:</v>
      </c>
      <c r="C77" s="396">
        <f>inputOth!B62</f>
        <v>85111</v>
      </c>
      <c r="D77" s="396">
        <f>inputPrYr!D19</f>
        <v>84509</v>
      </c>
      <c r="E77" s="406" t="s">
        <v>93</v>
      </c>
      <c r="F77" s="274"/>
      <c r="G77" s="660">
        <f>IF(E81&gt;0,E80,E82)</f>
        <v>69977.61</v>
      </c>
      <c r="H77" s="644" t="str">
        <f>CONCATENATE("",E1," Ad Valorem Tax (est.)")</f>
        <v>2014 Ad Valorem Tax (est.)</v>
      </c>
      <c r="I77" s="659"/>
      <c r="J77" s="657"/>
      <c r="K77" s="634" t="str">
        <f>IF(G77=E82,"","Note: Does not include Delinquent Taxes")</f>
        <v>Note: Does not include Delinquent Taxes</v>
      </c>
    </row>
    <row r="78" spans="2:10" ht="15.75">
      <c r="B78" s="394"/>
      <c r="C78" s="788" t="s">
        <v>665</v>
      </c>
      <c r="D78" s="789"/>
      <c r="E78" s="66"/>
      <c r="F78" s="661">
        <f>IF(E75/0.95-E75&lt;E78,"Exceeds 5%","")</f>
      </c>
      <c r="G78" s="662">
        <f>SUM(G75:G77)</f>
        <v>87939.61</v>
      </c>
      <c r="H78" s="644" t="str">
        <f>CONCATENATE("Total ",E1," Resources Available")</f>
        <v>Total 2014 Resources Available</v>
      </c>
      <c r="I78" s="663"/>
      <c r="J78" s="657"/>
    </row>
    <row r="79" spans="2:10" ht="15.75">
      <c r="B79" s="521" t="str">
        <f>CONCATENATE(C97,"     ",D97)</f>
        <v>     </v>
      </c>
      <c r="C79" s="790" t="s">
        <v>666</v>
      </c>
      <c r="D79" s="791"/>
      <c r="E79" s="390">
        <f>SUM(E75+E78)</f>
        <v>87939.61</v>
      </c>
      <c r="F79"/>
      <c r="G79" s="664"/>
      <c r="H79" s="665"/>
      <c r="I79" s="643"/>
      <c r="J79" s="657"/>
    </row>
    <row r="80" spans="2:10" ht="15.75">
      <c r="B80" s="521" t="str">
        <f>CONCATENATE(C98,"     ",D98)</f>
        <v>     </v>
      </c>
      <c r="C80" s="402"/>
      <c r="D80" s="395" t="s">
        <v>119</v>
      </c>
      <c r="E80" s="384">
        <f>IF(E79-E63&gt;0,E79-E63,0)</f>
        <v>69977.61</v>
      </c>
      <c r="F80"/>
      <c r="G80" s="666">
        <f>ROUND(C75*0.05+C75,0)</f>
        <v>89367</v>
      </c>
      <c r="H80" s="665" t="str">
        <f>CONCATENATE("Less ",E1-2," Expenditures + 5%")</f>
        <v>Less 2012 Expenditures + 5%</v>
      </c>
      <c r="I80" s="663"/>
      <c r="J80" s="657"/>
    </row>
    <row r="81" spans="2:10" ht="15.75">
      <c r="B81" s="395"/>
      <c r="C81" s="377" t="s">
        <v>664</v>
      </c>
      <c r="D81" s="719">
        <f>inputOth!$E$47</f>
        <v>0.049</v>
      </c>
      <c r="E81" s="390">
        <f>ROUND(IF(D81&gt;0,(E80*D81),0),0)</f>
        <v>3429</v>
      </c>
      <c r="F81"/>
      <c r="G81" s="667">
        <f>G78-G80</f>
        <v>-1427.3899999999994</v>
      </c>
      <c r="H81" s="668" t="str">
        <f>CONCATENATE("Projected ",E1+1," carryover (est.)")</f>
        <v>Projected 2015 carryover (est.)</v>
      </c>
      <c r="I81" s="669"/>
      <c r="J81" s="670"/>
    </row>
    <row r="82" spans="2:10" ht="16.5" thickBot="1">
      <c r="B82" s="379"/>
      <c r="C82" s="799" t="str">
        <f>CONCATENATE("Amount of  ",E1-1," Ad Valorem Tax")</f>
        <v>Amount of  2013 Ad Valorem Tax</v>
      </c>
      <c r="D82" s="800"/>
      <c r="E82" s="639">
        <f>SUM(E80:E81)</f>
        <v>73406.61</v>
      </c>
      <c r="F82" s="671" t="str">
        <f>IF('Library Grant'!F33="","",IF('Library Grant'!F33="Qualify","Qualifies for State Library Grant","See 'Library Grant' tab"))</f>
        <v>Qualifies for State Library Grant</v>
      </c>
      <c r="G82" s="2"/>
      <c r="H82" s="2"/>
      <c r="I82" s="2"/>
      <c r="J82" s="2"/>
    </row>
    <row r="83" spans="2:10" ht="16.5" thickTop="1">
      <c r="B83" s="395" t="s">
        <v>121</v>
      </c>
      <c r="C83" s="407">
        <v>9</v>
      </c>
      <c r="D83" s="385"/>
      <c r="E83" s="379"/>
      <c r="F83"/>
      <c r="G83" s="796" t="s">
        <v>880</v>
      </c>
      <c r="H83" s="797"/>
      <c r="I83" s="797"/>
      <c r="J83" s="798"/>
    </row>
    <row r="84" spans="6:10" ht="15.75">
      <c r="F84" s="2"/>
      <c r="G84" s="624"/>
      <c r="H84" s="625"/>
      <c r="I84" s="626"/>
      <c r="J84" s="627"/>
    </row>
    <row r="85" spans="2:10" ht="15.75">
      <c r="B85" s="386"/>
      <c r="C85" s="386"/>
      <c r="D85" s="378"/>
      <c r="E85" s="378"/>
      <c r="F85"/>
      <c r="G85" s="628">
        <f>summ!H17</f>
        <v>6.731</v>
      </c>
      <c r="H85" s="625" t="str">
        <f>CONCATENATE("",E1," Fund Mill Rate")</f>
        <v>2014 Fund Mill Rate</v>
      </c>
      <c r="I85" s="626"/>
      <c r="J85" s="627"/>
    </row>
    <row r="86" spans="6:10" ht="15.75">
      <c r="F86" s="2"/>
      <c r="G86" s="629">
        <f>summ!E17</f>
        <v>6.731</v>
      </c>
      <c r="H86" s="625" t="str">
        <f>CONCATENATE("",E1-1," Fund Mill Rate")</f>
        <v>2013 Fund Mill Rate</v>
      </c>
      <c r="I86" s="626"/>
      <c r="J86" s="627"/>
    </row>
    <row r="87" spans="6:10" ht="15.75">
      <c r="F87" s="2"/>
      <c r="G87" s="630">
        <f>summ!H52</f>
        <v>53.329</v>
      </c>
      <c r="H87" s="625" t="str">
        <f>CONCATENATE("Total ",E1," Mill Rate")</f>
        <v>Total 2014 Mill Rate</v>
      </c>
      <c r="I87" s="626"/>
      <c r="J87" s="627"/>
    </row>
    <row r="88" spans="6:10" ht="15.75">
      <c r="F88" s="2"/>
      <c r="G88" s="629">
        <f>summ!E52</f>
        <v>53.337</v>
      </c>
      <c r="H88" s="631" t="str">
        <f>CONCATENATE("Total ",E1-1," Mill Rate")</f>
        <v>Total 2013 Mill Rate</v>
      </c>
      <c r="I88" s="632"/>
      <c r="J88" s="633"/>
    </row>
    <row r="90" spans="3:9" ht="15.75">
      <c r="C90" s="380" t="s">
        <v>668</v>
      </c>
      <c r="D90" s="380" t="s">
        <v>668</v>
      </c>
      <c r="G90" s="736" t="s">
        <v>993</v>
      </c>
      <c r="H90" s="735"/>
      <c r="I90" s="734" t="str">
        <f>cert!F58</f>
        <v>Yes</v>
      </c>
    </row>
    <row r="91" spans="3:4" ht="15.75">
      <c r="C91" s="380" t="s">
        <v>668</v>
      </c>
      <c r="D91" s="380" t="s">
        <v>668</v>
      </c>
    </row>
    <row r="93" spans="3:4" ht="15.75">
      <c r="C93" s="380" t="s">
        <v>668</v>
      </c>
      <c r="D93" s="380" t="s">
        <v>668</v>
      </c>
    </row>
    <row r="94" spans="3:4" ht="1.5" customHeight="1">
      <c r="C94" s="380" t="s">
        <v>668</v>
      </c>
      <c r="D94" s="380" t="s">
        <v>668</v>
      </c>
    </row>
    <row r="95" spans="3:4" ht="15" customHeight="1" hidden="1">
      <c r="C95" s="520">
        <f>IF(C35&gt;C37,"See Tab A","")</f>
      </c>
      <c r="D95" s="520">
        <f>IF(D35&gt;D37,"See Tab C","")</f>
      </c>
    </row>
    <row r="96" spans="3:4" ht="15.75" customHeight="1" hidden="1">
      <c r="C96" s="520">
        <f>IF(C36&lt;0,"See Tab B","")</f>
      </c>
      <c r="D96" s="520">
        <f>IF(D36&lt;0,"See Tab D","")</f>
      </c>
    </row>
    <row r="97" spans="3:4" ht="1.5" customHeight="1" hidden="1">
      <c r="C97" s="520">
        <f>IF(C75&gt;C77,"See Tab A","")</f>
      </c>
      <c r="D97" s="520">
        <f>IF(D75&gt;D77,"See Tab C","")</f>
      </c>
    </row>
    <row r="98" spans="3:4" ht="43.5" customHeight="1" hidden="1">
      <c r="C98" s="520">
        <f>IF(C76&lt;0,"See Tab B","")</f>
      </c>
      <c r="D98" s="520">
        <f>IF(D76&lt;0,"See Tab D","")</f>
      </c>
    </row>
    <row r="99" ht="24.75" customHeight="1"/>
  </sheetData>
  <sheetProtection/>
  <mergeCells count="12">
    <mergeCell ref="G33:J33"/>
    <mergeCell ref="G24:J24"/>
    <mergeCell ref="G43:J43"/>
    <mergeCell ref="G66:J66"/>
    <mergeCell ref="G73:J73"/>
    <mergeCell ref="G83:J83"/>
    <mergeCell ref="C82:D82"/>
    <mergeCell ref="C78:D78"/>
    <mergeCell ref="C79:D79"/>
    <mergeCell ref="C38:D38"/>
    <mergeCell ref="C39:D39"/>
    <mergeCell ref="C42:D42"/>
  </mergeCells>
  <conditionalFormatting sqref="C60">
    <cfRule type="cellIs" priority="22" dxfId="0" operator="greaterThan" stopIfTrue="1">
      <formula>$C$62*0.1</formula>
    </cfRule>
  </conditionalFormatting>
  <conditionalFormatting sqref="D60 D18">
    <cfRule type="cellIs" priority="21" dxfId="3" operator="greaterThan" stopIfTrue="1">
      <formula>$D$20*0.1</formula>
    </cfRule>
  </conditionalFormatting>
  <conditionalFormatting sqref="E60">
    <cfRule type="cellIs" priority="20" dxfId="144" operator="greaterThan" stopIfTrue="1">
      <formula>$E$20*0.1+E82</formula>
    </cfRule>
  </conditionalFormatting>
  <conditionalFormatting sqref="C73">
    <cfRule type="cellIs" priority="19" dxfId="0" operator="greaterThan" stopIfTrue="1">
      <formula>$C$75*0.1</formula>
    </cfRule>
  </conditionalFormatting>
  <conditionalFormatting sqref="D73">
    <cfRule type="cellIs" priority="18" dxfId="0" operator="greaterThan" stopIfTrue="1">
      <formula>$D$75*0.1</formula>
    </cfRule>
  </conditionalFormatting>
  <conditionalFormatting sqref="E73">
    <cfRule type="cellIs" priority="17" dxfId="0" operator="greaterThan" stopIfTrue="1">
      <formula>$E$75*0.1</formula>
    </cfRule>
  </conditionalFormatting>
  <conditionalFormatting sqref="C33">
    <cfRule type="cellIs" priority="16" dxfId="0" operator="greaterThan" stopIfTrue="1">
      <formula>$C$35*0.1</formula>
    </cfRule>
  </conditionalFormatting>
  <conditionalFormatting sqref="D33">
    <cfRule type="cellIs" priority="15" dxfId="0" operator="greaterThan" stopIfTrue="1">
      <formula>$D$35*0.1</formula>
    </cfRule>
  </conditionalFormatting>
  <conditionalFormatting sqref="E33">
    <cfRule type="cellIs" priority="14" dxfId="0" operator="greaterThan" stopIfTrue="1">
      <formula>$E$35*0.1</formula>
    </cfRule>
  </conditionalFormatting>
  <conditionalFormatting sqref="C18">
    <cfRule type="cellIs" priority="12" dxfId="3" operator="greaterThan" stopIfTrue="1">
      <formula>$C$20*0.1</formula>
    </cfRule>
  </conditionalFormatting>
  <conditionalFormatting sqref="E18">
    <cfRule type="cellIs" priority="11" dxfId="144" operator="greaterThan" stopIfTrue="1">
      <formula>$E$20*0.1+E42</formula>
    </cfRule>
  </conditionalFormatting>
  <conditionalFormatting sqref="E38">
    <cfRule type="cellIs" priority="10" dxfId="144" operator="greaterThan" stopIfTrue="1">
      <formula>$E$35/0.95-$E$35</formula>
    </cfRule>
  </conditionalFormatting>
  <conditionalFormatting sqref="E78">
    <cfRule type="cellIs" priority="9" dxfId="144" operator="greaterThan" stopIfTrue="1">
      <formula>$E$75/0.95-$E$75</formula>
    </cfRule>
  </conditionalFormatting>
  <conditionalFormatting sqref="C35">
    <cfRule type="cellIs" priority="8" dxfId="0" operator="greaterThan" stopIfTrue="1">
      <formula>$C$37</formula>
    </cfRule>
  </conditionalFormatting>
  <conditionalFormatting sqref="D76">
    <cfRule type="cellIs" priority="7" dxfId="0" operator="lessThan" stopIfTrue="1">
      <formula>0</formula>
    </cfRule>
  </conditionalFormatting>
  <conditionalFormatting sqref="D35">
    <cfRule type="cellIs" priority="6" dxfId="0" operator="greaterThan" stopIfTrue="1">
      <formula>$D$37</formula>
    </cfRule>
  </conditionalFormatting>
  <conditionalFormatting sqref="C75">
    <cfRule type="cellIs" priority="4" dxfId="0" operator="greaterThan" stopIfTrue="1">
      <formula>$C$77</formula>
    </cfRule>
  </conditionalFormatting>
  <conditionalFormatting sqref="D75">
    <cfRule type="cellIs" priority="2" dxfId="0" operator="greaterThan" stopIfTrue="1">
      <formula>$D$77</formula>
    </cfRule>
  </conditionalFormatting>
  <printOptions/>
  <pageMargins left="0.75" right="0.75" top="1" bottom="1" header="0.5" footer="0.5"/>
  <pageSetup blackAndWhite="1" fitToHeight="1" fitToWidth="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view="pageBreakPreview" zoomScaleSheetLayoutView="100" zoomScalePageLayoutView="0" workbookViewId="0" topLeftCell="A1">
      <selection activeCell="D81" sqref="D81"/>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6" width="8.898437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196" t="str">
        <f>(inputPrYr!D2)</f>
        <v>City of Fredonia</v>
      </c>
      <c r="C1" s="46"/>
      <c r="D1" s="46"/>
      <c r="E1" s="247">
        <f>inputPrYr!C5</f>
        <v>2014</v>
      </c>
    </row>
    <row r="2" spans="2:5" ht="15.75">
      <c r="B2" s="46"/>
      <c r="C2" s="46"/>
      <c r="D2" s="46"/>
      <c r="E2" s="168"/>
    </row>
    <row r="3" spans="2:5" ht="15.75">
      <c r="B3" s="248" t="s">
        <v>169</v>
      </c>
      <c r="C3" s="200"/>
      <c r="D3" s="200"/>
      <c r="E3" s="286"/>
    </row>
    <row r="4" spans="2:5" ht="15.75">
      <c r="B4" s="51" t="s">
        <v>103</v>
      </c>
      <c r="C4" s="705" t="s">
        <v>937</v>
      </c>
      <c r="D4" s="706" t="s">
        <v>938</v>
      </c>
      <c r="E4" s="143" t="s">
        <v>939</v>
      </c>
    </row>
    <row r="5" spans="2:5" ht="15.75">
      <c r="B5" s="525" t="str">
        <f>inputPrYr!B21</f>
        <v>Industrial Development</v>
      </c>
      <c r="C5" s="224" t="str">
        <f>CONCATENATE("Actual for ",E1-2,"")</f>
        <v>Actual for 2012</v>
      </c>
      <c r="D5" s="224" t="str">
        <f>CONCATENATE("Estimate for ",E1-1,"")</f>
        <v>Estimate for 2013</v>
      </c>
      <c r="E5" s="207" t="str">
        <f>CONCATENATE("Year for ",E1,"")</f>
        <v>Year for 2014</v>
      </c>
    </row>
    <row r="6" spans="2:5" ht="15.75">
      <c r="B6" s="251" t="s">
        <v>224</v>
      </c>
      <c r="C6" s="255">
        <v>46110</v>
      </c>
      <c r="D6" s="253">
        <f>C34</f>
        <v>149385</v>
      </c>
      <c r="E6" s="227">
        <f>D34</f>
        <v>309</v>
      </c>
    </row>
    <row r="7" spans="2:5" ht="15.75">
      <c r="B7" s="254" t="s">
        <v>226</v>
      </c>
      <c r="C7" s="158"/>
      <c r="D7" s="158"/>
      <c r="E7" s="86"/>
    </row>
    <row r="8" spans="2:5" ht="15.75">
      <c r="B8" s="149" t="s">
        <v>104</v>
      </c>
      <c r="C8" s="255">
        <v>20544</v>
      </c>
      <c r="D8" s="253">
        <v>34344</v>
      </c>
      <c r="E8" s="284" t="s">
        <v>93</v>
      </c>
    </row>
    <row r="9" spans="2:5" ht="15.75">
      <c r="B9" s="149" t="s">
        <v>105</v>
      </c>
      <c r="C9" s="255">
        <v>6969</v>
      </c>
      <c r="D9" s="255">
        <v>2390</v>
      </c>
      <c r="E9" s="66">
        <v>2000</v>
      </c>
    </row>
    <row r="10" spans="2:5" ht="15.75">
      <c r="B10" s="149" t="s">
        <v>106</v>
      </c>
      <c r="C10" s="255">
        <v>7010</v>
      </c>
      <c r="D10" s="255">
        <v>3100</v>
      </c>
      <c r="E10" s="227">
        <f>mvalloc!D10</f>
        <v>6313</v>
      </c>
    </row>
    <row r="11" spans="2:5" ht="15.75">
      <c r="B11" s="149" t="s">
        <v>107</v>
      </c>
      <c r="C11" s="255">
        <v>106</v>
      </c>
      <c r="D11" s="255">
        <v>60</v>
      </c>
      <c r="E11" s="227">
        <f>mvalloc!E10</f>
        <v>76</v>
      </c>
    </row>
    <row r="12" spans="2:5" ht="15.75">
      <c r="B12" s="158" t="s">
        <v>201</v>
      </c>
      <c r="C12" s="255">
        <v>215</v>
      </c>
      <c r="D12" s="255">
        <v>150</v>
      </c>
      <c r="E12" s="227">
        <f>mvalloc!F10</f>
        <v>137</v>
      </c>
    </row>
    <row r="13" spans="2:5" ht="15.75">
      <c r="B13" s="66" t="s">
        <v>1090</v>
      </c>
      <c r="C13" s="255">
        <v>469</v>
      </c>
      <c r="D13" s="255">
        <v>1500</v>
      </c>
      <c r="E13" s="66">
        <v>1500</v>
      </c>
    </row>
    <row r="14" spans="2:5" ht="15.75">
      <c r="B14" s="66" t="s">
        <v>1091</v>
      </c>
      <c r="C14" s="255">
        <v>8100</v>
      </c>
      <c r="D14" s="255">
        <v>9750</v>
      </c>
      <c r="E14" s="66">
        <v>9750</v>
      </c>
    </row>
    <row r="15" spans="2:5" ht="15.75">
      <c r="B15" s="271" t="s">
        <v>1092</v>
      </c>
      <c r="C15" s="255">
        <v>116050</v>
      </c>
      <c r="D15" s="255">
        <v>0</v>
      </c>
      <c r="E15" s="66">
        <v>0</v>
      </c>
    </row>
    <row r="16" spans="2:5" ht="15.75">
      <c r="B16" s="271"/>
      <c r="C16" s="255"/>
      <c r="D16" s="255"/>
      <c r="E16" s="66"/>
    </row>
    <row r="17" spans="2:5" ht="15.75">
      <c r="B17" s="259" t="s">
        <v>110</v>
      </c>
      <c r="C17" s="255">
        <v>0</v>
      </c>
      <c r="D17" s="255">
        <v>0</v>
      </c>
      <c r="E17" s="66">
        <v>0</v>
      </c>
    </row>
    <row r="18" spans="2:5" ht="15.75">
      <c r="B18" s="158" t="s">
        <v>14</v>
      </c>
      <c r="C18" s="255">
        <v>0</v>
      </c>
      <c r="D18" s="255">
        <v>0</v>
      </c>
      <c r="E18" s="66">
        <v>0</v>
      </c>
    </row>
    <row r="19" spans="2:5" ht="15.75">
      <c r="B19" s="251" t="s">
        <v>774</v>
      </c>
      <c r="C19" s="260">
        <f>IF(C20*0.1&lt;C18,"Exceed 10% Rule","")</f>
      </c>
      <c r="D19" s="260">
        <f>IF(D20*0.1&lt;D18,"Exceed 10% Rule","")</f>
      </c>
      <c r="E19" s="292">
        <f>IF(E20*0.1+E40&lt;E18,"Exceed 10% Rule","")</f>
      </c>
    </row>
    <row r="20" spans="2:5" ht="15.75">
      <c r="B20" s="262" t="s">
        <v>111</v>
      </c>
      <c r="C20" s="264">
        <f>SUM(C8:C18)</f>
        <v>159463</v>
      </c>
      <c r="D20" s="264">
        <f>SUM(D8:D18)</f>
        <v>51294</v>
      </c>
      <c r="E20" s="265">
        <f>SUM(E8:E18)</f>
        <v>19776</v>
      </c>
    </row>
    <row r="21" spans="2:5" ht="15.75">
      <c r="B21" s="262" t="s">
        <v>112</v>
      </c>
      <c r="C21" s="268">
        <f>C6+C20</f>
        <v>205573</v>
      </c>
      <c r="D21" s="268">
        <f>D6+D20</f>
        <v>200679</v>
      </c>
      <c r="E21" s="81">
        <f>E6+E20</f>
        <v>20085</v>
      </c>
    </row>
    <row r="22" spans="2:5" ht="15.75">
      <c r="B22" s="149" t="s">
        <v>114</v>
      </c>
      <c r="C22" s="272"/>
      <c r="D22" s="272"/>
      <c r="E22" s="64"/>
    </row>
    <row r="23" spans="2:5" ht="15.75">
      <c r="B23" s="271" t="s">
        <v>1093</v>
      </c>
      <c r="C23" s="255">
        <v>53907</v>
      </c>
      <c r="D23" s="255">
        <v>44885</v>
      </c>
      <c r="E23" s="66">
        <v>37345</v>
      </c>
    </row>
    <row r="24" spans="2:10" ht="15.75">
      <c r="B24" s="271" t="s">
        <v>1094</v>
      </c>
      <c r="C24" s="255">
        <v>2134</v>
      </c>
      <c r="D24" s="255">
        <v>2800</v>
      </c>
      <c r="E24" s="66">
        <v>4800</v>
      </c>
      <c r="G24" s="802" t="str">
        <f>CONCATENATE("Desired Carryover Into ",E1+1,"")</f>
        <v>Desired Carryover Into 2015</v>
      </c>
      <c r="H24" s="794"/>
      <c r="I24" s="794"/>
      <c r="J24" s="795"/>
    </row>
    <row r="25" spans="2:10" ht="15.75">
      <c r="B25" s="271" t="s">
        <v>1095</v>
      </c>
      <c r="C25" s="255">
        <v>0</v>
      </c>
      <c r="D25" s="255">
        <v>50510</v>
      </c>
      <c r="E25" s="66">
        <v>0</v>
      </c>
      <c r="G25" s="642"/>
      <c r="H25" s="643"/>
      <c r="I25" s="644"/>
      <c r="J25" s="645"/>
    </row>
    <row r="26" spans="2:10" ht="15.75">
      <c r="B26" s="271" t="s">
        <v>1096</v>
      </c>
      <c r="C26" s="255">
        <v>147</v>
      </c>
      <c r="D26" s="255">
        <v>300</v>
      </c>
      <c r="E26" s="66">
        <v>500</v>
      </c>
      <c r="G26" s="646" t="s">
        <v>762</v>
      </c>
      <c r="H26" s="644"/>
      <c r="I26" s="644"/>
      <c r="J26" s="647">
        <v>0</v>
      </c>
    </row>
    <row r="27" spans="2:10" ht="15.75">
      <c r="B27" s="271" t="s">
        <v>1097</v>
      </c>
      <c r="C27" s="255">
        <v>0</v>
      </c>
      <c r="D27" s="255">
        <v>0</v>
      </c>
      <c r="E27" s="66">
        <v>10000</v>
      </c>
      <c r="G27" s="642" t="s">
        <v>763</v>
      </c>
      <c r="H27" s="643"/>
      <c r="I27" s="643"/>
      <c r="J27" s="648">
        <f>IF(J26=0,"",ROUND((J26+E40-G39)/inputOth!E7*1000,3)-G44)</f>
      </c>
    </row>
    <row r="28" spans="2:10" ht="15.75">
      <c r="B28" s="271" t="s">
        <v>1166</v>
      </c>
      <c r="C28" s="255">
        <v>0</v>
      </c>
      <c r="D28" s="255">
        <v>101875</v>
      </c>
      <c r="E28" s="66">
        <v>0</v>
      </c>
      <c r="G28" s="649" t="str">
        <f>CONCATENATE("",E1," Tot Exp/Non-Appr Must Be:")</f>
        <v>2014 Tot Exp/Non-Appr Must Be:</v>
      </c>
      <c r="H28" s="650"/>
      <c r="I28" s="651"/>
      <c r="J28" s="652">
        <f>IF(J26&gt;0,IF(E37&lt;E21,IF(J26=G39,E37,((J26-G39)*(1-D39))+E21),E37+(J26-G39)),0)</f>
        <v>0</v>
      </c>
    </row>
    <row r="29" spans="2:10" ht="15.75">
      <c r="B29" s="271"/>
      <c r="C29" s="255"/>
      <c r="D29" s="255"/>
      <c r="E29" s="66"/>
      <c r="G29" s="653" t="s">
        <v>881</v>
      </c>
      <c r="H29" s="654"/>
      <c r="I29" s="654"/>
      <c r="J29" s="655">
        <f>IF(J26&gt;0,J28-E37,0)</f>
        <v>0</v>
      </c>
    </row>
    <row r="30" spans="2:10" ht="15.75">
      <c r="B30" s="272" t="s">
        <v>13</v>
      </c>
      <c r="C30" s="255">
        <v>0</v>
      </c>
      <c r="D30" s="255"/>
      <c r="E30" s="81">
        <f>nhood!E9</f>
        <v>82</v>
      </c>
      <c r="J30" s="2"/>
    </row>
    <row r="31" spans="2:10" ht="15.75">
      <c r="B31" s="272" t="s">
        <v>14</v>
      </c>
      <c r="C31" s="255">
        <v>0</v>
      </c>
      <c r="D31" s="255">
        <v>0</v>
      </c>
      <c r="E31" s="66">
        <v>0</v>
      </c>
      <c r="G31" s="802" t="str">
        <f>CONCATENATE("Projected Carryover Into ",E1+1,"")</f>
        <v>Projected Carryover Into 2015</v>
      </c>
      <c r="H31" s="806"/>
      <c r="I31" s="806"/>
      <c r="J31" s="804"/>
    </row>
    <row r="32" spans="2:10" ht="15.75">
      <c r="B32" s="272" t="s">
        <v>775</v>
      </c>
      <c r="C32" s="260">
        <f>IF(C33*0.1&lt;C31,"Exceed 10% Rule","")</f>
      </c>
      <c r="D32" s="260">
        <f>IF(D33*0.1&lt;D31,"Exceed 10% Rule","")</f>
      </c>
      <c r="E32" s="292">
        <f>IF(E33*0.1&lt;E31,"Exceed 10% Rule","")</f>
      </c>
      <c r="G32" s="642"/>
      <c r="H32" s="644"/>
      <c r="I32" s="644"/>
      <c r="J32" s="657"/>
    </row>
    <row r="33" spans="2:10" ht="15.75">
      <c r="B33" s="262" t="s">
        <v>118</v>
      </c>
      <c r="C33" s="264">
        <f>SUM(C23:C31)</f>
        <v>56188</v>
      </c>
      <c r="D33" s="264">
        <f>SUM(D23:D31)</f>
        <v>200370</v>
      </c>
      <c r="E33" s="265">
        <f>SUM(E23:E31)</f>
        <v>52727</v>
      </c>
      <c r="G33" s="658">
        <f>D34</f>
        <v>309</v>
      </c>
      <c r="H33" s="625" t="str">
        <f>CONCATENATE("",E1-1," Ending Cash Balance (est.)")</f>
        <v>2013 Ending Cash Balance (est.)</v>
      </c>
      <c r="I33" s="659"/>
      <c r="J33" s="657"/>
    </row>
    <row r="34" spans="2:10" ht="15.75">
      <c r="B34" s="149" t="s">
        <v>225</v>
      </c>
      <c r="C34" s="268">
        <f>C21-C33</f>
        <v>149385</v>
      </c>
      <c r="D34" s="268">
        <f>D21-D33</f>
        <v>309</v>
      </c>
      <c r="E34" s="284" t="s">
        <v>93</v>
      </c>
      <c r="G34" s="658">
        <f>E20</f>
        <v>19776</v>
      </c>
      <c r="H34" s="644" t="str">
        <f>CONCATENATE("",E1," Non-AV Receipts (est.)")</f>
        <v>2014 Non-AV Receipts (est.)</v>
      </c>
      <c r="I34" s="659"/>
      <c r="J34" s="657"/>
    </row>
    <row r="35" spans="2:11" ht="15.75">
      <c r="B35" s="135" t="str">
        <f>CONCATENATE("",E1-2,"/",E1-1," Budget Authority Amount:")</f>
        <v>2012/2013 Budget Authority Amount:</v>
      </c>
      <c r="C35" s="240">
        <f>inputOth!B63</f>
        <v>60392</v>
      </c>
      <c r="D35" s="240">
        <f>inputPrYr!D21</f>
        <v>50059</v>
      </c>
      <c r="E35" s="284" t="s">
        <v>93</v>
      </c>
      <c r="F35" s="274"/>
      <c r="G35" s="660">
        <f>IF(E39&gt;0,E38,E40)</f>
        <v>32642</v>
      </c>
      <c r="H35" s="644" t="str">
        <f>CONCATENATE("",E1," Ad Valorem Tax (est.)")</f>
        <v>2014 Ad Valorem Tax (est.)</v>
      </c>
      <c r="I35" s="659"/>
      <c r="J35" s="638"/>
      <c r="K35" s="634" t="str">
        <f>IF(G35=E40,"","Note: Does not include Delinquent Taxes")</f>
        <v>Note: Does not include Delinquent Taxes</v>
      </c>
    </row>
    <row r="36" spans="2:10" ht="15.75">
      <c r="B36" s="135"/>
      <c r="C36" s="788" t="s">
        <v>665</v>
      </c>
      <c r="D36" s="789"/>
      <c r="E36" s="66"/>
      <c r="F36" s="729">
        <f>IF(E33/0.95-E33&lt;E36,"Exceeds 5%","")</f>
      </c>
      <c r="G36" s="658">
        <f>SUM(G33:G35)</f>
        <v>52727</v>
      </c>
      <c r="H36" s="644" t="str">
        <f>CONCATENATE("Total ",E1," Resources Available")</f>
        <v>Total 2014 Resources Available</v>
      </c>
      <c r="I36" s="659"/>
      <c r="J36" s="657"/>
    </row>
    <row r="37" spans="2:10" ht="15.75">
      <c r="B37" s="521" t="str">
        <f>CONCATENATE(C94,"     ",D94)</f>
        <v>     </v>
      </c>
      <c r="C37" s="790" t="s">
        <v>666</v>
      </c>
      <c r="D37" s="791"/>
      <c r="E37" s="227">
        <f>E33+E36</f>
        <v>52727</v>
      </c>
      <c r="G37" s="695"/>
      <c r="H37" s="644"/>
      <c r="I37" s="644"/>
      <c r="J37" s="657"/>
    </row>
    <row r="38" spans="2:10" ht="15.75">
      <c r="B38" s="521" t="str">
        <f>CONCATENATE(C95,"     ",D95)</f>
        <v>     </v>
      </c>
      <c r="C38" s="275"/>
      <c r="D38" s="168" t="s">
        <v>119</v>
      </c>
      <c r="E38" s="81">
        <f>IF(E37-E21&gt;0,E37-E21,0)</f>
        <v>32642</v>
      </c>
      <c r="G38" s="660">
        <f>ROUND(C33*0.05+C33,0)</f>
        <v>58997</v>
      </c>
      <c r="H38" s="644" t="str">
        <f>CONCATENATE("Less ",E1-2," Expenditures + 5%")</f>
        <v>Less 2012 Expenditures + 5%</v>
      </c>
      <c r="I38" s="659"/>
      <c r="J38" s="657"/>
    </row>
    <row r="39" spans="2:10" ht="15.75">
      <c r="B39" s="168"/>
      <c r="C39" s="377" t="s">
        <v>664</v>
      </c>
      <c r="D39" s="719">
        <f>inputOth!$E$47</f>
        <v>0.049</v>
      </c>
      <c r="E39" s="227">
        <f>ROUND(IF(D39&gt;0,(E38*D39),0),0)</f>
        <v>1599</v>
      </c>
      <c r="G39" s="696">
        <f>G36-G38</f>
        <v>-6270</v>
      </c>
      <c r="H39" s="697" t="str">
        <f>CONCATENATE("Projected ",E1+1," carryover (est.)")</f>
        <v>Projected 2015 carryover (est.)</v>
      </c>
      <c r="I39" s="698"/>
      <c r="J39" s="670"/>
    </row>
    <row r="40" spans="2:10" ht="16.5" thickBot="1">
      <c r="B40" s="168"/>
      <c r="C40" s="792" t="str">
        <f>CONCATENATE("Amount of  ",$E$1-1," Ad Valorem Tax")</f>
        <v>Amount of  2013 Ad Valorem Tax</v>
      </c>
      <c r="D40" s="793"/>
      <c r="E40" s="641">
        <f>E38+E39</f>
        <v>34241</v>
      </c>
      <c r="G40" s="2"/>
      <c r="H40" s="2"/>
      <c r="I40" s="2"/>
      <c r="J40" s="2"/>
    </row>
    <row r="41" spans="2:10" ht="16.5" thickTop="1">
      <c r="B41" s="46"/>
      <c r="C41" s="792"/>
      <c r="D41" s="805"/>
      <c r="E41" s="75"/>
      <c r="G41" s="796" t="s">
        <v>880</v>
      </c>
      <c r="H41" s="797"/>
      <c r="I41" s="797"/>
      <c r="J41" s="798"/>
    </row>
    <row r="42" spans="2:10" ht="15.75">
      <c r="B42" s="51"/>
      <c r="C42" s="287"/>
      <c r="D42" s="287"/>
      <c r="E42" s="287"/>
      <c r="G42" s="624"/>
      <c r="H42" s="625"/>
      <c r="I42" s="626"/>
      <c r="J42" s="627"/>
    </row>
    <row r="43" spans="2:10" ht="15.75">
      <c r="B43" s="51" t="s">
        <v>103</v>
      </c>
      <c r="C43" s="705" t="s">
        <v>937</v>
      </c>
      <c r="D43" s="706" t="s">
        <v>938</v>
      </c>
      <c r="E43" s="143" t="s">
        <v>939</v>
      </c>
      <c r="G43" s="628">
        <f>summ!H18</f>
        <v>3.14</v>
      </c>
      <c r="H43" s="625" t="str">
        <f>CONCATENATE("",E1," Fund Mill Rate")</f>
        <v>2014 Fund Mill Rate</v>
      </c>
      <c r="I43" s="626"/>
      <c r="J43" s="627"/>
    </row>
    <row r="44" spans="2:10" ht="15.75">
      <c r="B44" s="525">
        <f>(inputPrYr!B22)</f>
        <v>0</v>
      </c>
      <c r="C44" s="224" t="str">
        <f>CONCATENATE("Actual for ",E1-2,"")</f>
        <v>Actual for 2012</v>
      </c>
      <c r="D44" s="224" t="str">
        <f>CONCATENATE("Estimate for ",E1-1,"")</f>
        <v>Estimate for 2013</v>
      </c>
      <c r="E44" s="207" t="str">
        <f>CONCATENATE("Year for ",E1,"")</f>
        <v>Year for 2014</v>
      </c>
      <c r="G44" s="629">
        <f>summ!E18</f>
        <v>3.525</v>
      </c>
      <c r="H44" s="625" t="str">
        <f>CONCATENATE("",E1-1," Fund Mill Rate")</f>
        <v>2013 Fund Mill Rate</v>
      </c>
      <c r="I44" s="626"/>
      <c r="J44" s="627"/>
    </row>
    <row r="45" spans="2:10" ht="15.75">
      <c r="B45" s="251" t="s">
        <v>224</v>
      </c>
      <c r="C45" s="255"/>
      <c r="D45" s="253">
        <f>C74</f>
        <v>0</v>
      </c>
      <c r="E45" s="227">
        <f>D74</f>
        <v>0</v>
      </c>
      <c r="G45" s="630">
        <f>summ!H52</f>
        <v>53.329</v>
      </c>
      <c r="H45" s="625" t="str">
        <f>CONCATENATE("Total ",E1," Mill Rate")</f>
        <v>Total 2014 Mill Rate</v>
      </c>
      <c r="I45" s="626"/>
      <c r="J45" s="627"/>
    </row>
    <row r="46" spans="2:10" ht="15.75">
      <c r="B46" s="254" t="s">
        <v>226</v>
      </c>
      <c r="C46" s="158"/>
      <c r="D46" s="158"/>
      <c r="E46" s="86"/>
      <c r="G46" s="629">
        <f>summ!E52</f>
        <v>53.337</v>
      </c>
      <c r="H46" s="631" t="str">
        <f>CONCATENATE("Total ",E1-1," Mill Rate")</f>
        <v>Total 2013 Mill Rate</v>
      </c>
      <c r="I46" s="632"/>
      <c r="J46" s="633"/>
    </row>
    <row r="47" spans="2:5" ht="15.75">
      <c r="B47" s="149" t="s">
        <v>104</v>
      </c>
      <c r="C47" s="255"/>
      <c r="D47" s="253">
        <f>IF(inputPrYr!H16&gt;0,inputPrYr!G22,inputPrYr!E22)</f>
        <v>0</v>
      </c>
      <c r="E47" s="284" t="s">
        <v>93</v>
      </c>
    </row>
    <row r="48" spans="2:9" ht="15.75">
      <c r="B48" s="149" t="s">
        <v>105</v>
      </c>
      <c r="C48" s="255"/>
      <c r="D48" s="255"/>
      <c r="E48" s="66"/>
      <c r="G48" s="739" t="s">
        <v>993</v>
      </c>
      <c r="H48" s="738"/>
      <c r="I48" s="737" t="str">
        <f>cert!F58</f>
        <v>Yes</v>
      </c>
    </row>
    <row r="49" spans="2:5" ht="15.75">
      <c r="B49" s="149" t="s">
        <v>106</v>
      </c>
      <c r="C49" s="255"/>
      <c r="D49" s="255"/>
      <c r="E49" s="227" t="str">
        <f>mvalloc!D11</f>
        <v>  </v>
      </c>
    </row>
    <row r="50" spans="2:5" ht="15.75">
      <c r="B50" s="149" t="s">
        <v>107</v>
      </c>
      <c r="C50" s="255"/>
      <c r="D50" s="255"/>
      <c r="E50" s="227" t="str">
        <f>mvalloc!E11</f>
        <v> </v>
      </c>
    </row>
    <row r="51" spans="2:5" ht="15.75">
      <c r="B51" s="158" t="s">
        <v>201</v>
      </c>
      <c r="C51" s="255"/>
      <c r="D51" s="255"/>
      <c r="E51" s="227" t="str">
        <f>mvalloc!F11</f>
        <v> </v>
      </c>
    </row>
    <row r="52" spans="2:5" ht="15.75">
      <c r="B52" s="271"/>
      <c r="C52" s="255"/>
      <c r="D52" s="255"/>
      <c r="E52" s="66"/>
    </row>
    <row r="53" spans="2:5" ht="15.75">
      <c r="B53" s="271"/>
      <c r="C53" s="255"/>
      <c r="D53" s="255"/>
      <c r="E53" s="66"/>
    </row>
    <row r="54" spans="2:5" ht="15.75">
      <c r="B54" s="271"/>
      <c r="C54" s="255"/>
      <c r="D54" s="255"/>
      <c r="E54" s="66"/>
    </row>
    <row r="55" spans="2:5" ht="15.75">
      <c r="B55" s="271"/>
      <c r="C55" s="255"/>
      <c r="D55" s="255"/>
      <c r="E55" s="66"/>
    </row>
    <row r="56" spans="2:5" ht="15.75">
      <c r="B56" s="271"/>
      <c r="C56" s="255"/>
      <c r="D56" s="255"/>
      <c r="E56" s="66"/>
    </row>
    <row r="57" spans="2:5" ht="15.75">
      <c r="B57" s="259" t="s">
        <v>110</v>
      </c>
      <c r="C57" s="255"/>
      <c r="D57" s="255"/>
      <c r="E57" s="66"/>
    </row>
    <row r="58" spans="2:5" ht="15.75">
      <c r="B58" s="158" t="s">
        <v>14</v>
      </c>
      <c r="C58" s="255"/>
      <c r="D58" s="255"/>
      <c r="E58" s="66"/>
    </row>
    <row r="59" spans="2:5" ht="15.75">
      <c r="B59" s="251" t="s">
        <v>774</v>
      </c>
      <c r="C59" s="260">
        <f>IF(C60*0.1&lt;C58,"Exceed 10% Rule","")</f>
      </c>
      <c r="D59" s="260">
        <f>IF(D60*0.1&lt;D58,"Exceed 10% Rule","")</f>
      </c>
      <c r="E59" s="292">
        <f>IF(E60*0.1+E80&lt;E58,"Exceed 10% Rule","")</f>
      </c>
    </row>
    <row r="60" spans="2:5" ht="15.75">
      <c r="B60" s="262" t="s">
        <v>111</v>
      </c>
      <c r="C60" s="264">
        <f>SUM(C47:C58)</f>
        <v>0</v>
      </c>
      <c r="D60" s="264">
        <f>SUM(D47:D58)</f>
        <v>0</v>
      </c>
      <c r="E60" s="265">
        <f>SUM(E47:E58)</f>
        <v>0</v>
      </c>
    </row>
    <row r="61" spans="2:5" ht="15.75">
      <c r="B61" s="262" t="s">
        <v>112</v>
      </c>
      <c r="C61" s="264">
        <f>C45+C60</f>
        <v>0</v>
      </c>
      <c r="D61" s="264">
        <f>D45+D60</f>
        <v>0</v>
      </c>
      <c r="E61" s="265">
        <f>E45+E60</f>
        <v>0</v>
      </c>
    </row>
    <row r="62" spans="2:5" ht="15.75">
      <c r="B62" s="149" t="s">
        <v>114</v>
      </c>
      <c r="C62" s="272"/>
      <c r="D62" s="272"/>
      <c r="E62" s="64"/>
    </row>
    <row r="63" spans="2:5" ht="15.75">
      <c r="B63" s="271"/>
      <c r="C63" s="255"/>
      <c r="D63" s="255"/>
      <c r="E63" s="66"/>
    </row>
    <row r="64" spans="2:10" ht="15.75">
      <c r="B64" s="271"/>
      <c r="C64" s="255"/>
      <c r="D64" s="255"/>
      <c r="E64" s="66"/>
      <c r="G64" s="802" t="str">
        <f>CONCATENATE("Desired Carryover Into ",E1+1,"")</f>
        <v>Desired Carryover Into 2015</v>
      </c>
      <c r="H64" s="794"/>
      <c r="I64" s="794"/>
      <c r="J64" s="795"/>
    </row>
    <row r="65" spans="2:10" ht="15.75">
      <c r="B65" s="271"/>
      <c r="C65" s="255"/>
      <c r="D65" s="255"/>
      <c r="E65" s="66"/>
      <c r="G65" s="642"/>
      <c r="H65" s="643"/>
      <c r="I65" s="644"/>
      <c r="J65" s="645"/>
    </row>
    <row r="66" spans="2:10" ht="15.75">
      <c r="B66" s="271"/>
      <c r="C66" s="255"/>
      <c r="D66" s="255"/>
      <c r="E66" s="66"/>
      <c r="G66" s="646" t="s">
        <v>762</v>
      </c>
      <c r="H66" s="644"/>
      <c r="I66" s="644"/>
      <c r="J66" s="647">
        <v>0</v>
      </c>
    </row>
    <row r="67" spans="2:10" ht="15.75">
      <c r="B67" s="271"/>
      <c r="C67" s="255"/>
      <c r="D67" s="255"/>
      <c r="E67" s="66"/>
      <c r="G67" s="642" t="s">
        <v>763</v>
      </c>
      <c r="H67" s="643"/>
      <c r="I67" s="643"/>
      <c r="J67" s="648">
        <f>IF(J66=0,"",ROUND((J66+E80-G79)/inputOth!E7*1000,3)-G84)</f>
      </c>
    </row>
    <row r="68" spans="2:10" ht="15.75">
      <c r="B68" s="271"/>
      <c r="C68" s="255"/>
      <c r="D68" s="255"/>
      <c r="E68" s="66"/>
      <c r="G68" s="649" t="str">
        <f>CONCATENATE("",E1," Tot Exp/Non-Appr Must Be:")</f>
        <v>2014 Tot Exp/Non-Appr Must Be:</v>
      </c>
      <c r="H68" s="650"/>
      <c r="I68" s="651"/>
      <c r="J68" s="652">
        <f>IF(J66&gt;0,IF(E77&lt;E61,IF(J66=G79,E77,((J66-G79)*(1-D79))+E61),E77+(J66-G79)),0)</f>
        <v>0</v>
      </c>
    </row>
    <row r="69" spans="2:10" ht="15.75">
      <c r="B69" s="271"/>
      <c r="C69" s="255"/>
      <c r="D69" s="255"/>
      <c r="E69" s="66"/>
      <c r="G69" s="653" t="s">
        <v>881</v>
      </c>
      <c r="H69" s="654"/>
      <c r="I69" s="654"/>
      <c r="J69" s="655">
        <f>IF(J66&gt;0,J68-E77,0)</f>
        <v>0</v>
      </c>
    </row>
    <row r="70" spans="2:10" ht="15.75">
      <c r="B70" s="272" t="s">
        <v>13</v>
      </c>
      <c r="C70" s="255"/>
      <c r="D70" s="255"/>
      <c r="E70" s="81">
        <f>nhood!E10</f>
      </c>
      <c r="J70" s="2"/>
    </row>
    <row r="71" spans="2:10" ht="15.75">
      <c r="B71" s="272" t="s">
        <v>14</v>
      </c>
      <c r="C71" s="255"/>
      <c r="D71" s="255"/>
      <c r="E71" s="66"/>
      <c r="G71" s="802" t="str">
        <f>CONCATENATE("Projected Carryover Into ",E1+1,"")</f>
        <v>Projected Carryover Into 2015</v>
      </c>
      <c r="H71" s="803"/>
      <c r="I71" s="803"/>
      <c r="J71" s="804"/>
    </row>
    <row r="72" spans="2:10" ht="15.75">
      <c r="B72" s="272" t="s">
        <v>775</v>
      </c>
      <c r="C72" s="260">
        <f>IF(C73*0.1&lt;C71,"Exceed 10% Rule","")</f>
      </c>
      <c r="D72" s="260">
        <f>IF(D73*0.1&lt;D71,"Exceed 10% Rule","")</f>
      </c>
      <c r="E72" s="292">
        <f>IF(E73*0.1&lt;E71,"Exceed 10% Rule","")</f>
      </c>
      <c r="G72" s="656"/>
      <c r="H72" s="643"/>
      <c r="I72" s="643"/>
      <c r="J72" s="663"/>
    </row>
    <row r="73" spans="2:10" ht="15.75">
      <c r="B73" s="262" t="s">
        <v>118</v>
      </c>
      <c r="C73" s="264">
        <f>SUM(C63:C71)</f>
        <v>0</v>
      </c>
      <c r="D73" s="264">
        <f>SUM(D63:D71)</f>
        <v>0</v>
      </c>
      <c r="E73" s="265">
        <f>SUM(E63:E71)</f>
        <v>0</v>
      </c>
      <c r="G73" s="658">
        <f>D74</f>
        <v>0</v>
      </c>
      <c r="H73" s="625" t="str">
        <f>CONCATENATE("",E1-1," Ending Cash Balance (est.)")</f>
        <v>2013 Ending Cash Balance (est.)</v>
      </c>
      <c r="I73" s="659"/>
      <c r="J73" s="663"/>
    </row>
    <row r="74" spans="2:10" ht="15.75">
      <c r="B74" s="149" t="s">
        <v>225</v>
      </c>
      <c r="C74" s="268">
        <f>C61-C73</f>
        <v>0</v>
      </c>
      <c r="D74" s="268">
        <f>D61-D73</f>
        <v>0</v>
      </c>
      <c r="E74" s="284" t="s">
        <v>93</v>
      </c>
      <c r="G74" s="658">
        <f>E60</f>
        <v>0</v>
      </c>
      <c r="H74" s="644" t="str">
        <f>CONCATENATE("",E1," Non-AV Receipts (est.)")</f>
        <v>2014 Non-AV Receipts (est.)</v>
      </c>
      <c r="I74" s="659"/>
      <c r="J74" s="663"/>
    </row>
    <row r="75" spans="2:11" ht="15.75">
      <c r="B75" s="135" t="str">
        <f>CONCATENATE("",E1-2,"/",E1-1," Budget Authority Amount:")</f>
        <v>2012/2013 Budget Authority Amount:</v>
      </c>
      <c r="C75" s="240">
        <f>inputOth!B64</f>
        <v>0</v>
      </c>
      <c r="D75" s="240">
        <f>inputPrYr!D22</f>
        <v>0</v>
      </c>
      <c r="E75" s="284" t="s">
        <v>93</v>
      </c>
      <c r="F75" s="274"/>
      <c r="G75" s="660">
        <f>IF(D79&gt;0,E78,E80)</f>
        <v>0</v>
      </c>
      <c r="H75" s="644" t="str">
        <f>CONCATENATE("",E1," Ad Valorem Tax (est.)")</f>
        <v>2014 Ad Valorem Tax (est.)</v>
      </c>
      <c r="I75" s="659"/>
      <c r="J75" s="663"/>
      <c r="K75" s="634">
        <f>IF(G75=E80,"","Note: Does not include Delinquent Taxes")</f>
      </c>
    </row>
    <row r="76" spans="2:10" ht="15.75">
      <c r="B76" s="135"/>
      <c r="C76" s="788" t="s">
        <v>665</v>
      </c>
      <c r="D76" s="789"/>
      <c r="E76" s="66"/>
      <c r="F76" s="729">
        <f>IF(E73/0.95-E73&lt;E76,"Exceeds 5%","")</f>
      </c>
      <c r="G76" s="662">
        <f>SUM(G73:G75)</f>
        <v>0</v>
      </c>
      <c r="H76" s="644" t="str">
        <f>CONCATENATE("Total ",E1," Resources Available")</f>
        <v>Total 2014 Resources Available</v>
      </c>
      <c r="I76" s="663"/>
      <c r="J76" s="663"/>
    </row>
    <row r="77" spans="2:10" ht="15.75">
      <c r="B77" s="521" t="str">
        <f>CONCATENATE(C96,"     ",D96)</f>
        <v>     </v>
      </c>
      <c r="C77" s="790" t="s">
        <v>666</v>
      </c>
      <c r="D77" s="791"/>
      <c r="E77" s="227">
        <f>E73+E76</f>
        <v>0</v>
      </c>
      <c r="G77" s="664"/>
      <c r="H77" s="665"/>
      <c r="I77" s="643"/>
      <c r="J77" s="663"/>
    </row>
    <row r="78" spans="2:10" ht="15.75">
      <c r="B78" s="521" t="str">
        <f>CONCATENATE(C97,"     ",D97)</f>
        <v>     </v>
      </c>
      <c r="C78" s="275"/>
      <c r="D78" s="168" t="s">
        <v>119</v>
      </c>
      <c r="E78" s="81">
        <f>IF(E77-E61&gt;0,E77-E61,0)</f>
        <v>0</v>
      </c>
      <c r="G78" s="666">
        <f>ROUND(C73*0.05+C73,0)</f>
        <v>0</v>
      </c>
      <c r="H78" s="665" t="str">
        <f>CONCATENATE("Less ",E1-2," Expenditures + 5%")</f>
        <v>Less 2012 Expenditures + 5%</v>
      </c>
      <c r="I78" s="663"/>
      <c r="J78" s="663"/>
    </row>
    <row r="79" spans="2:10" ht="15.75">
      <c r="B79" s="168"/>
      <c r="C79" s="377" t="s">
        <v>664</v>
      </c>
      <c r="D79" s="719">
        <f>inputOth!$E$47</f>
        <v>0.049</v>
      </c>
      <c r="E79" s="227">
        <f>ROUND(IF(D79&gt;0,(E78*D79),0),0)</f>
        <v>0</v>
      </c>
      <c r="G79" s="667">
        <f>G76-G78</f>
        <v>0</v>
      </c>
      <c r="H79" s="668" t="str">
        <f>CONCATENATE("Projected ",E1+1," carryover (est.)")</f>
        <v>Projected 2015 carryover (est.)</v>
      </c>
      <c r="I79" s="669"/>
      <c r="J79" s="670"/>
    </row>
    <row r="80" spans="2:9" ht="16.5" thickBot="1">
      <c r="B80" s="46"/>
      <c r="C80" s="792" t="str">
        <f>CONCATENATE("Amount of  ",$E$1-1," Ad Valorem Tax")</f>
        <v>Amount of  2013 Ad Valorem Tax</v>
      </c>
      <c r="D80" s="793"/>
      <c r="E80" s="641">
        <f>E78+E79</f>
        <v>0</v>
      </c>
      <c r="G80" s="2"/>
      <c r="H80" s="2"/>
      <c r="I80" s="2"/>
    </row>
    <row r="81" spans="2:10" ht="16.5" thickTop="1">
      <c r="B81" s="395" t="s">
        <v>121</v>
      </c>
      <c r="C81" s="280">
        <v>10</v>
      </c>
      <c r="D81" s="46"/>
      <c r="E81" s="46"/>
      <c r="G81" s="796" t="s">
        <v>880</v>
      </c>
      <c r="H81" s="797"/>
      <c r="I81" s="797"/>
      <c r="J81" s="798"/>
    </row>
    <row r="82" spans="2:10" ht="15.75">
      <c r="B82" s="32"/>
      <c r="G82" s="624"/>
      <c r="H82" s="625"/>
      <c r="I82" s="626"/>
      <c r="J82" s="627"/>
    </row>
    <row r="83" spans="7:10" ht="15.75">
      <c r="G83" s="628" t="str">
        <f>summ!H19</f>
        <v>  </v>
      </c>
      <c r="H83" s="625" t="str">
        <f>CONCATENATE("",E1," Fund Mill Rate")</f>
        <v>2014 Fund Mill Rate</v>
      </c>
      <c r="I83" s="626"/>
      <c r="J83" s="627"/>
    </row>
    <row r="84" spans="7:10" ht="15.75">
      <c r="G84" s="629" t="str">
        <f>summ!E19</f>
        <v>  </v>
      </c>
      <c r="H84" s="625" t="str">
        <f>CONCATENATE("",E1-1," Fund Mill Rate")</f>
        <v>2013 Fund Mill Rate</v>
      </c>
      <c r="I84" s="626"/>
      <c r="J84" s="627"/>
    </row>
    <row r="85" spans="7:10" ht="15.75">
      <c r="G85" s="630">
        <f>summ!H52</f>
        <v>53.329</v>
      </c>
      <c r="H85" s="625" t="str">
        <f>CONCATENATE("Total ",E1," Mill Rate")</f>
        <v>Total 2014 Mill Rate</v>
      </c>
      <c r="I85" s="626"/>
      <c r="J85" s="627"/>
    </row>
    <row r="86" spans="7:10" ht="15.75">
      <c r="G86" s="629">
        <f>summ!E52</f>
        <v>53.337</v>
      </c>
      <c r="H86" s="631" t="str">
        <f>CONCATENATE("Total ",E1-1," Mill Rate")</f>
        <v>Total 2013 Mill Rate</v>
      </c>
      <c r="I86" s="632"/>
      <c r="J86" s="633"/>
    </row>
    <row r="88" spans="7:9" ht="15.75">
      <c r="G88" s="742" t="s">
        <v>993</v>
      </c>
      <c r="H88" s="741"/>
      <c r="I88" s="740" t="str">
        <f>cert!F58</f>
        <v>Yes</v>
      </c>
    </row>
    <row r="94" spans="3:4" ht="15.75" hidden="1">
      <c r="C94" s="520">
        <f>IF(C33&gt;C35,"See Tab A","")</f>
      </c>
      <c r="D94" s="520">
        <f>IF(D31&gt;D35,"See Tab C","")</f>
      </c>
    </row>
    <row r="95" spans="3:4" ht="15.75" hidden="1">
      <c r="C95" s="520">
        <f>IF(C34&lt;0,"See Tab B","")</f>
      </c>
      <c r="D95" s="520">
        <f>IF(D34&lt;0,"See Tab D","")</f>
      </c>
    </row>
    <row r="96" spans="3:4" ht="15.75" hidden="1">
      <c r="C96" s="520">
        <f>IF(C71&gt;C75,"See Tab A","")</f>
      </c>
      <c r="D96" s="520">
        <f>IF(D71&gt;D75,"See Tab C","")</f>
      </c>
    </row>
    <row r="97" spans="3:4" ht="15.75" hidden="1">
      <c r="C97" s="520">
        <f>IF(C74&lt;0,"See Tab B","")</f>
      </c>
      <c r="D97" s="520">
        <f>IF(D74&lt;0,"See Tab D","")</f>
      </c>
    </row>
  </sheetData>
  <sheetProtection/>
  <mergeCells count="13">
    <mergeCell ref="G24:J24"/>
    <mergeCell ref="G31:J31"/>
    <mergeCell ref="G41:J41"/>
    <mergeCell ref="G64:J64"/>
    <mergeCell ref="G71:J71"/>
    <mergeCell ref="G81:J81"/>
    <mergeCell ref="C76:D76"/>
    <mergeCell ref="C77:D77"/>
    <mergeCell ref="C36:D36"/>
    <mergeCell ref="C37:D37"/>
    <mergeCell ref="C41:D41"/>
    <mergeCell ref="C80:D80"/>
    <mergeCell ref="C40:D40"/>
  </mergeCells>
  <conditionalFormatting sqref="E71">
    <cfRule type="cellIs" priority="3" dxfId="144" operator="greaterThan" stopIfTrue="1">
      <formula>$E$73*0.1</formula>
    </cfRule>
  </conditionalFormatting>
  <conditionalFormatting sqref="E76">
    <cfRule type="cellIs" priority="4" dxfId="144" operator="greaterThan" stopIfTrue="1">
      <formula>$E$73/0.95-$E$73</formula>
    </cfRule>
  </conditionalFormatting>
  <conditionalFormatting sqref="E31">
    <cfRule type="cellIs" priority="5" dxfId="144" operator="greaterThan" stopIfTrue="1">
      <formula>$E$33*0.1</formula>
    </cfRule>
  </conditionalFormatting>
  <conditionalFormatting sqref="E36">
    <cfRule type="cellIs" priority="6" dxfId="144"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18">
    <cfRule type="cellIs" priority="20" dxfId="144" operator="greaterThan" stopIfTrue="1">
      <formula>$E$20*0.1+E40</formula>
    </cfRule>
  </conditionalFormatting>
  <conditionalFormatting sqref="E58">
    <cfRule type="cellIs" priority="21" dxfId="144" operator="greaterThan" stopIfTrue="1">
      <formula>$E$60*0.1+E80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C67" sqref="C67"/>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16384" width="8.8984375" style="44" customWidth="1"/>
  </cols>
  <sheetData>
    <row r="1" spans="2:5" ht="15.75">
      <c r="B1" s="196" t="str">
        <f>(inputPrYr!D2)</f>
        <v>City of Fredonia</v>
      </c>
      <c r="C1" s="46"/>
      <c r="D1" s="46"/>
      <c r="E1" s="247">
        <f>inputPrYr!C5</f>
        <v>2014</v>
      </c>
    </row>
    <row r="2" spans="2:5" ht="15.75">
      <c r="B2" s="46"/>
      <c r="C2" s="46"/>
      <c r="D2" s="46"/>
      <c r="E2" s="168"/>
    </row>
    <row r="3" spans="2:5" ht="15.75">
      <c r="B3" s="248" t="s">
        <v>170</v>
      </c>
      <c r="C3" s="287"/>
      <c r="D3" s="287"/>
      <c r="E3" s="287"/>
    </row>
    <row r="4" spans="2:5" ht="15.75">
      <c r="B4" s="51" t="s">
        <v>103</v>
      </c>
      <c r="C4" s="705" t="s">
        <v>937</v>
      </c>
      <c r="D4" s="706" t="s">
        <v>938</v>
      </c>
      <c r="E4" s="143" t="s">
        <v>939</v>
      </c>
    </row>
    <row r="5" spans="2:5" ht="15.75">
      <c r="B5" s="525" t="str">
        <f>(inputPrYr!B34)</f>
        <v>Special Highway</v>
      </c>
      <c r="C5" s="224" t="str">
        <f>CONCATENATE("Actual for ",E1-2,"")</f>
        <v>Actual for 2012</v>
      </c>
      <c r="D5" s="224" t="str">
        <f>CONCATENATE("Estimate for ",E1-1,"")</f>
        <v>Estimate for 2013</v>
      </c>
      <c r="E5" s="207" t="str">
        <f>CONCATENATE("Year for ",E1,"")</f>
        <v>Year for 2014</v>
      </c>
    </row>
    <row r="6" spans="2:5" ht="15.75">
      <c r="B6" s="251" t="s">
        <v>224</v>
      </c>
      <c r="C6" s="66">
        <v>1992</v>
      </c>
      <c r="D6" s="227">
        <f>C31</f>
        <v>14661</v>
      </c>
      <c r="E6" s="227">
        <f>D31</f>
        <v>11101</v>
      </c>
    </row>
    <row r="7" spans="2:5" ht="15.75">
      <c r="B7" s="254" t="s">
        <v>226</v>
      </c>
      <c r="C7" s="86"/>
      <c r="D7" s="86"/>
      <c r="E7" s="86"/>
    </row>
    <row r="8" spans="2:5" ht="15.75">
      <c r="B8" s="272" t="s">
        <v>204</v>
      </c>
      <c r="C8" s="66">
        <v>63946</v>
      </c>
      <c r="D8" s="288">
        <f>inputOth!E52</f>
        <v>61740</v>
      </c>
      <c r="E8" s="227">
        <f>inputOth!E50</f>
        <v>63950</v>
      </c>
    </row>
    <row r="9" spans="2:5" ht="15.75">
      <c r="B9" s="289" t="s">
        <v>273</v>
      </c>
      <c r="C9" s="66">
        <v>0</v>
      </c>
      <c r="D9" s="288">
        <f>inputOth!E53</f>
        <v>0</v>
      </c>
      <c r="E9" s="288">
        <f>inputOth!E51</f>
        <v>0</v>
      </c>
    </row>
    <row r="10" spans="2:5" ht="15.75">
      <c r="B10" s="271"/>
      <c r="C10" s="66"/>
      <c r="D10" s="66"/>
      <c r="E10" s="66"/>
    </row>
    <row r="11" spans="2:5" ht="15.75">
      <c r="B11" s="271"/>
      <c r="C11" s="66"/>
      <c r="D11" s="66"/>
      <c r="E11" s="66"/>
    </row>
    <row r="12" spans="2:5" ht="15.75">
      <c r="B12" s="271"/>
      <c r="C12" s="66"/>
      <c r="D12" s="66"/>
      <c r="E12" s="66"/>
    </row>
    <row r="13" spans="2:5" ht="15.75">
      <c r="B13" s="271"/>
      <c r="C13" s="66"/>
      <c r="D13" s="66"/>
      <c r="E13" s="66"/>
    </row>
    <row r="14" spans="2:5" ht="15.75">
      <c r="B14" s="259" t="s">
        <v>110</v>
      </c>
      <c r="C14" s="66">
        <v>0</v>
      </c>
      <c r="D14" s="66">
        <v>0</v>
      </c>
      <c r="E14" s="66"/>
    </row>
    <row r="15" spans="2:5" ht="15.75">
      <c r="B15" s="158" t="s">
        <v>14</v>
      </c>
      <c r="C15" s="66">
        <v>0</v>
      </c>
      <c r="D15" s="256">
        <v>0</v>
      </c>
      <c r="E15" s="256"/>
    </row>
    <row r="16" spans="2:5" ht="15.75">
      <c r="B16" s="251" t="s">
        <v>774</v>
      </c>
      <c r="C16" s="292">
        <f>IF(C17*0.1&lt;C15,"Exceed 10% Rule","")</f>
      </c>
      <c r="D16" s="261">
        <f>IF(D17*0.1&lt;D15,"Exceed 10% Rule","")</f>
      </c>
      <c r="E16" s="261">
        <f>IF(E17*0.1&lt;E15,"Exceed 10% Rule","")</f>
      </c>
    </row>
    <row r="17" spans="2:5" ht="15.75">
      <c r="B17" s="262" t="s">
        <v>111</v>
      </c>
      <c r="C17" s="265">
        <f>SUM(C8:C15)</f>
        <v>63946</v>
      </c>
      <c r="D17" s="265">
        <f>SUM(D8:D15)</f>
        <v>61740</v>
      </c>
      <c r="E17" s="265">
        <f>SUM(E8:E15)</f>
        <v>63950</v>
      </c>
    </row>
    <row r="18" spans="2:5" ht="15.75">
      <c r="B18" s="262" t="s">
        <v>112</v>
      </c>
      <c r="C18" s="265">
        <f>C6+C17</f>
        <v>65938</v>
      </c>
      <c r="D18" s="265">
        <f>D6+D17</f>
        <v>76401</v>
      </c>
      <c r="E18" s="265">
        <f>E6+E17</f>
        <v>75051</v>
      </c>
    </row>
    <row r="19" spans="2:5" ht="15.75">
      <c r="B19" s="149" t="s">
        <v>114</v>
      </c>
      <c r="C19" s="227"/>
      <c r="D19" s="227"/>
      <c r="E19" s="227"/>
    </row>
    <row r="20" spans="2:5" ht="15.75">
      <c r="B20" s="271" t="s">
        <v>1093</v>
      </c>
      <c r="C20" s="66">
        <v>0</v>
      </c>
      <c r="D20" s="66">
        <v>0</v>
      </c>
      <c r="E20" s="66"/>
    </row>
    <row r="21" spans="2:5" ht="15.75">
      <c r="B21" s="271" t="s">
        <v>1094</v>
      </c>
      <c r="C21" s="66">
        <v>44029</v>
      </c>
      <c r="D21" s="66">
        <v>12300</v>
      </c>
      <c r="E21" s="66">
        <v>15000</v>
      </c>
    </row>
    <row r="22" spans="2:5" ht="15.75">
      <c r="B22" s="271" t="s">
        <v>1098</v>
      </c>
      <c r="C22" s="66">
        <v>7248</v>
      </c>
      <c r="D22" s="66">
        <v>53000</v>
      </c>
      <c r="E22" s="66">
        <v>60000</v>
      </c>
    </row>
    <row r="23" spans="2:5" ht="15.75">
      <c r="B23" s="271"/>
      <c r="C23" s="66"/>
      <c r="D23" s="66"/>
      <c r="E23" s="66"/>
    </row>
    <row r="24" spans="2:5" ht="15.75">
      <c r="B24" s="271"/>
      <c r="C24" s="66"/>
      <c r="D24" s="66"/>
      <c r="E24" s="66"/>
    </row>
    <row r="25" spans="2:5" ht="15.75">
      <c r="B25" s="271"/>
      <c r="C25" s="66"/>
      <c r="D25" s="66"/>
      <c r="E25" s="66"/>
    </row>
    <row r="26" spans="2:5" ht="15.75">
      <c r="B26" s="271"/>
      <c r="C26" s="66"/>
      <c r="D26" s="66"/>
      <c r="E26" s="66"/>
    </row>
    <row r="27" spans="2:5" ht="15.75">
      <c r="B27" s="271"/>
      <c r="C27" s="66"/>
      <c r="D27" s="66"/>
      <c r="E27" s="66"/>
    </row>
    <row r="28" spans="2:5" ht="15.75">
      <c r="B28" s="272" t="s">
        <v>14</v>
      </c>
      <c r="C28" s="66"/>
      <c r="D28" s="256"/>
      <c r="E28" s="256"/>
    </row>
    <row r="29" spans="2:5" ht="15.75">
      <c r="B29" s="272" t="s">
        <v>775</v>
      </c>
      <c r="C29" s="292">
        <f>IF(C30*0.1&lt;C28,"Exceed 10% Rule","")</f>
      </c>
      <c r="D29" s="261">
        <f>IF(D30*0.1&lt;D28,"Exceed 10% Rule","")</f>
      </c>
      <c r="E29" s="261">
        <f>IF(E30*0.1&lt;E28,"Exceed 10% Rule","")</f>
      </c>
    </row>
    <row r="30" spans="2:5" ht="15.75">
      <c r="B30" s="262" t="s">
        <v>118</v>
      </c>
      <c r="C30" s="265">
        <f>SUM(C20:C28)</f>
        <v>51277</v>
      </c>
      <c r="D30" s="265">
        <f>SUM(D20:D28)</f>
        <v>65300</v>
      </c>
      <c r="E30" s="265">
        <f>SUM(E20:E28)</f>
        <v>75000</v>
      </c>
    </row>
    <row r="31" spans="2:5" ht="15.75">
      <c r="B31" s="149" t="s">
        <v>225</v>
      </c>
      <c r="C31" s="81">
        <f>C18-C30</f>
        <v>14661</v>
      </c>
      <c r="D31" s="81">
        <f>D18-D30</f>
        <v>11101</v>
      </c>
      <c r="E31" s="81">
        <f>E18-E30</f>
        <v>51</v>
      </c>
    </row>
    <row r="32" spans="2:5" ht="15.75">
      <c r="B32" s="135" t="str">
        <f>CONCATENATE("",E1-2,"/",E1-1," Budget Authority Amount:")</f>
        <v>2012/2013 Budget Authority Amount:</v>
      </c>
      <c r="C32" s="240">
        <f>inputOth!B73</f>
        <v>65400</v>
      </c>
      <c r="D32" s="240">
        <f>inputPrYr!D34</f>
        <v>65300</v>
      </c>
      <c r="E32" s="374">
        <f>IF(E31&lt;0,"See Tab E","")</f>
      </c>
    </row>
    <row r="33" spans="2:5" ht="15.75">
      <c r="B33" s="135"/>
      <c r="C33" s="275">
        <f>IF(C30&gt;C32,"See Tab A","")</f>
      </c>
      <c r="D33" s="275">
        <f>IF(D30&gt;D32,"See Tab C","")</f>
      </c>
      <c r="E33" s="96"/>
    </row>
    <row r="34" spans="2:5" ht="15.75">
      <c r="B34" s="135"/>
      <c r="C34" s="275">
        <f>IF(C31&lt;0,"See Tab B","")</f>
      </c>
      <c r="D34" s="275">
        <f>IF(D31&lt;0,"See Tab D","")</f>
      </c>
      <c r="E34" s="96"/>
    </row>
    <row r="35" spans="2:5" ht="15.75">
      <c r="B35" s="46"/>
      <c r="C35" s="96"/>
      <c r="D35" s="96"/>
      <c r="E35" s="96"/>
    </row>
    <row r="36" spans="2:5" ht="15.75">
      <c r="B36" s="51" t="s">
        <v>103</v>
      </c>
      <c r="C36" s="290"/>
      <c r="D36" s="290"/>
      <c r="E36" s="290"/>
    </row>
    <row r="37" spans="2:5" ht="15.75">
      <c r="B37" s="46"/>
      <c r="C37" s="705" t="s">
        <v>937</v>
      </c>
      <c r="D37" s="706" t="s">
        <v>938</v>
      </c>
      <c r="E37" s="143" t="s">
        <v>939</v>
      </c>
    </row>
    <row r="38" spans="2:5" ht="15.75">
      <c r="B38" s="525" t="str">
        <f>(inputPrYr!B35)</f>
        <v>Special Park</v>
      </c>
      <c r="C38" s="224" t="str">
        <f>CONCATENATE("Actual for ",$E$1-2,"")</f>
        <v>Actual for 2012</v>
      </c>
      <c r="D38" s="224" t="str">
        <f>CONCATENATE("Estimate for ",$E$1-1,"")</f>
        <v>Estimate for 2013</v>
      </c>
      <c r="E38" s="207" t="str">
        <f>CONCATENATE("Year for ",$E$1,"")</f>
        <v>Year for 2014</v>
      </c>
    </row>
    <row r="39" spans="2:5" ht="15.75">
      <c r="B39" s="251" t="s">
        <v>224</v>
      </c>
      <c r="C39" s="66">
        <v>1152</v>
      </c>
      <c r="D39" s="227">
        <f>C62</f>
        <v>1847</v>
      </c>
      <c r="E39" s="227">
        <f>D62</f>
        <v>2347</v>
      </c>
    </row>
    <row r="40" spans="2:5" ht="15.75">
      <c r="B40" s="254" t="s">
        <v>226</v>
      </c>
      <c r="C40" s="86"/>
      <c r="D40" s="86"/>
      <c r="E40" s="86"/>
    </row>
    <row r="41" spans="2:5" ht="15.75">
      <c r="B41" s="271" t="s">
        <v>1099</v>
      </c>
      <c r="C41" s="66">
        <v>831</v>
      </c>
      <c r="D41" s="66">
        <v>1000</v>
      </c>
      <c r="E41" s="66">
        <v>1000</v>
      </c>
    </row>
    <row r="42" spans="2:5" ht="15.75">
      <c r="B42" s="271"/>
      <c r="C42" s="66"/>
      <c r="D42" s="66"/>
      <c r="E42" s="66"/>
    </row>
    <row r="43" spans="2:5" ht="15.75">
      <c r="B43" s="271"/>
      <c r="C43" s="66"/>
      <c r="D43" s="66"/>
      <c r="E43" s="66"/>
    </row>
    <row r="44" spans="2:5" ht="15.75">
      <c r="B44" s="271"/>
      <c r="C44" s="66"/>
      <c r="D44" s="66"/>
      <c r="E44" s="66"/>
    </row>
    <row r="45" spans="2:5" ht="15.75">
      <c r="B45" s="259" t="s">
        <v>110</v>
      </c>
      <c r="C45" s="66">
        <v>0</v>
      </c>
      <c r="D45" s="66">
        <v>0</v>
      </c>
      <c r="E45" s="66">
        <v>0</v>
      </c>
    </row>
    <row r="46" spans="2:5" ht="15.75">
      <c r="B46" s="158" t="s">
        <v>14</v>
      </c>
      <c r="C46" s="66">
        <v>0</v>
      </c>
      <c r="D46" s="256">
        <v>0</v>
      </c>
      <c r="E46" s="256">
        <v>0</v>
      </c>
    </row>
    <row r="47" spans="2:5" ht="15.75">
      <c r="B47" s="251" t="s">
        <v>774</v>
      </c>
      <c r="C47" s="292">
        <f>IF(C48*0.1&lt;C46,"Exceed 10% Rule","")</f>
      </c>
      <c r="D47" s="261">
        <f>IF(D48*0.1&lt;D46,"Exceed 10% Rule","")</f>
      </c>
      <c r="E47" s="261">
        <f>IF(E48*0.1&lt;E46,"Exceed 10% Rule","")</f>
      </c>
    </row>
    <row r="48" spans="2:5" ht="15.75">
      <c r="B48" s="262" t="s">
        <v>111</v>
      </c>
      <c r="C48" s="265">
        <f>SUM(C41:C46)</f>
        <v>831</v>
      </c>
      <c r="D48" s="265">
        <f>SUM(D41:D46)</f>
        <v>1000</v>
      </c>
      <c r="E48" s="265">
        <f>SUM(E41:E46)</f>
        <v>1000</v>
      </c>
    </row>
    <row r="49" spans="2:5" ht="15.75">
      <c r="B49" s="262" t="s">
        <v>112</v>
      </c>
      <c r="C49" s="265">
        <f>C39+C48</f>
        <v>1983</v>
      </c>
      <c r="D49" s="265">
        <f>D39+D48</f>
        <v>2847</v>
      </c>
      <c r="E49" s="265">
        <f>E39+E48</f>
        <v>3347</v>
      </c>
    </row>
    <row r="50" spans="2:5" ht="15.75">
      <c r="B50" s="149" t="s">
        <v>114</v>
      </c>
      <c r="C50" s="227"/>
      <c r="D50" s="227"/>
      <c r="E50" s="227"/>
    </row>
    <row r="51" spans="2:5" ht="15.75">
      <c r="B51" s="271" t="s">
        <v>1094</v>
      </c>
      <c r="C51" s="66">
        <v>136</v>
      </c>
      <c r="D51" s="66">
        <v>500</v>
      </c>
      <c r="E51" s="66">
        <v>3300</v>
      </c>
    </row>
    <row r="52" spans="2:5" ht="15.75">
      <c r="B52" s="271" t="s">
        <v>1098</v>
      </c>
      <c r="C52" s="66">
        <v>0</v>
      </c>
      <c r="D52" s="66">
        <v>0</v>
      </c>
      <c r="E52" s="66">
        <v>0</v>
      </c>
    </row>
    <row r="53" spans="2:5" ht="15.75">
      <c r="B53" s="271"/>
      <c r="C53" s="66"/>
      <c r="D53" s="66"/>
      <c r="E53" s="66"/>
    </row>
    <row r="54" spans="2:5" ht="15.75">
      <c r="B54" s="271"/>
      <c r="C54" s="66"/>
      <c r="D54" s="66"/>
      <c r="E54" s="66"/>
    </row>
    <row r="55" spans="2:5" ht="15.75">
      <c r="B55" s="271"/>
      <c r="C55" s="66"/>
      <c r="D55" s="66"/>
      <c r="E55" s="66"/>
    </row>
    <row r="56" spans="2:5" ht="15.75">
      <c r="B56" s="271"/>
      <c r="C56" s="66"/>
      <c r="D56" s="66"/>
      <c r="E56" s="66"/>
    </row>
    <row r="57" spans="2:5" ht="15.75">
      <c r="B57" s="271"/>
      <c r="C57" s="66"/>
      <c r="D57" s="66"/>
      <c r="E57" s="66"/>
    </row>
    <row r="58" spans="2:5" ht="15.75">
      <c r="B58" s="271"/>
      <c r="C58" s="66"/>
      <c r="D58" s="66"/>
      <c r="E58" s="66"/>
    </row>
    <row r="59" spans="2:5" ht="15.75">
      <c r="B59" s="272" t="s">
        <v>14</v>
      </c>
      <c r="C59" s="66"/>
      <c r="D59" s="256"/>
      <c r="E59" s="256"/>
    </row>
    <row r="60" spans="2:5" ht="15.75">
      <c r="B60" s="272" t="s">
        <v>775</v>
      </c>
      <c r="C60" s="292">
        <f>IF(C61*0.1&lt;C59,"Exceed 10% Rule","")</f>
      </c>
      <c r="D60" s="261">
        <f>IF(D61*0.1&lt;D59,"Exceed 10% Rule","")</f>
      </c>
      <c r="E60" s="261">
        <f>IF(E61*0.1&lt;E59,"Exceed 10% Rule","")</f>
      </c>
    </row>
    <row r="61" spans="2:5" ht="15.75">
      <c r="B61" s="262" t="s">
        <v>118</v>
      </c>
      <c r="C61" s="265">
        <f>SUM(C51:C59)</f>
        <v>136</v>
      </c>
      <c r="D61" s="265">
        <f>SUM(D51:D59)</f>
        <v>500</v>
      </c>
      <c r="E61" s="265">
        <f>SUM(E51:E59)</f>
        <v>3300</v>
      </c>
    </row>
    <row r="62" spans="2:5" ht="15.75">
      <c r="B62" s="149" t="s">
        <v>225</v>
      </c>
      <c r="C62" s="81">
        <f>C49-C61</f>
        <v>1847</v>
      </c>
      <c r="D62" s="81">
        <f>D49-D61</f>
        <v>2347</v>
      </c>
      <c r="E62" s="81">
        <f>E49-E61</f>
        <v>47</v>
      </c>
    </row>
    <row r="63" spans="2:5" ht="15.75">
      <c r="B63" s="135" t="str">
        <f>CONCATENATE("",E1-2,"/",E1-1," Budget Authority Amount:")</f>
        <v>2012/2013 Budget Authority Amount:</v>
      </c>
      <c r="C63" s="240">
        <f>inputOth!B74</f>
        <v>8500</v>
      </c>
      <c r="D63" s="240">
        <f>inputPrYr!D35</f>
        <v>2900</v>
      </c>
      <c r="E63" s="374">
        <f>IF(E62&lt;0,"See Tab E","")</f>
      </c>
    </row>
    <row r="64" spans="2:5" ht="15.75">
      <c r="B64" s="135"/>
      <c r="C64" s="275">
        <f>IF(C61&gt;C63,"See Tab A","")</f>
      </c>
      <c r="D64" s="275">
        <f>IF(D61&gt;D63,"See Tab C","")</f>
      </c>
      <c r="E64" s="46"/>
    </row>
    <row r="65" spans="2:5" ht="15.75">
      <c r="B65" s="135"/>
      <c r="C65" s="275">
        <f>IF(C62&lt;0,"See Tab B","")</f>
      </c>
      <c r="D65" s="275">
        <f>IF(D62&lt;0,"See Tab D","")</f>
      </c>
      <c r="E65" s="46"/>
    </row>
    <row r="66" spans="2:5" ht="15.75">
      <c r="B66" s="46"/>
      <c r="C66" s="46"/>
      <c r="D66" s="46"/>
      <c r="E66" s="46"/>
    </row>
    <row r="67" spans="2:5" ht="15.75">
      <c r="B67" s="395" t="s">
        <v>121</v>
      </c>
      <c r="C67" s="280">
        <v>11</v>
      </c>
      <c r="D67" s="46"/>
      <c r="E67" s="46"/>
    </row>
  </sheetData>
  <sheetProtection sheet="1"/>
  <conditionalFormatting sqref="C15">
    <cfRule type="cellIs" priority="3" dxfId="144" operator="greaterThan" stopIfTrue="1">
      <formula>$C$17*0.1</formula>
    </cfRule>
  </conditionalFormatting>
  <conditionalFormatting sqref="D15">
    <cfRule type="cellIs" priority="4" dxfId="144" operator="greaterThan" stopIfTrue="1">
      <formula>$D$17*0.1</formula>
    </cfRule>
  </conditionalFormatting>
  <conditionalFormatting sqref="E15">
    <cfRule type="cellIs" priority="5" dxfId="144" operator="greaterThan" stopIfTrue="1">
      <formula>$E$17*0.1</formula>
    </cfRule>
  </conditionalFormatting>
  <conditionalFormatting sqref="C28">
    <cfRule type="cellIs" priority="6" dxfId="144" operator="greaterThan" stopIfTrue="1">
      <formula>$C$30*0.1</formula>
    </cfRule>
  </conditionalFormatting>
  <conditionalFormatting sqref="D28">
    <cfRule type="cellIs" priority="7" dxfId="144" operator="greaterThan" stopIfTrue="1">
      <formula>$D$30*0.1</formula>
    </cfRule>
  </conditionalFormatting>
  <conditionalFormatting sqref="E28">
    <cfRule type="cellIs" priority="8" dxfId="144" operator="greaterThan" stopIfTrue="1">
      <formula>$E$30*0.1</formula>
    </cfRule>
  </conditionalFormatting>
  <conditionalFormatting sqref="C46">
    <cfRule type="cellIs" priority="9" dxfId="144" operator="greaterThan" stopIfTrue="1">
      <formula>$C$48*0.1</formula>
    </cfRule>
  </conditionalFormatting>
  <conditionalFormatting sqref="D46">
    <cfRule type="cellIs" priority="10" dxfId="144" operator="greaterThan" stopIfTrue="1">
      <formula>$D$48*0.1</formula>
    </cfRule>
  </conditionalFormatting>
  <conditionalFormatting sqref="E46">
    <cfRule type="cellIs" priority="11" dxfId="144" operator="greaterThan" stopIfTrue="1">
      <formula>$E$48*0.1</formula>
    </cfRule>
  </conditionalFormatting>
  <conditionalFormatting sqref="C59">
    <cfRule type="cellIs" priority="12" dxfId="144" operator="greaterThan" stopIfTrue="1">
      <formula>$C$61*0.1</formula>
    </cfRule>
  </conditionalFormatting>
  <conditionalFormatting sqref="D59">
    <cfRule type="cellIs" priority="13" dxfId="144" operator="greaterThan" stopIfTrue="1">
      <formula>$D$61*0.1</formula>
    </cfRule>
  </conditionalFormatting>
  <conditionalFormatting sqref="E59">
    <cfRule type="cellIs" priority="14" dxfId="144"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B28">
      <selection activeCell="D49" sqref="D49"/>
    </sheetView>
  </sheetViews>
  <sheetFormatPr defaultColWidth="8.796875" defaultRowHeight="15"/>
  <cols>
    <col min="1" max="1" width="2.3984375" style="44" customWidth="1"/>
    <col min="2" max="2" width="31.09765625" style="44" customWidth="1"/>
    <col min="3" max="4" width="15.796875" style="44" customWidth="1"/>
    <col min="5" max="5" width="16.296875" style="44" customWidth="1"/>
    <col min="6" max="16384" width="8.8984375" style="44" customWidth="1"/>
  </cols>
  <sheetData>
    <row r="1" spans="2:5" ht="15.75">
      <c r="B1" s="196" t="str">
        <f>(inputPrYr!D2)</f>
        <v>City of Fredonia</v>
      </c>
      <c r="C1" s="46"/>
      <c r="D1" s="46"/>
      <c r="E1" s="247">
        <f>inputPrYr!C5</f>
        <v>2014</v>
      </c>
    </row>
    <row r="2" spans="2:5" ht="15.75">
      <c r="B2" s="46"/>
      <c r="C2" s="46"/>
      <c r="D2" s="46"/>
      <c r="E2" s="168"/>
    </row>
    <row r="3" spans="2:5" ht="15.75">
      <c r="B3" s="248" t="s">
        <v>170</v>
      </c>
      <c r="C3" s="287"/>
      <c r="D3" s="287"/>
      <c r="E3" s="287"/>
    </row>
    <row r="4" spans="2:5" ht="15.75">
      <c r="B4" s="51" t="s">
        <v>103</v>
      </c>
      <c r="C4" s="705" t="s">
        <v>937</v>
      </c>
      <c r="D4" s="706" t="s">
        <v>938</v>
      </c>
      <c r="E4" s="143" t="s">
        <v>939</v>
      </c>
    </row>
    <row r="5" spans="2:5" ht="15.75">
      <c r="B5" s="525" t="str">
        <f>(inputPrYr!B36)</f>
        <v>Water</v>
      </c>
      <c r="C5" s="224" t="str">
        <f>CONCATENATE("Actual for ",E1-2,"")</f>
        <v>Actual for 2012</v>
      </c>
      <c r="D5" s="224" t="str">
        <f>CONCATENATE("Estimate for ",E1-1,"")</f>
        <v>Estimate for 2013</v>
      </c>
      <c r="E5" s="207" t="str">
        <f>CONCATENATE("Year for ",E1,"")</f>
        <v>Year for 2014</v>
      </c>
    </row>
    <row r="6" spans="2:5" ht="15.75">
      <c r="B6" s="251" t="s">
        <v>224</v>
      </c>
      <c r="C6" s="66">
        <v>177124</v>
      </c>
      <c r="D6" s="227">
        <f>C29</f>
        <v>198742</v>
      </c>
      <c r="E6" s="227">
        <f>D29</f>
        <v>216452</v>
      </c>
    </row>
    <row r="7" spans="2:5" ht="15.75">
      <c r="B7" s="254" t="s">
        <v>226</v>
      </c>
      <c r="C7" s="86"/>
      <c r="D7" s="86"/>
      <c r="E7" s="86"/>
    </row>
    <row r="8" spans="2:5" ht="15.75">
      <c r="B8" s="271" t="s">
        <v>1100</v>
      </c>
      <c r="C8" s="66">
        <v>808983</v>
      </c>
      <c r="D8" s="66">
        <v>820896</v>
      </c>
      <c r="E8" s="66">
        <v>874000</v>
      </c>
    </row>
    <row r="9" spans="2:5" ht="15.75">
      <c r="B9" s="271" t="s">
        <v>1101</v>
      </c>
      <c r="C9" s="66">
        <v>37960</v>
      </c>
      <c r="D9" s="66">
        <v>35766</v>
      </c>
      <c r="E9" s="66">
        <v>38000</v>
      </c>
    </row>
    <row r="10" spans="2:5" ht="15.75">
      <c r="B10" s="271" t="s">
        <v>1102</v>
      </c>
      <c r="C10" s="66">
        <v>3445</v>
      </c>
      <c r="D10" s="66">
        <v>1600</v>
      </c>
      <c r="E10" s="66">
        <v>3200</v>
      </c>
    </row>
    <row r="11" spans="2:5" ht="15.75">
      <c r="B11" s="271" t="s">
        <v>1103</v>
      </c>
      <c r="C11" s="66">
        <v>3139</v>
      </c>
      <c r="D11" s="66">
        <v>2242</v>
      </c>
      <c r="E11" s="66">
        <v>2500</v>
      </c>
    </row>
    <row r="12" spans="2:5" ht="15.75">
      <c r="B12" s="259" t="s">
        <v>1168</v>
      </c>
      <c r="C12" s="66">
        <v>17842</v>
      </c>
      <c r="D12" s="66">
        <v>25341</v>
      </c>
      <c r="E12" s="66">
        <v>20000</v>
      </c>
    </row>
    <row r="13" spans="2:5" ht="15.75">
      <c r="B13" s="158" t="s">
        <v>14</v>
      </c>
      <c r="C13" s="66">
        <v>0</v>
      </c>
      <c r="D13" s="256">
        <v>0</v>
      </c>
      <c r="E13" s="256">
        <v>0</v>
      </c>
    </row>
    <row r="14" spans="2:5" ht="15.75">
      <c r="B14" s="251" t="s">
        <v>774</v>
      </c>
      <c r="C14" s="292">
        <f>IF(C15*0.1&lt;C13,"Exceed 10% Rule","")</f>
      </c>
      <c r="D14" s="261">
        <f>IF(D15*0.1&lt;D13,"Exceed 10% Rule","")</f>
      </c>
      <c r="E14" s="261">
        <f>IF(E15*0.1&lt;E13,"Exceed 10% Rule","")</f>
      </c>
    </row>
    <row r="15" spans="2:5" ht="15.75">
      <c r="B15" s="262" t="s">
        <v>111</v>
      </c>
      <c r="C15" s="265">
        <f>SUM(C8:C13)</f>
        <v>871369</v>
      </c>
      <c r="D15" s="265">
        <f>SUM(D8:D13)</f>
        <v>885845</v>
      </c>
      <c r="E15" s="265">
        <f>SUM(E8:E13)</f>
        <v>937700</v>
      </c>
    </row>
    <row r="16" spans="2:5" ht="15.75">
      <c r="B16" s="262" t="s">
        <v>112</v>
      </c>
      <c r="C16" s="265">
        <f>C6+C15</f>
        <v>1048493</v>
      </c>
      <c r="D16" s="265">
        <f>D6+D15</f>
        <v>1084587</v>
      </c>
      <c r="E16" s="265">
        <f>E6+E15</f>
        <v>1154152</v>
      </c>
    </row>
    <row r="17" spans="2:5" ht="15.75">
      <c r="B17" s="149" t="s">
        <v>114</v>
      </c>
      <c r="C17" s="227"/>
      <c r="D17" s="227"/>
      <c r="E17" s="227"/>
    </row>
    <row r="18" spans="2:5" ht="15.75">
      <c r="B18" s="271" t="s">
        <v>1104</v>
      </c>
      <c r="C18" s="66">
        <v>536610</v>
      </c>
      <c r="D18" s="66">
        <v>557235</v>
      </c>
      <c r="E18" s="66">
        <v>608400</v>
      </c>
    </row>
    <row r="19" spans="2:5" ht="15.75">
      <c r="B19" s="271" t="s">
        <v>1105</v>
      </c>
      <c r="C19" s="66">
        <v>164527</v>
      </c>
      <c r="D19" s="66">
        <v>172785</v>
      </c>
      <c r="E19" s="66">
        <v>188977</v>
      </c>
    </row>
    <row r="20" spans="2:5" ht="15.75">
      <c r="B20" s="271" t="s">
        <v>1106</v>
      </c>
      <c r="C20" s="66">
        <v>99866</v>
      </c>
      <c r="D20" s="66">
        <v>99587</v>
      </c>
      <c r="E20" s="66">
        <v>101008</v>
      </c>
    </row>
    <row r="21" spans="2:5" ht="15.75">
      <c r="B21" s="271" t="s">
        <v>1098</v>
      </c>
      <c r="C21" s="66">
        <v>0</v>
      </c>
      <c r="D21" s="66">
        <v>0</v>
      </c>
      <c r="E21" s="66">
        <v>20000</v>
      </c>
    </row>
    <row r="22" spans="2:5" ht="15.75">
      <c r="B22" s="271" t="s">
        <v>1107</v>
      </c>
      <c r="C22" s="66">
        <v>2358</v>
      </c>
      <c r="D22" s="66">
        <v>180</v>
      </c>
      <c r="E22" s="66">
        <v>0</v>
      </c>
    </row>
    <row r="23" spans="2:5" ht="15.75">
      <c r="B23" s="271" t="s">
        <v>1108</v>
      </c>
      <c r="C23" s="66">
        <v>6390</v>
      </c>
      <c r="D23" s="66">
        <v>3348</v>
      </c>
      <c r="E23" s="66">
        <v>4000</v>
      </c>
    </row>
    <row r="24" spans="2:5" ht="15.75">
      <c r="B24" s="271" t="s">
        <v>1109</v>
      </c>
      <c r="C24" s="66">
        <v>0</v>
      </c>
      <c r="D24" s="66">
        <v>5000</v>
      </c>
      <c r="E24" s="66">
        <v>5000</v>
      </c>
    </row>
    <row r="25" spans="2:5" ht="15.75">
      <c r="B25" s="271" t="s">
        <v>1110</v>
      </c>
      <c r="C25" s="66">
        <v>40000</v>
      </c>
      <c r="D25" s="66">
        <v>30000</v>
      </c>
      <c r="E25" s="66">
        <v>30000</v>
      </c>
    </row>
    <row r="26" spans="2:5" ht="15.75">
      <c r="B26" s="272" t="s">
        <v>14</v>
      </c>
      <c r="C26" s="66"/>
      <c r="D26" s="256"/>
      <c r="E26" s="256"/>
    </row>
    <row r="27" spans="2:5" ht="15.75">
      <c r="B27" s="272" t="s">
        <v>775</v>
      </c>
      <c r="C27" s="292">
        <f>IF(C28*0.1&lt;C26,"Exceed 10% Rule","")</f>
      </c>
      <c r="D27" s="261">
        <f>IF(D28*0.1&lt;D26,"Exceed 10% Rule","")</f>
      </c>
      <c r="E27" s="261">
        <f>IF(E28*0.1&lt;E26,"Exceed 10% Rule","")</f>
      </c>
    </row>
    <row r="28" spans="2:5" ht="15.75">
      <c r="B28" s="262" t="s">
        <v>118</v>
      </c>
      <c r="C28" s="265">
        <f>SUM(C18:C26)</f>
        <v>849751</v>
      </c>
      <c r="D28" s="265">
        <f>SUM(D18:D26)</f>
        <v>868135</v>
      </c>
      <c r="E28" s="265">
        <f>SUM(E18:E26)</f>
        <v>957385</v>
      </c>
    </row>
    <row r="29" spans="2:5" ht="15.75">
      <c r="B29" s="149" t="s">
        <v>225</v>
      </c>
      <c r="C29" s="81">
        <f>C16-C28</f>
        <v>198742</v>
      </c>
      <c r="D29" s="81">
        <f>D16-D28</f>
        <v>216452</v>
      </c>
      <c r="E29" s="81">
        <f>E16-E28</f>
        <v>196767</v>
      </c>
    </row>
    <row r="30" spans="2:5" ht="15.75">
      <c r="B30" s="135" t="str">
        <f>CONCATENATE("",E1-2,"/",E1-1," Budget Authority Amount:")</f>
        <v>2012/2013 Budget Authority Amount:</v>
      </c>
      <c r="C30" s="240">
        <f>inputOth!B75</f>
        <v>848929</v>
      </c>
      <c r="D30" s="240">
        <f>inputPrYr!D36</f>
        <v>885681</v>
      </c>
      <c r="E30" s="374">
        <f>IF(E29&lt;0,"See Tab E","")</f>
      </c>
    </row>
    <row r="31" spans="2:5" ht="15.75">
      <c r="B31" s="135"/>
      <c r="C31" s="275" t="str">
        <f>IF(C28&gt;C30,"See Tab A","")</f>
        <v>See Tab A</v>
      </c>
      <c r="D31" s="275">
        <f>IF(D28&gt;D30,"See Tab C","")</f>
      </c>
      <c r="E31" s="96"/>
    </row>
    <row r="32" spans="2:5" ht="15.75">
      <c r="B32" s="135"/>
      <c r="C32" s="275">
        <f>IF(C29&lt;0,"See Tab B","")</f>
      </c>
      <c r="D32" s="275">
        <f>IF(D29&lt;0,"See Tab D","")</f>
      </c>
      <c r="E32" s="96"/>
    </row>
    <row r="33" spans="2:5" ht="15.75">
      <c r="B33" s="46"/>
      <c r="C33" s="96"/>
      <c r="D33" s="96"/>
      <c r="E33" s="96"/>
    </row>
    <row r="34" spans="2:5" ht="15.75">
      <c r="B34" s="51" t="s">
        <v>103</v>
      </c>
      <c r="C34" s="290"/>
      <c r="D34" s="290"/>
      <c r="E34" s="290"/>
    </row>
    <row r="35" spans="2:5" ht="15.75">
      <c r="B35" s="46"/>
      <c r="C35" s="705" t="s">
        <v>937</v>
      </c>
      <c r="D35" s="706" t="s">
        <v>938</v>
      </c>
      <c r="E35" s="143" t="s">
        <v>939</v>
      </c>
    </row>
    <row r="36" spans="2:5" ht="15.75">
      <c r="B36" s="525" t="str">
        <f>(inputPrYr!B37)</f>
        <v>Electric</v>
      </c>
      <c r="C36" s="224" t="str">
        <f>CONCATENATE("Actual for ",$E$1-2,"")</f>
        <v>Actual for 2012</v>
      </c>
      <c r="D36" s="224" t="str">
        <f>CONCATENATE("Estimate for ",$E$1-1,"")</f>
        <v>Estimate for 2013</v>
      </c>
      <c r="E36" s="207" t="str">
        <f>CONCATENATE("Year for ",$E$1,"")</f>
        <v>Year for 2014</v>
      </c>
    </row>
    <row r="37" spans="2:5" ht="15.75">
      <c r="B37" s="251" t="s">
        <v>224</v>
      </c>
      <c r="C37" s="66">
        <v>612595</v>
      </c>
      <c r="D37" s="227">
        <f>C61</f>
        <v>636336.0699999998</v>
      </c>
      <c r="E37" s="227">
        <f>D61</f>
        <v>602045.0699999998</v>
      </c>
    </row>
    <row r="38" spans="2:5" ht="15.75">
      <c r="B38" s="254" t="s">
        <v>226</v>
      </c>
      <c r="C38" s="86"/>
      <c r="D38" s="86"/>
      <c r="E38" s="86"/>
    </row>
    <row r="39" spans="2:5" ht="15.75">
      <c r="B39" s="271" t="s">
        <v>1111</v>
      </c>
      <c r="C39" s="66">
        <v>2576865</v>
      </c>
      <c r="D39" s="66">
        <v>2455976</v>
      </c>
      <c r="E39" s="66">
        <v>2605460</v>
      </c>
    </row>
    <row r="40" spans="2:5" ht="15.75">
      <c r="B40" s="271" t="s">
        <v>1112</v>
      </c>
      <c r="C40" s="66">
        <v>435133</v>
      </c>
      <c r="D40" s="66">
        <v>372233</v>
      </c>
      <c r="E40" s="66">
        <v>415000</v>
      </c>
    </row>
    <row r="41" spans="2:5" ht="15.75">
      <c r="B41" s="271" t="s">
        <v>1116</v>
      </c>
      <c r="C41" s="66">
        <v>15735.9</v>
      </c>
      <c r="D41" s="66">
        <v>14880</v>
      </c>
      <c r="E41" s="66">
        <v>15000</v>
      </c>
    </row>
    <row r="42" spans="2:5" ht="15.75">
      <c r="B42" s="271" t="s">
        <v>1115</v>
      </c>
      <c r="C42" s="66">
        <v>7638.33</v>
      </c>
      <c r="D42" s="66">
        <v>6737</v>
      </c>
      <c r="E42" s="66">
        <v>6500</v>
      </c>
    </row>
    <row r="43" spans="2:5" ht="15.75">
      <c r="B43" s="259" t="s">
        <v>1114</v>
      </c>
      <c r="C43" s="66">
        <v>5653</v>
      </c>
      <c r="D43" s="66">
        <v>361</v>
      </c>
      <c r="E43" s="66">
        <v>5000</v>
      </c>
    </row>
    <row r="44" spans="2:5" ht="15.75">
      <c r="B44" s="158" t="s">
        <v>14</v>
      </c>
      <c r="C44" s="66"/>
      <c r="D44" s="256"/>
      <c r="E44" s="256"/>
    </row>
    <row r="45" spans="2:5" ht="15.75">
      <c r="B45" s="251" t="s">
        <v>774</v>
      </c>
      <c r="C45" s="292">
        <f>IF(C46*0.1&lt;C44,"Exceed 10% Rule","")</f>
      </c>
      <c r="D45" s="261">
        <f>IF(D46*0.1&lt;D44,"Exceed 10% Rule","")</f>
      </c>
      <c r="E45" s="261">
        <f>IF(E46*0.1&lt;E44,"Exceed 10% Rule","")</f>
      </c>
    </row>
    <row r="46" spans="2:5" ht="15.75">
      <c r="B46" s="262" t="s">
        <v>111</v>
      </c>
      <c r="C46" s="265">
        <f>SUM(C39:C44)</f>
        <v>3041025.23</v>
      </c>
      <c r="D46" s="265">
        <f>SUM(D39:D44)</f>
        <v>2850187</v>
      </c>
      <c r="E46" s="265">
        <f>SUM(E39:E44)</f>
        <v>3046960</v>
      </c>
    </row>
    <row r="47" spans="2:5" ht="15.75">
      <c r="B47" s="262" t="s">
        <v>112</v>
      </c>
      <c r="C47" s="265">
        <f>C37+C46</f>
        <v>3653620.23</v>
      </c>
      <c r="D47" s="265">
        <f>D37+D46</f>
        <v>3486523.07</v>
      </c>
      <c r="E47" s="265">
        <f>E37+E46</f>
        <v>3649005.07</v>
      </c>
    </row>
    <row r="48" spans="2:5" ht="15.75">
      <c r="B48" s="149" t="s">
        <v>114</v>
      </c>
      <c r="C48" s="227"/>
      <c r="D48" s="227"/>
      <c r="E48" s="227"/>
    </row>
    <row r="49" spans="2:5" ht="15.75">
      <c r="B49" s="271" t="s">
        <v>1104</v>
      </c>
      <c r="C49" s="66">
        <v>1857851</v>
      </c>
      <c r="D49" s="66">
        <v>1770693</v>
      </c>
      <c r="E49" s="66">
        <v>1878536</v>
      </c>
    </row>
    <row r="50" spans="2:5" ht="15.75">
      <c r="B50" s="271" t="s">
        <v>1105</v>
      </c>
      <c r="C50" s="66">
        <v>308653</v>
      </c>
      <c r="D50" s="66">
        <v>278555</v>
      </c>
      <c r="E50" s="66">
        <v>296609</v>
      </c>
    </row>
    <row r="51" spans="2:5" ht="15.75">
      <c r="B51" s="271" t="s">
        <v>1106</v>
      </c>
      <c r="C51" s="66">
        <v>166176</v>
      </c>
      <c r="D51" s="66">
        <v>163827</v>
      </c>
      <c r="E51" s="66">
        <v>171892</v>
      </c>
    </row>
    <row r="52" spans="2:5" ht="15.75">
      <c r="B52" s="271" t="s">
        <v>1098</v>
      </c>
      <c r="C52" s="66">
        <v>28000</v>
      </c>
      <c r="D52" s="66">
        <v>50000</v>
      </c>
      <c r="E52" s="66">
        <v>50000</v>
      </c>
    </row>
    <row r="53" spans="2:5" ht="15.75">
      <c r="B53" s="271" t="s">
        <v>1121</v>
      </c>
      <c r="C53" s="66">
        <v>15879.16</v>
      </c>
      <c r="D53" s="66">
        <v>2478</v>
      </c>
      <c r="E53" s="66">
        <v>4000</v>
      </c>
    </row>
    <row r="54" spans="2:5" ht="15.75">
      <c r="B54" s="271" t="s">
        <v>1120</v>
      </c>
      <c r="C54" s="66">
        <v>320000</v>
      </c>
      <c r="D54" s="66">
        <v>320000</v>
      </c>
      <c r="E54" s="66">
        <v>355000</v>
      </c>
    </row>
    <row r="55" spans="2:5" ht="15.75">
      <c r="B55" s="271" t="s">
        <v>1119</v>
      </c>
      <c r="C55" s="66">
        <v>240725</v>
      </c>
      <c r="D55" s="66">
        <v>250925</v>
      </c>
      <c r="E55" s="66">
        <v>240725</v>
      </c>
    </row>
    <row r="56" spans="2:5" ht="15.75">
      <c r="B56" s="271" t="s">
        <v>1118</v>
      </c>
      <c r="C56" s="66">
        <v>55000</v>
      </c>
      <c r="D56" s="66">
        <v>48000</v>
      </c>
      <c r="E56" s="66">
        <v>40000</v>
      </c>
    </row>
    <row r="57" spans="2:5" ht="15.75">
      <c r="B57" s="271" t="s">
        <v>1117</v>
      </c>
      <c r="C57" s="66">
        <v>25000</v>
      </c>
      <c r="D57" s="66">
        <v>0</v>
      </c>
      <c r="E57" s="66">
        <v>0</v>
      </c>
    </row>
    <row r="58" spans="2:5" ht="15.75">
      <c r="B58" s="272" t="s">
        <v>14</v>
      </c>
      <c r="C58" s="66">
        <v>0</v>
      </c>
      <c r="D58" s="256">
        <v>0</v>
      </c>
      <c r="E58" s="256">
        <v>0</v>
      </c>
    </row>
    <row r="59" spans="2:5" ht="15.75">
      <c r="B59" s="272" t="s">
        <v>775</v>
      </c>
      <c r="C59" s="292">
        <f>IF(C60*0.1&lt;C58,"Exceed 10% Rule","")</f>
      </c>
      <c r="D59" s="261">
        <f>IF(D60*0.1&lt;D58,"Exceed 10% Rule","")</f>
      </c>
      <c r="E59" s="261">
        <f>IF(E60*0.1&lt;E58,"Exceed 10% Rule","")</f>
      </c>
    </row>
    <row r="60" spans="2:5" ht="15.75">
      <c r="B60" s="262" t="s">
        <v>118</v>
      </c>
      <c r="C60" s="265">
        <f>SUM(C49:C58)</f>
        <v>3017284.16</v>
      </c>
      <c r="D60" s="265">
        <f>SUM(D49:D58)</f>
        <v>2884478</v>
      </c>
      <c r="E60" s="265">
        <f>SUM(E49:E58)</f>
        <v>3036762</v>
      </c>
    </row>
    <row r="61" spans="2:5" ht="15.75">
      <c r="B61" s="149" t="s">
        <v>225</v>
      </c>
      <c r="C61" s="81">
        <f>C47-C60</f>
        <v>636336.0699999998</v>
      </c>
      <c r="D61" s="81">
        <f>D47-D60</f>
        <v>602045.0699999998</v>
      </c>
      <c r="E61" s="81">
        <f>E47-E60</f>
        <v>612243.0699999998</v>
      </c>
    </row>
    <row r="62" spans="2:5" ht="15.75">
      <c r="B62" s="135" t="str">
        <f>CONCATENATE("",E1-2,"/",E1-1," Budget Authority Amount:")</f>
        <v>2012/2013 Budget Authority Amount:</v>
      </c>
      <c r="C62" s="240">
        <f>inputOth!B76</f>
        <v>2985102</v>
      </c>
      <c r="D62" s="240">
        <f>inputPrYr!D37</f>
        <v>2956534</v>
      </c>
      <c r="E62" s="374">
        <f>IF(E61&lt;0,"See Tab E","")</f>
      </c>
    </row>
    <row r="63" spans="2:5" ht="15.75">
      <c r="B63" s="135"/>
      <c r="C63" s="275" t="str">
        <f>IF(C60&gt;C62,"See Tab A","")</f>
        <v>See Tab A</v>
      </c>
      <c r="D63" s="275">
        <f>IF(D60&gt;D62,"See Tab C","")</f>
      </c>
      <c r="E63" s="46"/>
    </row>
    <row r="64" spans="2:5" ht="15.75">
      <c r="B64" s="135"/>
      <c r="C64" s="275">
        <f>IF(C61&lt;0,"See Tab B","")</f>
      </c>
      <c r="D64" s="275">
        <f>IF(D61&lt;0,"See Tab D","")</f>
      </c>
      <c r="E64" s="46"/>
    </row>
    <row r="65" spans="2:5" ht="15.75">
      <c r="B65" s="46"/>
      <c r="C65" s="46"/>
      <c r="D65" s="46"/>
      <c r="E65" s="46"/>
    </row>
    <row r="66" spans="2:5" ht="15.75">
      <c r="B66" s="395" t="s">
        <v>121</v>
      </c>
      <c r="C66" s="280">
        <v>12</v>
      </c>
      <c r="D66" s="46"/>
      <c r="E66" s="46"/>
    </row>
  </sheetData>
  <sheetProtection/>
  <conditionalFormatting sqref="C13">
    <cfRule type="cellIs" priority="3" dxfId="144" operator="greaterThan" stopIfTrue="1">
      <formula>$C$15*0.1</formula>
    </cfRule>
  </conditionalFormatting>
  <conditionalFormatting sqref="D13">
    <cfRule type="cellIs" priority="4" dxfId="144" operator="greaterThan" stopIfTrue="1">
      <formula>$D$15*0.1</formula>
    </cfRule>
  </conditionalFormatting>
  <conditionalFormatting sqref="E13">
    <cfRule type="cellIs" priority="5" dxfId="144" operator="greaterThan" stopIfTrue="1">
      <formula>$E$15*0.1</formula>
    </cfRule>
  </conditionalFormatting>
  <conditionalFormatting sqref="C26">
    <cfRule type="cellIs" priority="6" dxfId="144" operator="greaterThan" stopIfTrue="1">
      <formula>$C$28*0.1</formula>
    </cfRule>
  </conditionalFormatting>
  <conditionalFormatting sqref="D26">
    <cfRule type="cellIs" priority="7" dxfId="144" operator="greaterThan" stopIfTrue="1">
      <formula>$D$28*0.1</formula>
    </cfRule>
  </conditionalFormatting>
  <conditionalFormatting sqref="E26">
    <cfRule type="cellIs" priority="8" dxfId="144" operator="greaterThan" stopIfTrue="1">
      <formula>$E$28*0.1</formula>
    </cfRule>
  </conditionalFormatting>
  <conditionalFormatting sqref="C44">
    <cfRule type="cellIs" priority="9" dxfId="144" operator="greaterThan" stopIfTrue="1">
      <formula>$C$46*0.1</formula>
    </cfRule>
  </conditionalFormatting>
  <conditionalFormatting sqref="D44">
    <cfRule type="cellIs" priority="10" dxfId="144" operator="greaterThan" stopIfTrue="1">
      <formula>$D$46*0.1</formula>
    </cfRule>
  </conditionalFormatting>
  <conditionalFormatting sqref="E44">
    <cfRule type="cellIs" priority="11" dxfId="144" operator="greaterThan" stopIfTrue="1">
      <formula>$E$46*0.1</formula>
    </cfRule>
  </conditionalFormatting>
  <conditionalFormatting sqref="C58">
    <cfRule type="cellIs" priority="12" dxfId="144" operator="greaterThan" stopIfTrue="1">
      <formula>$C$60*0.1</formula>
    </cfRule>
  </conditionalFormatting>
  <conditionalFormatting sqref="D58">
    <cfRule type="cellIs" priority="13" dxfId="144" operator="greaterThan" stopIfTrue="1">
      <formula>$D$60*0.1</formula>
    </cfRule>
  </conditionalFormatting>
  <conditionalFormatting sqref="E58">
    <cfRule type="cellIs" priority="14" dxfId="144" operator="greaterThan" stopIfTrue="1">
      <formula>$E$60*0.1</formula>
    </cfRule>
  </conditionalFormatting>
  <conditionalFormatting sqref="D60">
    <cfRule type="cellIs" priority="15" dxfId="3" operator="greaterThan" stopIfTrue="1">
      <formula>$D$62</formula>
    </cfRule>
  </conditionalFormatting>
  <conditionalFormatting sqref="C60">
    <cfRule type="cellIs" priority="16" dxfId="3" operator="greaterThan" stopIfTrue="1">
      <formula>$C$62</formula>
    </cfRule>
  </conditionalFormatting>
  <conditionalFormatting sqref="C61 E61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B1">
      <selection activeCell="C66" sqref="C66"/>
    </sheetView>
  </sheetViews>
  <sheetFormatPr defaultColWidth="8.796875" defaultRowHeight="15"/>
  <cols>
    <col min="1" max="1" width="2.3984375" style="44" customWidth="1"/>
    <col min="2" max="2" width="31.09765625" style="44" customWidth="1"/>
    <col min="3" max="4" width="15.796875" style="44" customWidth="1"/>
    <col min="5" max="5" width="16.09765625" style="44" customWidth="1"/>
    <col min="6" max="16384" width="8.8984375" style="44" customWidth="1"/>
  </cols>
  <sheetData>
    <row r="1" spans="2:5" ht="15.75">
      <c r="B1" s="196" t="str">
        <f>(inputPrYr!D2)</f>
        <v>City of Fredonia</v>
      </c>
      <c r="C1" s="46"/>
      <c r="D1" s="46"/>
      <c r="E1" s="247">
        <f>inputPrYr!C5</f>
        <v>2014</v>
      </c>
    </row>
    <row r="2" spans="2:5" ht="15.75">
      <c r="B2" s="46"/>
      <c r="C2" s="46"/>
      <c r="D2" s="46"/>
      <c r="E2" s="168"/>
    </row>
    <row r="3" spans="2:5" ht="15.75">
      <c r="B3" s="248" t="s">
        <v>170</v>
      </c>
      <c r="C3" s="287"/>
      <c r="D3" s="287"/>
      <c r="E3" s="287"/>
    </row>
    <row r="4" spans="2:5" ht="15.75">
      <c r="B4" s="51" t="s">
        <v>103</v>
      </c>
      <c r="C4" s="705" t="s">
        <v>937</v>
      </c>
      <c r="D4" s="706" t="s">
        <v>938</v>
      </c>
      <c r="E4" s="143" t="s">
        <v>939</v>
      </c>
    </row>
    <row r="5" spans="2:5" ht="15.75">
      <c r="B5" s="525" t="str">
        <f>(inputPrYr!B38)</f>
        <v>Sewer</v>
      </c>
      <c r="C5" s="224" t="str">
        <f>CONCATENATE("Actual for ",E1-2,"")</f>
        <v>Actual for 2012</v>
      </c>
      <c r="D5" s="224" t="str">
        <f>CONCATENATE("Estimate for ",E1-1,"")</f>
        <v>Estimate for 2013</v>
      </c>
      <c r="E5" s="207" t="str">
        <f>CONCATENATE("Year for ",E1,"")</f>
        <v>Year for 2014</v>
      </c>
    </row>
    <row r="6" spans="2:5" ht="15.75">
      <c r="B6" s="251" t="s">
        <v>224</v>
      </c>
      <c r="C6" s="66">
        <v>137627</v>
      </c>
      <c r="D6" s="227">
        <f>C30</f>
        <v>139835</v>
      </c>
      <c r="E6" s="227">
        <f>D30</f>
        <v>121876</v>
      </c>
    </row>
    <row r="7" spans="2:5" ht="15.75">
      <c r="B7" s="254" t="s">
        <v>226</v>
      </c>
      <c r="C7" s="86"/>
      <c r="D7" s="86"/>
      <c r="E7" s="86"/>
    </row>
    <row r="8" spans="2:5" ht="15.75">
      <c r="B8" s="271" t="s">
        <v>1111</v>
      </c>
      <c r="C8" s="66">
        <v>176782</v>
      </c>
      <c r="D8" s="66">
        <v>172115</v>
      </c>
      <c r="E8" s="66">
        <v>174000</v>
      </c>
    </row>
    <row r="9" spans="2:5" ht="15.75">
      <c r="B9" s="271" t="s">
        <v>1113</v>
      </c>
      <c r="C9" s="66">
        <v>2310</v>
      </c>
      <c r="D9" s="66">
        <v>2945</v>
      </c>
      <c r="E9" s="66">
        <v>3000</v>
      </c>
    </row>
    <row r="10" spans="2:5" ht="15.75">
      <c r="B10" s="271" t="s">
        <v>1122</v>
      </c>
      <c r="C10" s="66">
        <v>571</v>
      </c>
      <c r="D10" s="66">
        <v>600</v>
      </c>
      <c r="E10" s="66">
        <v>500</v>
      </c>
    </row>
    <row r="11" spans="2:5" ht="15.75">
      <c r="B11" s="271"/>
      <c r="C11" s="66"/>
      <c r="D11" s="66"/>
      <c r="E11" s="66"/>
    </row>
    <row r="12" spans="2:5" ht="15.75">
      <c r="B12" s="259"/>
      <c r="C12" s="66"/>
      <c r="D12" s="66"/>
      <c r="E12" s="66"/>
    </row>
    <row r="13" spans="2:5" ht="15.75">
      <c r="B13" s="158" t="s">
        <v>14</v>
      </c>
      <c r="C13" s="66">
        <v>0</v>
      </c>
      <c r="D13" s="256">
        <v>0</v>
      </c>
      <c r="E13" s="256"/>
    </row>
    <row r="14" spans="2:5" ht="15.75">
      <c r="B14" s="251" t="s">
        <v>774</v>
      </c>
      <c r="C14" s="292">
        <f>IF(C15*0.1&lt;C13,"Exceed 10% Rule","")</f>
      </c>
      <c r="D14" s="261">
        <f>IF(D15*0.1&lt;D13,"Exceed 10% Rule","")</f>
      </c>
      <c r="E14" s="261">
        <f>IF(E15*0.1&lt;E13,"Exceed 10% Rule","")</f>
      </c>
    </row>
    <row r="15" spans="2:5" ht="15.75">
      <c r="B15" s="262" t="s">
        <v>111</v>
      </c>
      <c r="C15" s="265">
        <f>SUM(C8:C13)</f>
        <v>179663</v>
      </c>
      <c r="D15" s="265">
        <f>SUM(D8:D13)</f>
        <v>175660</v>
      </c>
      <c r="E15" s="265">
        <f>SUM(E8:E13)</f>
        <v>177500</v>
      </c>
    </row>
    <row r="16" spans="2:5" ht="15.75">
      <c r="B16" s="262" t="s">
        <v>112</v>
      </c>
      <c r="C16" s="265">
        <f>C6+C15</f>
        <v>317290</v>
      </c>
      <c r="D16" s="265">
        <f>D6+D15</f>
        <v>315495</v>
      </c>
      <c r="E16" s="265">
        <f>E6+E15</f>
        <v>299376</v>
      </c>
    </row>
    <row r="17" spans="2:5" ht="15.75">
      <c r="B17" s="149" t="s">
        <v>114</v>
      </c>
      <c r="C17" s="227"/>
      <c r="D17" s="227"/>
      <c r="E17" s="227"/>
    </row>
    <row r="18" spans="2:5" ht="15.75">
      <c r="B18" s="271" t="s">
        <v>1126</v>
      </c>
      <c r="C18" s="66">
        <v>62357</v>
      </c>
      <c r="D18" s="66">
        <v>62221</v>
      </c>
      <c r="E18" s="66">
        <v>67239</v>
      </c>
    </row>
    <row r="19" spans="2:5" ht="15.75">
      <c r="B19" s="271" t="s">
        <v>1093</v>
      </c>
      <c r="C19" s="66">
        <v>37712</v>
      </c>
      <c r="D19" s="66">
        <v>23628</v>
      </c>
      <c r="E19" s="66">
        <v>24106</v>
      </c>
    </row>
    <row r="20" spans="2:5" ht="15.75">
      <c r="B20" s="271" t="s">
        <v>1094</v>
      </c>
      <c r="C20" s="66">
        <v>9258</v>
      </c>
      <c r="D20" s="66">
        <v>18260</v>
      </c>
      <c r="E20" s="66">
        <v>19900</v>
      </c>
    </row>
    <row r="21" spans="2:5" ht="15.75">
      <c r="B21" s="271" t="s">
        <v>1098</v>
      </c>
      <c r="C21" s="66">
        <v>0</v>
      </c>
      <c r="D21" s="66">
        <v>6308</v>
      </c>
      <c r="E21" s="66">
        <v>0</v>
      </c>
    </row>
    <row r="22" spans="2:5" ht="15.75">
      <c r="B22" s="271" t="s">
        <v>1123</v>
      </c>
      <c r="C22" s="66">
        <v>8716</v>
      </c>
      <c r="D22" s="66">
        <v>7918</v>
      </c>
      <c r="E22" s="66">
        <v>7120</v>
      </c>
    </row>
    <row r="23" spans="2:5" ht="15.75">
      <c r="B23" s="271" t="s">
        <v>1124</v>
      </c>
      <c r="C23" s="66">
        <v>39412</v>
      </c>
      <c r="D23" s="66">
        <v>40284</v>
      </c>
      <c r="E23" s="66">
        <v>41156</v>
      </c>
    </row>
    <row r="24" spans="2:5" ht="15.75">
      <c r="B24" s="271" t="s">
        <v>1125</v>
      </c>
      <c r="C24" s="66">
        <v>20000</v>
      </c>
      <c r="D24" s="66">
        <v>30000</v>
      </c>
      <c r="E24" s="66">
        <v>30000</v>
      </c>
    </row>
    <row r="25" spans="2:5" ht="15.75">
      <c r="B25" s="271" t="s">
        <v>1109</v>
      </c>
      <c r="C25" s="66">
        <v>0</v>
      </c>
      <c r="D25" s="66">
        <v>5000</v>
      </c>
      <c r="E25" s="66">
        <v>5000</v>
      </c>
    </row>
    <row r="26" spans="2:5" ht="15.75">
      <c r="B26" s="271" t="s">
        <v>1117</v>
      </c>
      <c r="C26" s="66">
        <v>0</v>
      </c>
      <c r="D26" s="66">
        <v>0</v>
      </c>
      <c r="E26" s="66">
        <v>5000</v>
      </c>
    </row>
    <row r="27" spans="2:5" ht="15.75">
      <c r="B27" s="272" t="s">
        <v>14</v>
      </c>
      <c r="C27" s="66">
        <v>0</v>
      </c>
      <c r="D27" s="256">
        <v>0</v>
      </c>
      <c r="E27" s="256">
        <v>0</v>
      </c>
    </row>
    <row r="28" spans="2:5" ht="15.75">
      <c r="B28" s="272" t="s">
        <v>775</v>
      </c>
      <c r="C28" s="292">
        <f>IF(C29*0.1&lt;C27,"Exceed 10% Rule","")</f>
      </c>
      <c r="D28" s="261">
        <f>IF(D29*0.1&lt;D27,"Exceed 10% Rule","")</f>
      </c>
      <c r="E28" s="261">
        <f>IF(E29*0.1&lt;E27,"Exceed 10% Rule","")</f>
      </c>
    </row>
    <row r="29" spans="2:5" ht="15.75">
      <c r="B29" s="262" t="s">
        <v>118</v>
      </c>
      <c r="C29" s="265">
        <f>SUM(C18:C27)</f>
        <v>177455</v>
      </c>
      <c r="D29" s="265">
        <f>SUM(D18:D27)</f>
        <v>193619</v>
      </c>
      <c r="E29" s="265">
        <f>SUM(E18:E27)</f>
        <v>199521</v>
      </c>
    </row>
    <row r="30" spans="2:5" ht="15.75">
      <c r="B30" s="149" t="s">
        <v>225</v>
      </c>
      <c r="C30" s="81">
        <f>C16-C29</f>
        <v>139835</v>
      </c>
      <c r="D30" s="81">
        <f>D16-D29</f>
        <v>121876</v>
      </c>
      <c r="E30" s="81">
        <f>E16-E29</f>
        <v>99855</v>
      </c>
    </row>
    <row r="31" spans="2:5" ht="15.75">
      <c r="B31" s="135" t="str">
        <f>CONCATENATE("",E1-2,"/",E1-1," Budget Authority Amount:")</f>
        <v>2012/2013 Budget Authority Amount:</v>
      </c>
      <c r="C31" s="240">
        <f>inputOth!B77</f>
        <v>193269</v>
      </c>
      <c r="D31" s="240">
        <f>inputPrYr!D38</f>
        <v>189839</v>
      </c>
      <c r="E31" s="374">
        <f>IF(E30&lt;0,"See Tab E","")</f>
      </c>
    </row>
    <row r="32" spans="2:5" ht="15.75">
      <c r="B32" s="135"/>
      <c r="C32" s="275">
        <f>IF(C29&gt;C31,"See Tab A","")</f>
      </c>
      <c r="D32" s="275" t="str">
        <f>IF(D29&gt;D31,"See Tab C","")</f>
        <v>See Tab C</v>
      </c>
      <c r="E32" s="96"/>
    </row>
    <row r="33" spans="2:5" ht="15.75">
      <c r="B33" s="135"/>
      <c r="C33" s="275">
        <f>IF(C30&lt;0,"See Tab B","")</f>
      </c>
      <c r="D33" s="275">
        <f>IF(D30&lt;0,"See Tab D","")</f>
      </c>
      <c r="E33" s="96"/>
    </row>
    <row r="34" spans="2:5" ht="15.75">
      <c r="B34" s="46"/>
      <c r="C34" s="96"/>
      <c r="D34" s="96"/>
      <c r="E34" s="96"/>
    </row>
    <row r="35" spans="2:5" ht="15.75">
      <c r="B35" s="51" t="s">
        <v>103</v>
      </c>
      <c r="C35" s="290"/>
      <c r="D35" s="290"/>
      <c r="E35" s="290"/>
    </row>
    <row r="36" spans="2:5" ht="15.75">
      <c r="B36" s="46"/>
      <c r="C36" s="705" t="s">
        <v>937</v>
      </c>
      <c r="D36" s="706" t="s">
        <v>938</v>
      </c>
      <c r="E36" s="143" t="s">
        <v>939</v>
      </c>
    </row>
    <row r="37" spans="2:5" ht="15.75">
      <c r="B37" s="525" t="str">
        <f>(inputPrYr!B39)</f>
        <v>Solid Waste</v>
      </c>
      <c r="C37" s="224" t="str">
        <f>CONCATENATE("Actual for ",$E$1-2,"")</f>
        <v>Actual for 2012</v>
      </c>
      <c r="D37" s="224" t="str">
        <f>CONCATENATE("Estimate for ",$E$1-1,"")</f>
        <v>Estimate for 2013</v>
      </c>
      <c r="E37" s="207" t="str">
        <f>CONCATENATE("Year for ",$E$1,"")</f>
        <v>Year for 2014</v>
      </c>
    </row>
    <row r="38" spans="2:5" ht="15.75">
      <c r="B38" s="251" t="s">
        <v>224</v>
      </c>
      <c r="C38" s="66">
        <v>75133</v>
      </c>
      <c r="D38" s="227">
        <f>C61</f>
        <v>45482</v>
      </c>
      <c r="E38" s="227">
        <f>D61</f>
        <v>52180</v>
      </c>
    </row>
    <row r="39" spans="2:5" ht="15.75">
      <c r="B39" s="254" t="s">
        <v>226</v>
      </c>
      <c r="C39" s="86"/>
      <c r="D39" s="86"/>
      <c r="E39" s="86"/>
    </row>
    <row r="40" spans="2:5" ht="15.75">
      <c r="B40" s="271" t="s">
        <v>1127</v>
      </c>
      <c r="C40" s="66">
        <v>164</v>
      </c>
      <c r="D40" s="66">
        <v>350</v>
      </c>
      <c r="E40" s="66">
        <v>250</v>
      </c>
    </row>
    <row r="41" spans="2:5" ht="15.75">
      <c r="B41" s="271" t="s">
        <v>1128</v>
      </c>
      <c r="C41" s="66">
        <v>184310</v>
      </c>
      <c r="D41" s="66">
        <v>221633</v>
      </c>
      <c r="E41" s="66">
        <v>218000</v>
      </c>
    </row>
    <row r="42" spans="2:5" ht="15.75">
      <c r="B42" s="271" t="s">
        <v>1129</v>
      </c>
      <c r="C42" s="66">
        <v>22753</v>
      </c>
      <c r="D42" s="66">
        <v>25525</v>
      </c>
      <c r="E42" s="66">
        <v>25500</v>
      </c>
    </row>
    <row r="43" spans="2:5" ht="15.75">
      <c r="B43" s="271" t="s">
        <v>1113</v>
      </c>
      <c r="C43" s="66">
        <v>4261</v>
      </c>
      <c r="D43" s="66">
        <v>6235</v>
      </c>
      <c r="E43" s="66">
        <v>6500</v>
      </c>
    </row>
    <row r="44" spans="2:5" ht="15.75">
      <c r="B44" s="259"/>
      <c r="C44" s="66"/>
      <c r="D44" s="66"/>
      <c r="E44" s="66"/>
    </row>
    <row r="45" spans="2:5" ht="15.75">
      <c r="B45" s="158" t="s">
        <v>14</v>
      </c>
      <c r="C45" s="66">
        <v>0</v>
      </c>
      <c r="D45" s="256">
        <v>0</v>
      </c>
      <c r="E45" s="256"/>
    </row>
    <row r="46" spans="2:5" ht="15.75">
      <c r="B46" s="251" t="s">
        <v>774</v>
      </c>
      <c r="C46" s="292">
        <f>IF(C47*0.1&lt;C45,"Exceed 10% Rule","")</f>
      </c>
      <c r="D46" s="261">
        <f>IF(D47*0.1&lt;D45,"Exceed 10% Rule","")</f>
      </c>
      <c r="E46" s="261">
        <f>IF(E47*0.1&lt;E45,"Exceed 10% Rule","")</f>
      </c>
    </row>
    <row r="47" spans="2:5" ht="15.75">
      <c r="B47" s="262" t="s">
        <v>111</v>
      </c>
      <c r="C47" s="265">
        <f>SUM(C40:C45)</f>
        <v>211488</v>
      </c>
      <c r="D47" s="265">
        <f>SUM(D40:D45)</f>
        <v>253743</v>
      </c>
      <c r="E47" s="265">
        <f>SUM(E40:E45)</f>
        <v>250250</v>
      </c>
    </row>
    <row r="48" spans="2:5" ht="15.75">
      <c r="B48" s="262" t="s">
        <v>112</v>
      </c>
      <c r="C48" s="265">
        <f>C38+C47</f>
        <v>286621</v>
      </c>
      <c r="D48" s="265">
        <f>D38+D47</f>
        <v>299225</v>
      </c>
      <c r="E48" s="265">
        <f>E38+E47</f>
        <v>302430</v>
      </c>
    </row>
    <row r="49" spans="2:5" ht="15.75">
      <c r="B49" s="149" t="s">
        <v>114</v>
      </c>
      <c r="C49" s="227"/>
      <c r="D49" s="227"/>
      <c r="E49" s="227"/>
    </row>
    <row r="50" spans="2:5" ht="15.75">
      <c r="B50" s="271" t="s">
        <v>1126</v>
      </c>
      <c r="C50" s="66">
        <v>167381</v>
      </c>
      <c r="D50" s="66">
        <v>166141</v>
      </c>
      <c r="E50" s="66">
        <v>173474</v>
      </c>
    </row>
    <row r="51" spans="2:5" ht="15.75">
      <c r="B51" s="271" t="s">
        <v>1093</v>
      </c>
      <c r="C51" s="66">
        <v>36383</v>
      </c>
      <c r="D51" s="66">
        <v>36541</v>
      </c>
      <c r="E51" s="66">
        <v>36809</v>
      </c>
    </row>
    <row r="52" spans="2:5" ht="15.75">
      <c r="B52" s="271" t="s">
        <v>1094</v>
      </c>
      <c r="C52" s="66">
        <v>30545</v>
      </c>
      <c r="D52" s="66">
        <v>30670</v>
      </c>
      <c r="E52" s="66">
        <v>31375</v>
      </c>
    </row>
    <row r="53" spans="2:5" ht="15.75">
      <c r="B53" s="271" t="s">
        <v>1098</v>
      </c>
      <c r="C53" s="66">
        <v>6830</v>
      </c>
      <c r="D53" s="66">
        <v>13693</v>
      </c>
      <c r="E53" s="66">
        <v>8000</v>
      </c>
    </row>
    <row r="54" spans="2:5" ht="15.75">
      <c r="B54" s="271"/>
      <c r="C54" s="66"/>
      <c r="D54" s="66"/>
      <c r="E54" s="66"/>
    </row>
    <row r="55" spans="2:5" ht="15.75">
      <c r="B55" s="271"/>
      <c r="C55" s="66"/>
      <c r="D55" s="66"/>
      <c r="E55" s="66"/>
    </row>
    <row r="56" spans="2:5" ht="15.75">
      <c r="B56" s="271"/>
      <c r="C56" s="66"/>
      <c r="D56" s="66"/>
      <c r="E56" s="66"/>
    </row>
    <row r="57" spans="2:5" ht="15.75">
      <c r="B57" s="271"/>
      <c r="C57" s="66"/>
      <c r="D57" s="66"/>
      <c r="E57" s="66"/>
    </row>
    <row r="58" spans="2:5" ht="15.75">
      <c r="B58" s="272" t="s">
        <v>14</v>
      </c>
      <c r="C58" s="66">
        <v>0</v>
      </c>
      <c r="D58" s="256">
        <v>0</v>
      </c>
      <c r="E58" s="256">
        <v>0</v>
      </c>
    </row>
    <row r="59" spans="2:5" ht="15.75">
      <c r="B59" s="291" t="s">
        <v>775</v>
      </c>
      <c r="C59" s="292">
        <f>IF(C60*0.1&lt;C58,"Exceed 10% Rule","")</f>
      </c>
      <c r="D59" s="261">
        <f>IF(D60*0.1&lt;D58,"Exceed 10% Rule","")</f>
      </c>
      <c r="E59" s="261">
        <f>IF(E60*0.1&lt;E58,"Exceed 10% Rule","")</f>
      </c>
    </row>
    <row r="60" spans="2:5" ht="15.75">
      <c r="B60" s="262" t="s">
        <v>118</v>
      </c>
      <c r="C60" s="265">
        <f>SUM(C50:C58)</f>
        <v>241139</v>
      </c>
      <c r="D60" s="265">
        <f>SUM(D50:D58)</f>
        <v>247045</v>
      </c>
      <c r="E60" s="265">
        <f>SUM(E50:E58)</f>
        <v>249658</v>
      </c>
    </row>
    <row r="61" spans="2:5" ht="15.75">
      <c r="B61" s="149" t="s">
        <v>225</v>
      </c>
      <c r="C61" s="81">
        <f>C48-C60</f>
        <v>45482</v>
      </c>
      <c r="D61" s="81">
        <f>D48-D60</f>
        <v>52180</v>
      </c>
      <c r="E61" s="81">
        <f>E48-E60</f>
        <v>52772</v>
      </c>
    </row>
    <row r="62" spans="2:5" ht="15.75">
      <c r="B62" s="135" t="str">
        <f>CONCATENATE("",E1-2,"/",E1-1," Budget Authority Amount:")</f>
        <v>2012/2013 Budget Authority Amount:</v>
      </c>
      <c r="C62" s="240">
        <f>inputOth!B78</f>
        <v>242428</v>
      </c>
      <c r="D62" s="240">
        <f>inputPrYr!D39</f>
        <v>240003</v>
      </c>
      <c r="E62" s="374">
        <f>IF(E61&lt;0,"See Tab E","")</f>
      </c>
    </row>
    <row r="63" spans="2:5" ht="15.75">
      <c r="B63" s="135"/>
      <c r="C63" s="275">
        <f>IF(C60&gt;C62,"See Tab A","")</f>
      </c>
      <c r="D63" s="275" t="str">
        <f>IF(D60&gt;D62,"See Tab C","")</f>
        <v>See Tab C</v>
      </c>
      <c r="E63" s="46"/>
    </row>
    <row r="64" spans="2:5" ht="15.75">
      <c r="B64" s="135"/>
      <c r="C64" s="275">
        <f>IF(C61&lt;0,"See Tab B","")</f>
      </c>
      <c r="D64" s="275">
        <f>IF(D61&lt;0,"See Tab D","")</f>
      </c>
      <c r="E64" s="46"/>
    </row>
    <row r="65" spans="2:5" ht="15.75">
      <c r="B65" s="46"/>
      <c r="C65" s="46"/>
      <c r="D65" s="46"/>
      <c r="E65" s="46"/>
    </row>
    <row r="66" spans="2:5" ht="15.75">
      <c r="B66" s="395" t="s">
        <v>121</v>
      </c>
      <c r="C66" s="280">
        <v>13</v>
      </c>
      <c r="D66" s="46"/>
      <c r="E66" s="46"/>
    </row>
  </sheetData>
  <sheetProtection/>
  <conditionalFormatting sqref="C13">
    <cfRule type="cellIs" priority="3" dxfId="144" operator="greaterThan" stopIfTrue="1">
      <formula>$C$15*0.1</formula>
    </cfRule>
  </conditionalFormatting>
  <conditionalFormatting sqref="D13">
    <cfRule type="cellIs" priority="4" dxfId="144" operator="greaterThan" stopIfTrue="1">
      <formula>$D$15*0.1</formula>
    </cfRule>
  </conditionalFormatting>
  <conditionalFormatting sqref="E13">
    <cfRule type="cellIs" priority="5" dxfId="144" operator="greaterThan" stopIfTrue="1">
      <formula>$E$15*0.1</formula>
    </cfRule>
  </conditionalFormatting>
  <conditionalFormatting sqref="C27">
    <cfRule type="cellIs" priority="6" dxfId="144" operator="greaterThan" stopIfTrue="1">
      <formula>$C$29*0.1</formula>
    </cfRule>
  </conditionalFormatting>
  <conditionalFormatting sqref="D27">
    <cfRule type="cellIs" priority="7" dxfId="144" operator="greaterThan" stopIfTrue="1">
      <formula>$D$29*0.1</formula>
    </cfRule>
  </conditionalFormatting>
  <conditionalFormatting sqref="E27">
    <cfRule type="cellIs" priority="8" dxfId="144" operator="greaterThan" stopIfTrue="1">
      <formula>$E$29*0.1</formula>
    </cfRule>
  </conditionalFormatting>
  <conditionalFormatting sqref="C45">
    <cfRule type="cellIs" priority="9" dxfId="144" operator="greaterThan" stopIfTrue="1">
      <formula>$C$47*0.1</formula>
    </cfRule>
  </conditionalFormatting>
  <conditionalFormatting sqref="D45">
    <cfRule type="cellIs" priority="10" dxfId="144" operator="greaterThan" stopIfTrue="1">
      <formula>$D$47*0.1</formula>
    </cfRule>
  </conditionalFormatting>
  <conditionalFormatting sqref="E45">
    <cfRule type="cellIs" priority="11" dxfId="144" operator="greaterThan" stopIfTrue="1">
      <formula>$E$47*0.1</formula>
    </cfRule>
  </conditionalFormatting>
  <conditionalFormatting sqref="C58">
    <cfRule type="cellIs" priority="12" dxfId="144" operator="greaterThan" stopIfTrue="1">
      <formula>$C$60*0.1</formula>
    </cfRule>
  </conditionalFormatting>
  <conditionalFormatting sqref="D58">
    <cfRule type="cellIs" priority="13" dxfId="144" operator="greaterThan" stopIfTrue="1">
      <formula>$D$60*0.1</formula>
    </cfRule>
  </conditionalFormatting>
  <conditionalFormatting sqref="E58">
    <cfRule type="cellIs" priority="14" dxfId="144" operator="greaterThan" stopIfTrue="1">
      <formula>$E$60*0.1</formula>
    </cfRule>
  </conditionalFormatting>
  <conditionalFormatting sqref="D60">
    <cfRule type="cellIs" priority="15" dxfId="3" operator="greaterThan" stopIfTrue="1">
      <formula>$D$62</formula>
    </cfRule>
  </conditionalFormatting>
  <conditionalFormatting sqref="C60">
    <cfRule type="cellIs" priority="16" dxfId="3" operator="greaterThan" stopIfTrue="1">
      <formula>$C$62</formula>
    </cfRule>
  </conditionalFormatting>
  <conditionalFormatting sqref="C61 E61 C30 E30">
    <cfRule type="cellIs" priority="17" dxfId="3" operator="lessThan" stopIfTrue="1">
      <formula>0</formula>
    </cfRule>
  </conditionalFormatting>
  <conditionalFormatting sqref="D29">
    <cfRule type="cellIs" priority="18" dxfId="3" operator="greaterThan" stopIfTrue="1">
      <formula>$D$31</formula>
    </cfRule>
  </conditionalFormatting>
  <conditionalFormatting sqref="C29">
    <cfRule type="cellIs" priority="19" dxfId="3" operator="greaterThan" stopIfTrue="1">
      <formula>$C$31</formula>
    </cfRule>
  </conditionalFormatting>
  <conditionalFormatting sqref="D61">
    <cfRule type="cellIs" priority="2" dxfId="0" operator="lessThan" stopIfTrue="1">
      <formula>0</formula>
    </cfRule>
  </conditionalFormatting>
  <conditionalFormatting sqref="D3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5"/>
  <sheetViews>
    <sheetView zoomScalePageLayoutView="0" workbookViewId="0" topLeftCell="A85">
      <selection activeCell="D44" sqref="D44"/>
    </sheetView>
  </sheetViews>
  <sheetFormatPr defaultColWidth="8.796875" defaultRowHeight="15"/>
  <cols>
    <col min="1" max="1" width="15.796875" style="44" customWidth="1"/>
    <col min="2" max="2" width="20.796875" style="44" customWidth="1"/>
    <col min="3" max="3" width="9.796875" style="44" customWidth="1"/>
    <col min="4" max="4" width="15.09765625" style="44" customWidth="1"/>
    <col min="5" max="5" width="15.796875" style="44" customWidth="1"/>
    <col min="6" max="6" width="1.8984375" style="44" customWidth="1"/>
    <col min="7" max="7" width="18.69921875" style="44" customWidth="1"/>
    <col min="8" max="16384" width="8.8984375" style="44" customWidth="1"/>
  </cols>
  <sheetData>
    <row r="1" spans="1:5" ht="15.75">
      <c r="A1" s="746" t="s">
        <v>71</v>
      </c>
      <c r="B1" s="747"/>
      <c r="C1" s="747"/>
      <c r="D1" s="747"/>
      <c r="E1" s="747"/>
    </row>
    <row r="2" spans="1:5" ht="15.75">
      <c r="A2" s="45" t="s">
        <v>19</v>
      </c>
      <c r="B2" s="46"/>
      <c r="C2" s="46"/>
      <c r="D2" s="47" t="s">
        <v>1001</v>
      </c>
      <c r="E2" s="48"/>
    </row>
    <row r="3" spans="1:5" ht="15.75">
      <c r="A3" s="45" t="s">
        <v>20</v>
      </c>
      <c r="B3" s="46"/>
      <c r="C3" s="46"/>
      <c r="D3" s="49" t="s">
        <v>1002</v>
      </c>
      <c r="E3" s="50"/>
    </row>
    <row r="4" spans="1:5" ht="15.75">
      <c r="A4" s="51"/>
      <c r="B4" s="46"/>
      <c r="C4" s="46"/>
      <c r="D4" s="52"/>
      <c r="E4" s="46"/>
    </row>
    <row r="5" spans="1:5" ht="15.75">
      <c r="A5" s="45" t="s">
        <v>265</v>
      </c>
      <c r="B5" s="46"/>
      <c r="C5" s="53">
        <v>2014</v>
      </c>
      <c r="D5" s="52"/>
      <c r="E5" s="46"/>
    </row>
    <row r="6" spans="1:5" ht="15.75">
      <c r="A6" s="46"/>
      <c r="B6" s="46"/>
      <c r="C6" s="46"/>
      <c r="D6" s="46"/>
      <c r="E6" s="46"/>
    </row>
    <row r="7" spans="1:5" ht="15.75">
      <c r="A7" s="54" t="s">
        <v>395</v>
      </c>
      <c r="B7" s="55"/>
      <c r="C7" s="55"/>
      <c r="D7" s="55"/>
      <c r="E7" s="55"/>
    </row>
    <row r="8" spans="1:8" ht="15.75">
      <c r="A8" s="54" t="s">
        <v>394</v>
      </c>
      <c r="B8" s="55"/>
      <c r="C8" s="55"/>
      <c r="D8" s="55"/>
      <c r="E8" s="55"/>
      <c r="F8" s="46"/>
      <c r="G8" s="748" t="s">
        <v>860</v>
      </c>
      <c r="H8" s="749"/>
    </row>
    <row r="9" spans="1:8" ht="15.75">
      <c r="A9" s="54"/>
      <c r="B9" s="55"/>
      <c r="C9" s="55"/>
      <c r="D9" s="55"/>
      <c r="E9" s="55"/>
      <c r="F9" s="46"/>
      <c r="G9" s="750"/>
      <c r="H9" s="749"/>
    </row>
    <row r="10" spans="1:8" ht="15.75">
      <c r="A10" s="744" t="s">
        <v>327</v>
      </c>
      <c r="B10" s="745"/>
      <c r="C10" s="745"/>
      <c r="D10" s="745"/>
      <c r="E10" s="745"/>
      <c r="F10" s="46"/>
      <c r="G10" s="750"/>
      <c r="H10" s="749"/>
    </row>
    <row r="11" spans="1:8" ht="15.75">
      <c r="A11" s="46"/>
      <c r="B11" s="46"/>
      <c r="C11" s="46"/>
      <c r="D11" s="46"/>
      <c r="E11" s="46"/>
      <c r="F11" s="46"/>
      <c r="G11" s="750"/>
      <c r="H11" s="749"/>
    </row>
    <row r="12" spans="1:8" ht="15.75">
      <c r="A12" s="56" t="s">
        <v>328</v>
      </c>
      <c r="B12" s="57"/>
      <c r="C12" s="46"/>
      <c r="D12" s="46"/>
      <c r="E12" s="46"/>
      <c r="F12" s="46"/>
      <c r="G12" s="750"/>
      <c r="H12" s="749"/>
    </row>
    <row r="13" spans="1:8" ht="15.75">
      <c r="A13" s="58" t="str">
        <f>CONCATENATE("the ",C5-1," Budget, Certificate Page:")</f>
        <v>the 2013 Budget, Certificate Page:</v>
      </c>
      <c r="B13" s="59"/>
      <c r="C13" s="46"/>
      <c r="D13" s="46"/>
      <c r="E13" s="46"/>
      <c r="F13" s="46"/>
      <c r="G13" s="750"/>
      <c r="H13" s="749"/>
    </row>
    <row r="14" spans="1:8" ht="15.75">
      <c r="A14" s="58" t="s">
        <v>397</v>
      </c>
      <c r="B14" s="59"/>
      <c r="C14" s="46"/>
      <c r="D14" s="46"/>
      <c r="E14" s="46"/>
      <c r="F14" s="46"/>
      <c r="G14" s="75"/>
      <c r="H14" s="601"/>
    </row>
    <row r="15" spans="1:8" ht="15.75">
      <c r="A15" s="46"/>
      <c r="B15" s="46"/>
      <c r="C15" s="46"/>
      <c r="D15" s="60">
        <f>C5-1</f>
        <v>2013</v>
      </c>
      <c r="E15" s="60">
        <f>C5-2</f>
        <v>2012</v>
      </c>
      <c r="G15" s="198" t="s">
        <v>861</v>
      </c>
      <c r="H15" s="155" t="s">
        <v>120</v>
      </c>
    </row>
    <row r="16" spans="1:8" ht="15.75">
      <c r="A16" s="51" t="s">
        <v>72</v>
      </c>
      <c r="B16" s="46"/>
      <c r="C16" s="61" t="s">
        <v>73</v>
      </c>
      <c r="D16" s="62" t="s">
        <v>396</v>
      </c>
      <c r="E16" s="62" t="s">
        <v>63</v>
      </c>
      <c r="G16" s="199" t="str">
        <f>CONCATENATE("",E15," Ad Valorem Tax")</f>
        <v>2012 Ad Valorem Tax</v>
      </c>
      <c r="H16" s="602">
        <v>0</v>
      </c>
    </row>
    <row r="17" spans="1:7" ht="15.75">
      <c r="A17" s="46"/>
      <c r="B17" s="63" t="s">
        <v>74</v>
      </c>
      <c r="C17" s="155" t="s">
        <v>228</v>
      </c>
      <c r="D17" s="65">
        <v>1247506</v>
      </c>
      <c r="E17" s="65">
        <v>382669</v>
      </c>
      <c r="G17" s="227">
        <f>IF(H16&gt;0,ROUND(E17-(E17*H16),0),0)</f>
        <v>0</v>
      </c>
    </row>
    <row r="18" spans="1:7" ht="15.75">
      <c r="A18" s="46"/>
      <c r="B18" s="63" t="s">
        <v>1035</v>
      </c>
      <c r="C18" s="155" t="s">
        <v>266</v>
      </c>
      <c r="D18" s="66">
        <v>473377</v>
      </c>
      <c r="E18" s="66">
        <v>83173</v>
      </c>
      <c r="G18" s="227">
        <f>IF(H16&gt;0,ROUND(E18-(E18*H16),0),0)</f>
        <v>0</v>
      </c>
    </row>
    <row r="19" spans="1:7" ht="15.75">
      <c r="A19" s="46"/>
      <c r="B19" s="63" t="s">
        <v>862</v>
      </c>
      <c r="C19" s="155" t="s">
        <v>863</v>
      </c>
      <c r="D19" s="66">
        <v>84509</v>
      </c>
      <c r="E19" s="66">
        <v>72776</v>
      </c>
      <c r="G19" s="227">
        <f>IF(H16&gt;0,ROUND(E19-(E19*H16),0),0)</f>
        <v>0</v>
      </c>
    </row>
    <row r="20" spans="1:5" ht="15.75">
      <c r="A20" s="51" t="s">
        <v>75</v>
      </c>
      <c r="B20" s="46"/>
      <c r="C20" s="46"/>
      <c r="D20" s="46"/>
      <c r="E20" s="67"/>
    </row>
    <row r="21" spans="1:7" ht="15.75">
      <c r="A21" s="46"/>
      <c r="B21" s="68" t="s">
        <v>1003</v>
      </c>
      <c r="C21" s="376" t="s">
        <v>1004</v>
      </c>
      <c r="D21" s="66">
        <v>50059</v>
      </c>
      <c r="E21" s="66">
        <v>38116</v>
      </c>
      <c r="G21" s="227">
        <f>IF(H16&gt;0,ROUND(E21-(E21*H16),0),0)</f>
        <v>0</v>
      </c>
    </row>
    <row r="22" spans="1:7" ht="15.75">
      <c r="A22" s="46"/>
      <c r="B22" s="68"/>
      <c r="C22" s="376"/>
      <c r="D22" s="66"/>
      <c r="E22" s="66"/>
      <c r="G22" s="227">
        <f>IF(H16&gt;0,ROUND(E22-(E22*H16),0),0)</f>
        <v>0</v>
      </c>
    </row>
    <row r="23" spans="1:7" ht="15.75">
      <c r="A23" s="46"/>
      <c r="B23" s="68"/>
      <c r="C23" s="376"/>
      <c r="D23" s="66"/>
      <c r="E23" s="66"/>
      <c r="G23" s="227">
        <f>IF(H16&gt;0,ROUND(E23-(E23*H16),0),0)</f>
        <v>0</v>
      </c>
    </row>
    <row r="24" spans="1:7" ht="15.75">
      <c r="A24" s="46"/>
      <c r="B24" s="68"/>
      <c r="C24" s="376"/>
      <c r="D24" s="66"/>
      <c r="E24" s="66"/>
      <c r="G24" s="227">
        <f>IF(H16&gt;0,ROUND(E24-(E24*H16),0),0)</f>
        <v>0</v>
      </c>
    </row>
    <row r="25" spans="1:7" ht="15.75">
      <c r="A25" s="46"/>
      <c r="B25" s="68"/>
      <c r="C25" s="376"/>
      <c r="D25" s="66"/>
      <c r="E25" s="66"/>
      <c r="G25" s="227">
        <f>IF(H16&gt;0,ROUND(E25-(E25*H16),0),0)</f>
        <v>0</v>
      </c>
    </row>
    <row r="26" spans="1:7" ht="15.75">
      <c r="A26" s="46"/>
      <c r="B26" s="68"/>
      <c r="C26" s="376"/>
      <c r="D26" s="66"/>
      <c r="E26" s="66"/>
      <c r="G26" s="227">
        <f>IF(H16&gt;0,ROUND(E26-(E26*H16),0),0)</f>
        <v>0</v>
      </c>
    </row>
    <row r="27" spans="1:7" ht="15.75">
      <c r="A27" s="46"/>
      <c r="B27" s="68"/>
      <c r="C27" s="376"/>
      <c r="D27" s="66"/>
      <c r="E27" s="66"/>
      <c r="G27" s="227">
        <f>IF(H16&gt;0,ROUND(E27-(E27*H16),0),0)</f>
        <v>0</v>
      </c>
    </row>
    <row r="28" spans="1:7" ht="15.75">
      <c r="A28" s="46"/>
      <c r="B28" s="68"/>
      <c r="C28" s="376"/>
      <c r="D28" s="66"/>
      <c r="E28" s="66"/>
      <c r="G28" s="227">
        <f>IF(H16&gt;0,ROUND(E28-(E28*H16),0),0)</f>
        <v>0</v>
      </c>
    </row>
    <row r="29" spans="1:7" ht="15.75">
      <c r="A29" s="46"/>
      <c r="B29" s="68"/>
      <c r="C29" s="376"/>
      <c r="D29" s="66"/>
      <c r="E29" s="66"/>
      <c r="G29" s="227">
        <f>IF(H16&gt;0,ROUND(E29-(E29*H16),0),0)</f>
        <v>0</v>
      </c>
    </row>
    <row r="30" spans="1:7" ht="15.75">
      <c r="A30" s="46"/>
      <c r="B30" s="68"/>
      <c r="C30" s="376"/>
      <c r="D30" s="66"/>
      <c r="E30" s="66"/>
      <c r="G30" s="227">
        <f>IF(H16&gt;0,ROUND(E30-(E30*H16),0),0)</f>
        <v>0</v>
      </c>
    </row>
    <row r="31" spans="1:5" ht="15.75">
      <c r="A31" s="69" t="str">
        <f>CONCATENATE("Total Tax Levy Funds for ",C5-1," Budgeted Year")</f>
        <v>Total Tax Levy Funds for 2013 Budgeted Year</v>
      </c>
      <c r="B31" s="70"/>
      <c r="C31" s="71"/>
      <c r="D31" s="72"/>
      <c r="E31" s="73">
        <f>SUM(E17:E30)</f>
        <v>576734</v>
      </c>
    </row>
    <row r="32" spans="1:5" ht="15.75">
      <c r="A32" s="74"/>
      <c r="B32" s="75"/>
      <c r="C32" s="75"/>
      <c r="D32" s="76"/>
      <c r="E32" s="67"/>
    </row>
    <row r="33" spans="1:5" ht="15.75">
      <c r="A33" s="51" t="s">
        <v>271</v>
      </c>
      <c r="B33" s="46"/>
      <c r="C33" s="46"/>
      <c r="D33" s="46"/>
      <c r="E33" s="46"/>
    </row>
    <row r="34" spans="1:5" ht="15.75">
      <c r="A34" s="46"/>
      <c r="B34" s="64" t="s">
        <v>203</v>
      </c>
      <c r="C34" s="46"/>
      <c r="D34" s="66">
        <v>65300</v>
      </c>
      <c r="E34" s="46"/>
    </row>
    <row r="35" spans="1:5" ht="15.75">
      <c r="A35" s="46"/>
      <c r="B35" s="68" t="s">
        <v>1005</v>
      </c>
      <c r="C35" s="46"/>
      <c r="D35" s="66">
        <v>2900</v>
      </c>
      <c r="E35" s="46"/>
    </row>
    <row r="36" spans="1:5" ht="15.75">
      <c r="A36" s="46"/>
      <c r="B36" s="68" t="s">
        <v>1006</v>
      </c>
      <c r="C36" s="46"/>
      <c r="D36" s="66">
        <v>885681</v>
      </c>
      <c r="E36" s="46"/>
    </row>
    <row r="37" spans="1:5" ht="15.75">
      <c r="A37" s="46"/>
      <c r="B37" s="68" t="s">
        <v>1007</v>
      </c>
      <c r="C37" s="46"/>
      <c r="D37" s="66">
        <v>2956534</v>
      </c>
      <c r="E37" s="46"/>
    </row>
    <row r="38" spans="1:5" ht="15.75">
      <c r="A38" s="46"/>
      <c r="B38" s="68" t="s">
        <v>1008</v>
      </c>
      <c r="C38" s="46"/>
      <c r="D38" s="66">
        <v>189839</v>
      </c>
      <c r="E38" s="46"/>
    </row>
    <row r="39" spans="1:5" ht="15.75">
      <c r="A39" s="46"/>
      <c r="B39" s="68" t="s">
        <v>1009</v>
      </c>
      <c r="C39" s="46"/>
      <c r="D39" s="66">
        <v>240003</v>
      </c>
      <c r="E39" s="46"/>
    </row>
    <row r="40" spans="1:5" ht="15.75">
      <c r="A40" s="46"/>
      <c r="B40" s="68" t="s">
        <v>1010</v>
      </c>
      <c r="C40" s="46"/>
      <c r="D40" s="66">
        <v>20383</v>
      </c>
      <c r="E40" s="46"/>
    </row>
    <row r="41" spans="1:5" ht="15.75">
      <c r="A41" s="46"/>
      <c r="B41" s="68" t="s">
        <v>1011</v>
      </c>
      <c r="C41" s="46"/>
      <c r="D41" s="66">
        <v>11575</v>
      </c>
      <c r="E41" s="46"/>
    </row>
    <row r="42" spans="1:5" ht="15.75">
      <c r="A42" s="46"/>
      <c r="B42" s="68" t="s">
        <v>1012</v>
      </c>
      <c r="C42" s="46"/>
      <c r="D42" s="66">
        <v>255000</v>
      </c>
      <c r="E42" s="46"/>
    </row>
    <row r="43" spans="1:5" ht="15.75">
      <c r="A43" s="46"/>
      <c r="B43" s="68" t="s">
        <v>1013</v>
      </c>
      <c r="C43" s="46"/>
      <c r="D43" s="66">
        <v>0</v>
      </c>
      <c r="E43" s="46"/>
    </row>
    <row r="44" spans="1:5" ht="15.75">
      <c r="A44" s="46"/>
      <c r="B44" s="77"/>
      <c r="C44" s="46"/>
      <c r="D44" s="66"/>
      <c r="E44" s="46"/>
    </row>
    <row r="45" spans="1:5" ht="15.75">
      <c r="A45" s="46"/>
      <c r="B45" s="77"/>
      <c r="C45" s="46"/>
      <c r="D45" s="66"/>
      <c r="E45" s="46"/>
    </row>
    <row r="46" spans="1:5" ht="15.75">
      <c r="A46" s="46"/>
      <c r="B46" s="77"/>
      <c r="C46" s="46"/>
      <c r="D46" s="66"/>
      <c r="E46" s="46"/>
    </row>
    <row r="47" spans="1:5" ht="15.75">
      <c r="A47" s="46"/>
      <c r="B47" s="77"/>
      <c r="C47" s="46"/>
      <c r="D47" s="66"/>
      <c r="E47" s="46"/>
    </row>
    <row r="48" spans="1:5" ht="15.75">
      <c r="A48" s="46"/>
      <c r="B48" s="77"/>
      <c r="C48" s="46"/>
      <c r="D48" s="66"/>
      <c r="E48" s="46"/>
    </row>
    <row r="49" spans="1:5" ht="15.75">
      <c r="A49" s="46"/>
      <c r="B49" s="77"/>
      <c r="C49" s="46"/>
      <c r="D49" s="66"/>
      <c r="E49" s="46"/>
    </row>
    <row r="50" spans="1:5" ht="15.75">
      <c r="A50" s="46" t="s">
        <v>300</v>
      </c>
      <c r="B50" s="78"/>
      <c r="C50" s="46"/>
      <c r="D50" s="46"/>
      <c r="E50" s="46"/>
    </row>
    <row r="51" spans="1:5" ht="15.75">
      <c r="A51" s="46">
        <v>1</v>
      </c>
      <c r="B51" s="77"/>
      <c r="C51" s="46"/>
      <c r="D51" s="66"/>
      <c r="E51" s="46"/>
    </row>
    <row r="52" spans="1:5" ht="15.75">
      <c r="A52" s="46">
        <v>2</v>
      </c>
      <c r="B52" s="77"/>
      <c r="C52" s="46"/>
      <c r="D52" s="66"/>
      <c r="E52" s="46"/>
    </row>
    <row r="53" spans="1:5" ht="15.75">
      <c r="A53" s="46">
        <v>3</v>
      </c>
      <c r="B53" s="77"/>
      <c r="C53" s="46"/>
      <c r="D53" s="66"/>
      <c r="E53" s="46"/>
    </row>
    <row r="54" spans="1:5" ht="15.75">
      <c r="A54" s="46">
        <v>4</v>
      </c>
      <c r="B54" s="77"/>
      <c r="C54" s="46"/>
      <c r="D54" s="66"/>
      <c r="E54" s="46"/>
    </row>
    <row r="55" spans="1:5" ht="15.75">
      <c r="A55" s="69" t="str">
        <f>CONCATENATE("Total Expenditures for ",C5-1," Budgeted Year")</f>
        <v>Total Expenditures for 2013 Budgeted Year</v>
      </c>
      <c r="B55" s="79"/>
      <c r="C55" s="80"/>
      <c r="D55" s="81">
        <f>SUM(D17:D19,D21:D30,D34:D49,D51:D54)</f>
        <v>6482666</v>
      </c>
      <c r="E55" s="46"/>
    </row>
    <row r="56" spans="1:5" ht="15.75">
      <c r="A56" s="46" t="s">
        <v>301</v>
      </c>
      <c r="B56" s="82"/>
      <c r="C56" s="46"/>
      <c r="D56" s="46"/>
      <c r="E56" s="46"/>
    </row>
    <row r="57" spans="1:5" ht="15.75">
      <c r="A57" s="46">
        <v>1</v>
      </c>
      <c r="B57" s="77" t="s">
        <v>1014</v>
      </c>
      <c r="C57" s="46"/>
      <c r="D57" s="46"/>
      <c r="E57" s="46"/>
    </row>
    <row r="58" spans="1:5" ht="15.75">
      <c r="A58" s="46">
        <v>2</v>
      </c>
      <c r="B58" s="77" t="s">
        <v>1015</v>
      </c>
      <c r="C58" s="46"/>
      <c r="D58" s="46"/>
      <c r="E58" s="46"/>
    </row>
    <row r="59" spans="1:5" ht="15.75">
      <c r="A59" s="46">
        <v>3</v>
      </c>
      <c r="B59" s="77" t="s">
        <v>1016</v>
      </c>
      <c r="C59" s="46"/>
      <c r="D59" s="46"/>
      <c r="E59" s="46"/>
    </row>
    <row r="60" spans="1:5" ht="15.75">
      <c r="A60" s="46">
        <v>4</v>
      </c>
      <c r="B60" s="77" t="s">
        <v>1017</v>
      </c>
      <c r="C60" s="46"/>
      <c r="D60" s="46"/>
      <c r="E60" s="46"/>
    </row>
    <row r="61" spans="1:5" ht="15.75">
      <c r="A61" s="46">
        <v>5</v>
      </c>
      <c r="B61" s="77" t="s">
        <v>1018</v>
      </c>
      <c r="C61" s="46"/>
      <c r="D61" s="46"/>
      <c r="E61" s="46"/>
    </row>
    <row r="62" spans="1:5" ht="15.75">
      <c r="A62" s="46" t="s">
        <v>302</v>
      </c>
      <c r="B62" s="78"/>
      <c r="C62" s="46"/>
      <c r="D62" s="46"/>
      <c r="E62" s="46"/>
    </row>
    <row r="63" spans="1:5" ht="15.75">
      <c r="A63" s="46">
        <v>1</v>
      </c>
      <c r="B63" s="77" t="s">
        <v>1019</v>
      </c>
      <c r="C63" s="46"/>
      <c r="D63" s="46"/>
      <c r="E63" s="46"/>
    </row>
    <row r="64" spans="1:5" ht="15.75">
      <c r="A64" s="46">
        <v>2</v>
      </c>
      <c r="B64" s="77" t="s">
        <v>1020</v>
      </c>
      <c r="C64" s="46"/>
      <c r="D64" s="46"/>
      <c r="E64" s="46"/>
    </row>
    <row r="65" spans="1:5" ht="15.75">
      <c r="A65" s="46">
        <v>3</v>
      </c>
      <c r="B65" s="77" t="s">
        <v>1021</v>
      </c>
      <c r="C65" s="46"/>
      <c r="D65" s="46"/>
      <c r="E65" s="46"/>
    </row>
    <row r="66" spans="1:5" ht="15.75">
      <c r="A66" s="46">
        <v>4</v>
      </c>
      <c r="B66" s="77" t="s">
        <v>260</v>
      </c>
      <c r="C66" s="46"/>
      <c r="D66" s="46"/>
      <c r="E66" s="46"/>
    </row>
    <row r="67" spans="1:5" ht="15.75">
      <c r="A67" s="46">
        <v>5</v>
      </c>
      <c r="B67" s="77" t="s">
        <v>1022</v>
      </c>
      <c r="C67" s="46"/>
      <c r="D67" s="46"/>
      <c r="E67" s="46"/>
    </row>
    <row r="68" spans="1:5" ht="15.75">
      <c r="A68" s="46" t="s">
        <v>303</v>
      </c>
      <c r="B68" s="78"/>
      <c r="C68" s="46"/>
      <c r="D68" s="46"/>
      <c r="E68" s="46"/>
    </row>
    <row r="69" spans="1:5" ht="15.75">
      <c r="A69" s="46">
        <v>1</v>
      </c>
      <c r="B69" s="77" t="s">
        <v>1023</v>
      </c>
      <c r="C69" s="46"/>
      <c r="D69" s="46"/>
      <c r="E69" s="46"/>
    </row>
    <row r="70" spans="1:5" ht="15.75">
      <c r="A70" s="46">
        <v>2</v>
      </c>
      <c r="B70" s="77" t="s">
        <v>1024</v>
      </c>
      <c r="C70" s="46"/>
      <c r="D70" s="46"/>
      <c r="E70" s="46"/>
    </row>
    <row r="71" spans="1:5" ht="15.75">
      <c r="A71" s="46">
        <v>3</v>
      </c>
      <c r="B71" s="77" t="s">
        <v>1025</v>
      </c>
      <c r="C71" s="46"/>
      <c r="D71" s="46"/>
      <c r="E71" s="46"/>
    </row>
    <row r="72" spans="1:5" ht="15.75">
      <c r="A72" s="46">
        <v>4</v>
      </c>
      <c r="B72" s="77" t="s">
        <v>1026</v>
      </c>
      <c r="C72" s="46"/>
      <c r="D72" s="46"/>
      <c r="E72" s="46"/>
    </row>
    <row r="73" spans="1:5" ht="15.75">
      <c r="A73" s="46">
        <v>5</v>
      </c>
      <c r="B73" s="77" t="s">
        <v>1027</v>
      </c>
      <c r="C73" s="46"/>
      <c r="D73" s="46"/>
      <c r="E73" s="46"/>
    </row>
    <row r="74" spans="1:5" ht="15.75">
      <c r="A74" s="46" t="s">
        <v>304</v>
      </c>
      <c r="B74" s="78"/>
      <c r="C74" s="46"/>
      <c r="D74" s="46"/>
      <c r="E74" s="46"/>
    </row>
    <row r="75" spans="1:5" ht="15.75">
      <c r="A75" s="46">
        <v>1</v>
      </c>
      <c r="B75" s="77" t="s">
        <v>1028</v>
      </c>
      <c r="C75" s="46"/>
      <c r="D75" s="46"/>
      <c r="E75" s="46"/>
    </row>
    <row r="76" spans="1:5" ht="15.75">
      <c r="A76" s="46">
        <v>2</v>
      </c>
      <c r="B76" s="77"/>
      <c r="C76" s="46"/>
      <c r="D76" s="46"/>
      <c r="E76" s="46"/>
    </row>
    <row r="77" spans="1:5" ht="15.75">
      <c r="A77" s="46">
        <v>3</v>
      </c>
      <c r="B77" s="77"/>
      <c r="C77" s="46"/>
      <c r="D77" s="46"/>
      <c r="E77" s="46"/>
    </row>
    <row r="78" spans="1:5" ht="15.75">
      <c r="A78" s="46">
        <v>4</v>
      </c>
      <c r="B78" s="77"/>
      <c r="C78" s="46"/>
      <c r="D78" s="46"/>
      <c r="E78" s="46"/>
    </row>
    <row r="79" spans="1:5" ht="15.75">
      <c r="A79" s="46">
        <v>5</v>
      </c>
      <c r="B79" s="77"/>
      <c r="C79" s="46"/>
      <c r="D79" s="46"/>
      <c r="E79" s="46"/>
    </row>
    <row r="80" spans="1:5" ht="15.75">
      <c r="A80" s="74"/>
      <c r="B80" s="75"/>
      <c r="C80" s="75"/>
      <c r="D80" s="75"/>
      <c r="E80" s="83"/>
    </row>
    <row r="81" spans="1:5" ht="15.75">
      <c r="A81" s="46"/>
      <c r="B81" s="46"/>
      <c r="C81" s="46"/>
      <c r="D81" s="46"/>
      <c r="E81" s="46"/>
    </row>
    <row r="82" spans="1:5" ht="15.75">
      <c r="A82" s="46"/>
      <c r="B82" s="46"/>
      <c r="C82" s="46"/>
      <c r="D82" s="84" t="str">
        <f>CONCATENATE("",C5-3," Tax Rate")</f>
        <v>2011 Tax Rate</v>
      </c>
      <c r="E82" s="46"/>
    </row>
    <row r="83" spans="1:5" ht="15.75">
      <c r="A83" s="58" t="str">
        <f>CONCATENATE("From the ",C5-1," Budget, Budget Summary Page")</f>
        <v>From the 2013 Budget, Budget Summary Page</v>
      </c>
      <c r="B83" s="59"/>
      <c r="C83" s="46"/>
      <c r="D83" s="85" t="str">
        <f>CONCATENATE("(",C5-2," Column)")</f>
        <v>(2012 Column)</v>
      </c>
      <c r="E83" s="46"/>
    </row>
    <row r="84" spans="1:5" ht="15.75">
      <c r="A84" s="46"/>
      <c r="B84" s="86" t="str">
        <f>B17</f>
        <v>General</v>
      </c>
      <c r="C84" s="46"/>
      <c r="D84" s="77">
        <v>38.04</v>
      </c>
      <c r="E84" s="46"/>
    </row>
    <row r="85" spans="1:5" ht="15.75">
      <c r="A85" s="46"/>
      <c r="B85" s="86" t="str">
        <f>B18</f>
        <v>Bond &amp; Interest</v>
      </c>
      <c r="C85" s="46"/>
      <c r="D85" s="77">
        <v>6.636</v>
      </c>
      <c r="E85" s="46"/>
    </row>
    <row r="86" spans="1:5" ht="15.75">
      <c r="A86" s="46"/>
      <c r="B86" s="86" t="str">
        <f>B19</f>
        <v>Library</v>
      </c>
      <c r="C86" s="46"/>
      <c r="D86" s="77">
        <v>2.044</v>
      </c>
      <c r="E86" s="46"/>
    </row>
    <row r="87" spans="1:5" ht="15.75">
      <c r="A87" s="46"/>
      <c r="B87" s="86" t="str">
        <f aca="true" t="shared" si="0" ref="B87:B96">B21</f>
        <v>Industrial Development</v>
      </c>
      <c r="C87" s="46"/>
      <c r="D87" s="77">
        <v>6.465</v>
      </c>
      <c r="E87" s="46"/>
    </row>
    <row r="88" spans="1:5" ht="15.75">
      <c r="A88" s="46"/>
      <c r="B88" s="86">
        <f t="shared" si="0"/>
        <v>0</v>
      </c>
      <c r="C88" s="46"/>
      <c r="D88" s="77"/>
      <c r="E88" s="46"/>
    </row>
    <row r="89" spans="1:5" ht="15.75">
      <c r="A89" s="46"/>
      <c r="B89" s="86">
        <f t="shared" si="0"/>
        <v>0</v>
      </c>
      <c r="C89" s="46"/>
      <c r="D89" s="77"/>
      <c r="E89" s="46"/>
    </row>
    <row r="90" spans="1:5" ht="15.75">
      <c r="A90" s="46"/>
      <c r="B90" s="86">
        <f t="shared" si="0"/>
        <v>0</v>
      </c>
      <c r="C90" s="46"/>
      <c r="D90" s="77"/>
      <c r="E90" s="46"/>
    </row>
    <row r="91" spans="1:5" ht="15.75">
      <c r="A91" s="46"/>
      <c r="B91" s="86">
        <f t="shared" si="0"/>
        <v>0</v>
      </c>
      <c r="C91" s="46"/>
      <c r="D91" s="77"/>
      <c r="E91" s="46"/>
    </row>
    <row r="92" spans="1:5" ht="15.75">
      <c r="A92" s="46"/>
      <c r="B92" s="86">
        <f t="shared" si="0"/>
        <v>0</v>
      </c>
      <c r="C92" s="46"/>
      <c r="D92" s="77"/>
      <c r="E92" s="46"/>
    </row>
    <row r="93" spans="1:5" ht="15.75">
      <c r="A93" s="46"/>
      <c r="B93" s="86">
        <f t="shared" si="0"/>
        <v>0</v>
      </c>
      <c r="C93" s="46"/>
      <c r="D93" s="77"/>
      <c r="E93" s="46"/>
    </row>
    <row r="94" spans="1:5" ht="15.75">
      <c r="A94" s="46"/>
      <c r="B94" s="86">
        <f t="shared" si="0"/>
        <v>0</v>
      </c>
      <c r="C94" s="46"/>
      <c r="D94" s="77"/>
      <c r="E94" s="46"/>
    </row>
    <row r="95" spans="1:5" ht="15.75">
      <c r="A95" s="46"/>
      <c r="B95" s="86">
        <f t="shared" si="0"/>
        <v>0</v>
      </c>
      <c r="C95" s="46"/>
      <c r="D95" s="77"/>
      <c r="E95" s="46"/>
    </row>
    <row r="96" spans="1:5" ht="15.75">
      <c r="A96" s="46"/>
      <c r="B96" s="86">
        <f t="shared" si="0"/>
        <v>0</v>
      </c>
      <c r="C96" s="152"/>
      <c r="D96" s="77"/>
      <c r="E96" s="46"/>
    </row>
    <row r="97" spans="1:5" ht="15.75">
      <c r="A97" s="69" t="s">
        <v>76</v>
      </c>
      <c r="B97" s="70"/>
      <c r="C97" s="80"/>
      <c r="D97" s="87">
        <f>SUM(D84:D96)</f>
        <v>53.185</v>
      </c>
      <c r="E97" s="46"/>
    </row>
    <row r="98" spans="1:5" ht="15.75">
      <c r="A98" s="46"/>
      <c r="B98" s="46"/>
      <c r="C98" s="46"/>
      <c r="D98" s="46"/>
      <c r="E98" s="46"/>
    </row>
    <row r="99" spans="1:5" ht="15.75">
      <c r="A99" s="88" t="str">
        <f>CONCATENATE("Total Tax Levied (",C5-2," budget column)")</f>
        <v>Total Tax Levied (2012 budget column)</v>
      </c>
      <c r="B99" s="89"/>
      <c r="C99" s="70"/>
      <c r="D99" s="80"/>
      <c r="E99" s="66">
        <v>581962</v>
      </c>
    </row>
    <row r="100" spans="1:5" ht="15.75">
      <c r="A100" s="90" t="str">
        <f>CONCATENATE("Assessed Valuation  (",C5-2," budget column)")</f>
        <v>Assessed Valuation  (2012 budget column)</v>
      </c>
      <c r="B100" s="91"/>
      <c r="C100" s="71"/>
      <c r="D100" s="92"/>
      <c r="E100" s="66">
        <v>10942645</v>
      </c>
    </row>
    <row r="101" spans="1:5" ht="15.75">
      <c r="A101" s="74"/>
      <c r="B101" s="75"/>
      <c r="C101" s="75"/>
      <c r="D101" s="75"/>
      <c r="E101" s="83"/>
    </row>
    <row r="102" spans="1:5" ht="15.75">
      <c r="A102" s="93" t="str">
        <f>CONCATENATE("From the ",C5-1," Budget, Budget Summary Page")</f>
        <v>From the 2013 Budget, Budget Summary Page</v>
      </c>
      <c r="B102" s="94"/>
      <c r="C102" s="46"/>
      <c r="D102" s="95"/>
      <c r="E102" s="96"/>
    </row>
    <row r="103" spans="1:5" ht="15.75">
      <c r="A103" s="57" t="s">
        <v>3</v>
      </c>
      <c r="B103" s="57"/>
      <c r="C103" s="97"/>
      <c r="D103" s="98">
        <f>C5-3</f>
        <v>2011</v>
      </c>
      <c r="E103" s="99">
        <f>C5-2</f>
        <v>2012</v>
      </c>
    </row>
    <row r="104" spans="1:5" ht="15.75">
      <c r="A104" s="100" t="s">
        <v>267</v>
      </c>
      <c r="B104" s="100"/>
      <c r="C104" s="101"/>
      <c r="D104" s="102">
        <v>4015000</v>
      </c>
      <c r="E104" s="102">
        <v>3705000</v>
      </c>
    </row>
    <row r="105" spans="1:5" ht="15.75">
      <c r="A105" s="103" t="s">
        <v>268</v>
      </c>
      <c r="B105" s="103"/>
      <c r="C105" s="104"/>
      <c r="D105" s="102">
        <v>0</v>
      </c>
      <c r="E105" s="102">
        <v>163917</v>
      </c>
    </row>
    <row r="106" spans="1:5" ht="15.75">
      <c r="A106" s="103" t="s">
        <v>269</v>
      </c>
      <c r="B106" s="103"/>
      <c r="C106" s="104"/>
      <c r="D106" s="102">
        <v>0</v>
      </c>
      <c r="E106" s="102">
        <v>0</v>
      </c>
    </row>
    <row r="107" spans="1:5" ht="15.75">
      <c r="A107" s="103" t="s">
        <v>270</v>
      </c>
      <c r="B107" s="103"/>
      <c r="C107" s="104"/>
      <c r="D107" s="102">
        <v>11249</v>
      </c>
      <c r="E107" s="102">
        <v>0</v>
      </c>
    </row>
    <row r="108" spans="1:5" ht="15.75">
      <c r="A108" s="105"/>
      <c r="B108" s="105"/>
      <c r="C108" s="105"/>
      <c r="D108" s="105"/>
      <c r="E108" s="105"/>
    </row>
    <row r="109" spans="1:5" ht="15.75">
      <c r="A109" s="105"/>
      <c r="B109" s="105"/>
      <c r="C109" s="105"/>
      <c r="D109" s="105"/>
      <c r="E109" s="105"/>
    </row>
    <row r="110" spans="1:5" ht="15.75">
      <c r="A110" s="105"/>
      <c r="B110" s="105"/>
      <c r="C110" s="105"/>
      <c r="D110" s="105"/>
      <c r="E110" s="105"/>
    </row>
    <row r="111" spans="1:5" ht="15.75">
      <c r="A111" s="105"/>
      <c r="B111" s="105"/>
      <c r="C111" s="105"/>
      <c r="D111" s="105"/>
      <c r="E111" s="105"/>
    </row>
    <row r="112" spans="1:5" ht="15.75">
      <c r="A112" s="105"/>
      <c r="B112" s="105"/>
      <c r="C112" s="105"/>
      <c r="D112" s="105"/>
      <c r="E112" s="105"/>
    </row>
    <row r="113" spans="1:5" ht="15.75">
      <c r="A113" s="105"/>
      <c r="B113" s="105"/>
      <c r="C113" s="105"/>
      <c r="D113" s="105"/>
      <c r="E113" s="105"/>
    </row>
    <row r="114" s="105" customFormat="1" ht="15"/>
    <row r="115" spans="1:5" ht="15.75">
      <c r="A115" s="105"/>
      <c r="B115" s="105"/>
      <c r="C115" s="105"/>
      <c r="D115" s="105"/>
      <c r="E115" s="105"/>
    </row>
    <row r="116" spans="1:5" ht="15.75">
      <c r="A116" s="105"/>
      <c r="B116" s="105"/>
      <c r="C116" s="105"/>
      <c r="D116" s="105"/>
      <c r="E116" s="105"/>
    </row>
    <row r="117" spans="1:5" ht="15.75">
      <c r="A117" s="105"/>
      <c r="B117" s="105"/>
      <c r="C117" s="105"/>
      <c r="D117" s="105"/>
      <c r="E117" s="105"/>
    </row>
    <row r="118" spans="1:5" ht="15.75">
      <c r="A118" s="105"/>
      <c r="B118" s="105"/>
      <c r="C118" s="105"/>
      <c r="D118" s="105"/>
      <c r="E118" s="105"/>
    </row>
    <row r="119" spans="1:5" ht="15.75">
      <c r="A119" s="105"/>
      <c r="B119" s="105"/>
      <c r="C119" s="105"/>
      <c r="D119" s="105"/>
      <c r="E119" s="105"/>
    </row>
    <row r="120" spans="1:5" ht="15.75">
      <c r="A120" s="105"/>
      <c r="B120" s="105"/>
      <c r="C120" s="105"/>
      <c r="D120" s="105"/>
      <c r="E120" s="105"/>
    </row>
    <row r="121" spans="1:5" ht="15.75">
      <c r="A121" s="105"/>
      <c r="B121" s="105"/>
      <c r="C121" s="105"/>
      <c r="D121" s="105"/>
      <c r="E121" s="105"/>
    </row>
    <row r="122" spans="1:5" ht="15.75">
      <c r="A122" s="105"/>
      <c r="B122" s="105"/>
      <c r="C122" s="105"/>
      <c r="D122" s="105"/>
      <c r="E122" s="105"/>
    </row>
    <row r="123" spans="1:5" ht="15.75">
      <c r="A123" s="105"/>
      <c r="B123" s="105"/>
      <c r="C123" s="105"/>
      <c r="D123" s="105"/>
      <c r="E123" s="105"/>
    </row>
    <row r="124" spans="1:5" ht="15.75">
      <c r="A124" s="105"/>
      <c r="B124" s="105"/>
      <c r="C124" s="105"/>
      <c r="D124" s="105"/>
      <c r="E124" s="105"/>
    </row>
    <row r="125" spans="1:5" ht="15.75">
      <c r="A125" s="105"/>
      <c r="B125" s="105"/>
      <c r="C125" s="105"/>
      <c r="D125" s="105"/>
      <c r="E125" s="105"/>
    </row>
  </sheetData>
  <sheetProtection/>
  <mergeCells count="3">
    <mergeCell ref="A10:E10"/>
    <mergeCell ref="A1:E1"/>
    <mergeCell ref="G8:H13"/>
  </mergeCells>
  <printOptions/>
  <pageMargins left="0.5" right="0.5" top="1" bottom="0.5" header="0.5" footer="0.25"/>
  <pageSetup blackAndWhite="1" fitToHeight="2" fitToWidth="1" horizontalDpi="120" verticalDpi="120" orientation="portrait" scale="75" r:id="rId1"/>
</worksheet>
</file>

<file path=xl/worksheets/sheet20.xml><?xml version="1.0" encoding="utf-8"?>
<worksheet xmlns="http://schemas.openxmlformats.org/spreadsheetml/2006/main" xmlns:r="http://schemas.openxmlformats.org/officeDocument/2006/relationships">
  <dimension ref="B1:E65"/>
  <sheetViews>
    <sheetView view="pageBreakPreview" zoomScaleSheetLayoutView="100" zoomScalePageLayoutView="0" workbookViewId="0" topLeftCell="B46">
      <selection activeCell="C65" sqref="C65"/>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16384" width="8.8984375" style="44" customWidth="1"/>
  </cols>
  <sheetData>
    <row r="1" spans="2:5" ht="15.75">
      <c r="B1" s="196" t="str">
        <f>(inputPrYr!D2)</f>
        <v>City of Fredonia</v>
      </c>
      <c r="C1" s="46"/>
      <c r="D1" s="46"/>
      <c r="E1" s="247">
        <f>inputPrYr!C5</f>
        <v>2014</v>
      </c>
    </row>
    <row r="2" spans="2:5" ht="15.75">
      <c r="B2" s="46"/>
      <c r="C2" s="46"/>
      <c r="D2" s="46"/>
      <c r="E2" s="168"/>
    </row>
    <row r="3" spans="2:5" ht="15.75">
      <c r="B3" s="248" t="s">
        <v>170</v>
      </c>
      <c r="C3" s="287"/>
      <c r="D3" s="287"/>
      <c r="E3" s="287"/>
    </row>
    <row r="4" spans="2:5" ht="15.75">
      <c r="B4" s="51" t="s">
        <v>103</v>
      </c>
      <c r="C4" s="705" t="s">
        <v>937</v>
      </c>
      <c r="D4" s="706" t="s">
        <v>938</v>
      </c>
      <c r="E4" s="143" t="s">
        <v>939</v>
      </c>
    </row>
    <row r="5" spans="2:5" ht="15.75">
      <c r="B5" s="525" t="str">
        <f>inputPrYr!B40</f>
        <v>1/2% Capital Sales Tax</v>
      </c>
      <c r="C5" s="224" t="str">
        <f>CONCATENATE("Actual for ",E1-2,"")</f>
        <v>Actual for 2012</v>
      </c>
      <c r="D5" s="224" t="str">
        <f>CONCATENATE("Estimate for ",E1-1,"")</f>
        <v>Estimate for 2013</v>
      </c>
      <c r="E5" s="207" t="str">
        <f>CONCATENATE("Year for ",E1,"")</f>
        <v>Year for 2014</v>
      </c>
    </row>
    <row r="6" spans="2:5" ht="15.75">
      <c r="B6" s="251" t="s">
        <v>224</v>
      </c>
      <c r="C6" s="66">
        <v>188865</v>
      </c>
      <c r="D6" s="227">
        <f>C29</f>
        <v>49536</v>
      </c>
      <c r="E6" s="227">
        <f>D29</f>
        <v>2536</v>
      </c>
    </row>
    <row r="7" spans="2:5" ht="15.75">
      <c r="B7" s="254" t="s">
        <v>226</v>
      </c>
      <c r="C7" s="86"/>
      <c r="D7" s="86"/>
      <c r="E7" s="86"/>
    </row>
    <row r="8" spans="2:5" ht="15.75">
      <c r="B8" s="271" t="s">
        <v>1114</v>
      </c>
      <c r="C8" s="66">
        <v>0</v>
      </c>
      <c r="D8" s="66">
        <v>0</v>
      </c>
      <c r="E8" s="66">
        <v>0</v>
      </c>
    </row>
    <row r="9" spans="2:5" ht="15.75">
      <c r="B9" s="271" t="s">
        <v>1130</v>
      </c>
      <c r="C9" s="66">
        <v>4342</v>
      </c>
      <c r="D9" s="66">
        <v>0</v>
      </c>
      <c r="E9" s="66">
        <v>0</v>
      </c>
    </row>
    <row r="10" spans="2:5" ht="15.75">
      <c r="B10" s="271" t="s">
        <v>1131</v>
      </c>
      <c r="C10" s="66">
        <v>1102822</v>
      </c>
      <c r="D10" s="66">
        <v>0</v>
      </c>
      <c r="E10" s="66">
        <v>0</v>
      </c>
    </row>
    <row r="11" spans="2:5" ht="15.75">
      <c r="B11" s="271" t="s">
        <v>1132</v>
      </c>
      <c r="C11" s="66">
        <v>60137</v>
      </c>
      <c r="D11" s="66">
        <v>0</v>
      </c>
      <c r="E11" s="66">
        <v>0</v>
      </c>
    </row>
    <row r="12" spans="2:5" ht="15.75">
      <c r="B12" s="259"/>
      <c r="C12" s="66"/>
      <c r="D12" s="66"/>
      <c r="E12" s="66"/>
    </row>
    <row r="13" spans="2:5" ht="15.75">
      <c r="B13" s="158" t="s">
        <v>14</v>
      </c>
      <c r="C13" s="66"/>
      <c r="D13" s="256"/>
      <c r="E13" s="256"/>
    </row>
    <row r="14" spans="2:5" ht="15.75">
      <c r="B14" s="251" t="s">
        <v>774</v>
      </c>
      <c r="C14" s="292">
        <f>IF(C15*0.1&lt;C13,"Exceed 10% Rule","")</f>
      </c>
      <c r="D14" s="261">
        <f>IF(D15*0.1&lt;D13,"Exceed 10% Rule","")</f>
      </c>
      <c r="E14" s="261">
        <f>IF(E15*0.1&lt;E13,"Exceed 10% Rule","")</f>
      </c>
    </row>
    <row r="15" spans="2:5" ht="15.75">
      <c r="B15" s="262" t="s">
        <v>111</v>
      </c>
      <c r="C15" s="265">
        <f>SUM(C8:C13)</f>
        <v>1167301</v>
      </c>
      <c r="D15" s="265">
        <f>SUM(D8:D13)</f>
        <v>0</v>
      </c>
      <c r="E15" s="265">
        <f>SUM(E8:E13)</f>
        <v>0</v>
      </c>
    </row>
    <row r="16" spans="2:5" ht="15.75">
      <c r="B16" s="262" t="s">
        <v>112</v>
      </c>
      <c r="C16" s="265">
        <f>C6+C15</f>
        <v>1356166</v>
      </c>
      <c r="D16" s="265">
        <f>D6+D15</f>
        <v>49536</v>
      </c>
      <c r="E16" s="265">
        <f>E6+E15</f>
        <v>2536</v>
      </c>
    </row>
    <row r="17" spans="2:5" ht="15.75">
      <c r="B17" s="149" t="s">
        <v>114</v>
      </c>
      <c r="C17" s="227"/>
      <c r="D17" s="227"/>
      <c r="E17" s="227"/>
    </row>
    <row r="18" spans="2:5" ht="15.75">
      <c r="B18" s="271" t="s">
        <v>1098</v>
      </c>
      <c r="C18" s="66">
        <v>1304673</v>
      </c>
      <c r="D18" s="66">
        <v>47000</v>
      </c>
      <c r="E18" s="66">
        <v>2536</v>
      </c>
    </row>
    <row r="19" spans="2:5" ht="15.75">
      <c r="B19" s="271" t="s">
        <v>1133</v>
      </c>
      <c r="C19" s="66">
        <v>1957</v>
      </c>
      <c r="D19" s="66">
        <v>0</v>
      </c>
      <c r="E19" s="66">
        <v>0</v>
      </c>
    </row>
    <row r="20" spans="2:5" ht="15.75">
      <c r="B20" s="271"/>
      <c r="C20" s="66"/>
      <c r="D20" s="66"/>
      <c r="E20" s="66"/>
    </row>
    <row r="21" spans="2:5" ht="15.75">
      <c r="B21" s="271"/>
      <c r="C21" s="66"/>
      <c r="D21" s="66"/>
      <c r="E21" s="66"/>
    </row>
    <row r="22" spans="2:5" ht="15.75">
      <c r="B22" s="271"/>
      <c r="C22" s="66"/>
      <c r="D22" s="66"/>
      <c r="E22" s="66"/>
    </row>
    <row r="23" spans="2:5" ht="15.75">
      <c r="B23" s="271"/>
      <c r="C23" s="66"/>
      <c r="D23" s="66"/>
      <c r="E23" s="66"/>
    </row>
    <row r="24" spans="2:5" ht="15.75">
      <c r="B24" s="271"/>
      <c r="C24" s="66"/>
      <c r="D24" s="66"/>
      <c r="E24" s="66"/>
    </row>
    <row r="25" spans="2:5" ht="15.75">
      <c r="B25" s="271"/>
      <c r="C25" s="66"/>
      <c r="D25" s="66"/>
      <c r="E25" s="66"/>
    </row>
    <row r="26" spans="2:5" ht="15.75">
      <c r="B26" s="272" t="s">
        <v>14</v>
      </c>
      <c r="C26" s="66"/>
      <c r="D26" s="256"/>
      <c r="E26" s="256"/>
    </row>
    <row r="27" spans="2:5" ht="15.75">
      <c r="B27" s="272" t="s">
        <v>775</v>
      </c>
      <c r="C27" s="292">
        <f>IF(C28*0.1&lt;C26,"Exceed 10% Rule","")</f>
      </c>
      <c r="D27" s="261">
        <f>IF(D28*0.1&lt;D26,"Exceed 10% Rule","")</f>
      </c>
      <c r="E27" s="261">
        <f>IF(E28*0.1&lt;E26,"Exceed 10% Rule","")</f>
      </c>
    </row>
    <row r="28" spans="2:5" ht="15.75">
      <c r="B28" s="262" t="s">
        <v>118</v>
      </c>
      <c r="C28" s="265">
        <f>SUM(C18:C26)</f>
        <v>1306630</v>
      </c>
      <c r="D28" s="265">
        <f>SUM(D18:D26)</f>
        <v>47000</v>
      </c>
      <c r="E28" s="265">
        <f>SUM(E18:E26)</f>
        <v>2536</v>
      </c>
    </row>
    <row r="29" spans="2:5" ht="15.75">
      <c r="B29" s="149" t="s">
        <v>225</v>
      </c>
      <c r="C29" s="81">
        <f>C16-C28</f>
        <v>49536</v>
      </c>
      <c r="D29" s="81">
        <f>D16-D28</f>
        <v>2536</v>
      </c>
      <c r="E29" s="81">
        <f>E16-E28</f>
        <v>0</v>
      </c>
    </row>
    <row r="30" spans="2:5" ht="15.75">
      <c r="B30" s="135" t="str">
        <f>CONCATENATE("",E1-2,"/",E1-1," Budget Authority Amount:")</f>
        <v>2012/2013 Budget Authority Amount:</v>
      </c>
      <c r="C30" s="240">
        <f>inputOth!B79</f>
        <v>1306630</v>
      </c>
      <c r="D30" s="240">
        <f>inputPrYr!D40</f>
        <v>20383</v>
      </c>
      <c r="E30" s="374">
        <f>IF(E29&lt;0,"See Tab E","")</f>
      </c>
    </row>
    <row r="31" spans="2:5" ht="15.75">
      <c r="B31" s="135"/>
      <c r="C31" s="275">
        <f>IF(C28&gt;C30,"See Tab A","")</f>
      </c>
      <c r="D31" s="275" t="str">
        <f>IF(D28&gt;D30,"See Tab C","")</f>
        <v>See Tab C</v>
      </c>
      <c r="E31" s="96"/>
    </row>
    <row r="32" spans="2:5" ht="15.75">
      <c r="B32" s="135"/>
      <c r="C32" s="275">
        <f>IF(C29&lt;0,"See Tab B","")</f>
      </c>
      <c r="D32" s="275">
        <f>IF(D29&lt;0,"See Tab D","")</f>
      </c>
      <c r="E32" s="96"/>
    </row>
    <row r="33" spans="2:5" ht="15.75">
      <c r="B33" s="46"/>
      <c r="C33" s="96"/>
      <c r="D33" s="96"/>
      <c r="E33" s="96"/>
    </row>
    <row r="34" spans="2:5" ht="15.75">
      <c r="B34" s="51" t="s">
        <v>103</v>
      </c>
      <c r="C34" s="290"/>
      <c r="D34" s="290"/>
      <c r="E34" s="290"/>
    </row>
    <row r="35" spans="2:5" ht="15.75">
      <c r="B35" s="46"/>
      <c r="C35" s="705" t="s">
        <v>937</v>
      </c>
      <c r="D35" s="706" t="s">
        <v>938</v>
      </c>
      <c r="E35" s="143" t="s">
        <v>939</v>
      </c>
    </row>
    <row r="36" spans="2:5" ht="15.75">
      <c r="B36" s="525" t="str">
        <f>inputPrYr!B41</f>
        <v>Tourism</v>
      </c>
      <c r="C36" s="224" t="str">
        <f>CONCATENATE("Actual for ",$E$1-2,"")</f>
        <v>Actual for 2012</v>
      </c>
      <c r="D36" s="224" t="str">
        <f>CONCATENATE("Estimate for ",$E$1-1,"")</f>
        <v>Estimate for 2013</v>
      </c>
      <c r="E36" s="207" t="str">
        <f>CONCATENATE("Year for ",$E$1,"")</f>
        <v>Year for 2014</v>
      </c>
    </row>
    <row r="37" spans="2:5" ht="15.75">
      <c r="B37" s="251" t="s">
        <v>224</v>
      </c>
      <c r="C37" s="66">
        <v>9655</v>
      </c>
      <c r="D37" s="227">
        <f>C60</f>
        <v>8368</v>
      </c>
      <c r="E37" s="227">
        <f>D60</f>
        <v>11464</v>
      </c>
    </row>
    <row r="38" spans="2:5" ht="15.75">
      <c r="B38" s="254" t="s">
        <v>226</v>
      </c>
      <c r="C38" s="86"/>
      <c r="D38" s="86"/>
      <c r="E38" s="86"/>
    </row>
    <row r="39" spans="2:5" ht="15.75">
      <c r="B39" s="271" t="s">
        <v>1134</v>
      </c>
      <c r="C39" s="66">
        <v>7848</v>
      </c>
      <c r="D39" s="66">
        <v>12550</v>
      </c>
      <c r="E39" s="66">
        <v>11700</v>
      </c>
    </row>
    <row r="40" spans="2:5" ht="15.75">
      <c r="B40" s="271" t="s">
        <v>1135</v>
      </c>
      <c r="C40" s="66">
        <v>0</v>
      </c>
      <c r="D40" s="66">
        <v>0</v>
      </c>
      <c r="E40" s="66">
        <v>0</v>
      </c>
    </row>
    <row r="41" spans="2:5" ht="15.75">
      <c r="B41" s="271" t="s">
        <v>1136</v>
      </c>
      <c r="C41" s="66">
        <v>0</v>
      </c>
      <c r="D41" s="66">
        <v>1000</v>
      </c>
      <c r="E41" s="66">
        <v>0</v>
      </c>
    </row>
    <row r="42" spans="2:5" ht="15.75">
      <c r="B42" s="271"/>
      <c r="C42" s="66"/>
      <c r="D42" s="66"/>
      <c r="E42" s="66"/>
    </row>
    <row r="43" spans="2:5" ht="15.75">
      <c r="B43" s="259"/>
      <c r="C43" s="66"/>
      <c r="D43" s="66"/>
      <c r="E43" s="66"/>
    </row>
    <row r="44" spans="2:5" ht="15.75">
      <c r="B44" s="158" t="s">
        <v>14</v>
      </c>
      <c r="C44" s="66"/>
      <c r="D44" s="256"/>
      <c r="E44" s="256"/>
    </row>
    <row r="45" spans="2:5" ht="15.75">
      <c r="B45" s="251" t="s">
        <v>774</v>
      </c>
      <c r="C45" s="292">
        <f>IF(C46*0.1&lt;C44,"Exceed 10% Rule","")</f>
      </c>
      <c r="D45" s="261">
        <f>IF(D46*0.1&lt;D44,"Exceed 10% Rule","")</f>
      </c>
      <c r="E45" s="261">
        <f>IF(E46*0.1&lt;E44,"Exceed 10% Rule","")</f>
      </c>
    </row>
    <row r="46" spans="2:5" ht="15.75">
      <c r="B46" s="262" t="s">
        <v>111</v>
      </c>
      <c r="C46" s="265">
        <f>SUM(C39:C44)</f>
        <v>7848</v>
      </c>
      <c r="D46" s="265">
        <f>SUM(D39:D44)</f>
        <v>13550</v>
      </c>
      <c r="E46" s="265">
        <f>SUM(E39:E44)</f>
        <v>11700</v>
      </c>
    </row>
    <row r="47" spans="2:5" ht="15.75">
      <c r="B47" s="262" t="s">
        <v>112</v>
      </c>
      <c r="C47" s="265">
        <f>C37+C46</f>
        <v>17503</v>
      </c>
      <c r="D47" s="265">
        <f>D37+D46</f>
        <v>21918</v>
      </c>
      <c r="E47" s="265">
        <f>E37+E46</f>
        <v>23164</v>
      </c>
    </row>
    <row r="48" spans="2:5" ht="15.75">
      <c r="B48" s="149" t="s">
        <v>114</v>
      </c>
      <c r="C48" s="227"/>
      <c r="D48" s="227"/>
      <c r="E48" s="227"/>
    </row>
    <row r="49" spans="2:5" ht="15.75">
      <c r="B49" s="271" t="s">
        <v>1093</v>
      </c>
      <c r="C49" s="66">
        <v>8693</v>
      </c>
      <c r="D49" s="66">
        <v>8654</v>
      </c>
      <c r="E49" s="66">
        <v>9900</v>
      </c>
    </row>
    <row r="50" spans="2:5" ht="15.75">
      <c r="B50" s="271" t="s">
        <v>1094</v>
      </c>
      <c r="C50" s="66">
        <v>442</v>
      </c>
      <c r="D50" s="66">
        <v>1800</v>
      </c>
      <c r="E50" s="66">
        <v>1800</v>
      </c>
    </row>
    <row r="51" spans="2:5" ht="15.75">
      <c r="B51" s="271"/>
      <c r="C51" s="66"/>
      <c r="D51" s="66"/>
      <c r="E51" s="66"/>
    </row>
    <row r="52" spans="2:5" ht="15.75">
      <c r="B52" s="271"/>
      <c r="C52" s="66"/>
      <c r="D52" s="66"/>
      <c r="E52" s="66"/>
    </row>
    <row r="53" spans="2:5" ht="15.75">
      <c r="B53" s="271"/>
      <c r="C53" s="66"/>
      <c r="D53" s="66"/>
      <c r="E53" s="66"/>
    </row>
    <row r="54" spans="2:5" ht="15.75">
      <c r="B54" s="271"/>
      <c r="C54" s="66"/>
      <c r="D54" s="66"/>
      <c r="E54" s="66"/>
    </row>
    <row r="55" spans="2:5" ht="15.75">
      <c r="B55" s="271"/>
      <c r="C55" s="66"/>
      <c r="D55" s="66"/>
      <c r="E55" s="66"/>
    </row>
    <row r="56" spans="2:5" ht="15.75">
      <c r="B56" s="271"/>
      <c r="C56" s="66"/>
      <c r="D56" s="66"/>
      <c r="E56" s="66"/>
    </row>
    <row r="57" spans="2:5" ht="15.75">
      <c r="B57" s="272" t="s">
        <v>14</v>
      </c>
      <c r="C57" s="66"/>
      <c r="D57" s="256"/>
      <c r="E57" s="256"/>
    </row>
    <row r="58" spans="2:5" ht="15.75">
      <c r="B58" s="272" t="s">
        <v>775</v>
      </c>
      <c r="C58" s="292">
        <f>IF(C59*0.1&lt;C57,"Exceed 10% Rule","")</f>
      </c>
      <c r="D58" s="261">
        <f>IF(D59*0.1&lt;D57,"Exceed 10% Rule","")</f>
      </c>
      <c r="E58" s="261">
        <f>IF(E59*0.1&lt;E57,"Exceed 10% Rule","")</f>
      </c>
    </row>
    <row r="59" spans="2:5" ht="15.75">
      <c r="B59" s="262" t="s">
        <v>118</v>
      </c>
      <c r="C59" s="265">
        <f>SUM(C49:C57)</f>
        <v>9135</v>
      </c>
      <c r="D59" s="265">
        <f>SUM(D49:D57)</f>
        <v>10454</v>
      </c>
      <c r="E59" s="265">
        <f>SUM(E49:E57)</f>
        <v>11700</v>
      </c>
    </row>
    <row r="60" spans="2:5" ht="15.75">
      <c r="B60" s="149" t="s">
        <v>225</v>
      </c>
      <c r="C60" s="81">
        <f>C47-C59</f>
        <v>8368</v>
      </c>
      <c r="D60" s="81">
        <f>D47-D59</f>
        <v>11464</v>
      </c>
      <c r="E60" s="81">
        <f>E47-E59</f>
        <v>11464</v>
      </c>
    </row>
    <row r="61" spans="2:5" ht="15.75">
      <c r="B61" s="135" t="str">
        <f>CONCATENATE("",E1-2,"/",E1-1," Budget Authority Amount:")</f>
        <v>2012/2013 Budget Authority Amount:</v>
      </c>
      <c r="C61" s="240">
        <f>inputOth!B80</f>
        <v>15700</v>
      </c>
      <c r="D61" s="240">
        <f>inputPrYr!D41</f>
        <v>11575</v>
      </c>
      <c r="E61" s="374">
        <f>IF(E60&lt;0,"See Tab E","")</f>
      </c>
    </row>
    <row r="62" spans="2:5" ht="15.75">
      <c r="B62" s="135"/>
      <c r="C62" s="275">
        <f>IF(C59&gt;C61,"See Tab A","")</f>
      </c>
      <c r="D62" s="275">
        <f>IF(D59&gt;D61,"See Tab C","")</f>
      </c>
      <c r="E62" s="46"/>
    </row>
    <row r="63" spans="2:5" ht="15.75">
      <c r="B63" s="135"/>
      <c r="C63" s="275">
        <f>IF(C60&lt;0,"See Tab B","")</f>
      </c>
      <c r="D63" s="275">
        <f>IF(D60&lt;0,"See Tab D","")</f>
      </c>
      <c r="E63" s="46"/>
    </row>
    <row r="64" spans="2:5" ht="15.75">
      <c r="B64" s="46"/>
      <c r="C64" s="46"/>
      <c r="D64" s="46"/>
      <c r="E64" s="46"/>
    </row>
    <row r="65" spans="2:5" ht="15.75">
      <c r="B65" s="395" t="s">
        <v>121</v>
      </c>
      <c r="C65" s="280">
        <v>14</v>
      </c>
      <c r="D65" s="46"/>
      <c r="E65" s="46"/>
    </row>
  </sheetData>
  <sheetProtection sheet="1"/>
  <conditionalFormatting sqref="C13">
    <cfRule type="cellIs" priority="3" dxfId="144" operator="greaterThan" stopIfTrue="1">
      <formula>$C$15*0.1</formula>
    </cfRule>
  </conditionalFormatting>
  <conditionalFormatting sqref="D13">
    <cfRule type="cellIs" priority="4" dxfId="144" operator="greaterThan" stopIfTrue="1">
      <formula>$D$15*0.1</formula>
    </cfRule>
  </conditionalFormatting>
  <conditionalFormatting sqref="E13">
    <cfRule type="cellIs" priority="5" dxfId="144" operator="greaterThan" stopIfTrue="1">
      <formula>$E$15*0.1</formula>
    </cfRule>
  </conditionalFormatting>
  <conditionalFormatting sqref="C26">
    <cfRule type="cellIs" priority="6" dxfId="144" operator="greaterThan" stopIfTrue="1">
      <formula>$C$28*0.1</formula>
    </cfRule>
  </conditionalFormatting>
  <conditionalFormatting sqref="D26">
    <cfRule type="cellIs" priority="7" dxfId="144" operator="greaterThan" stopIfTrue="1">
      <formula>$D$28*0.1</formula>
    </cfRule>
  </conditionalFormatting>
  <conditionalFormatting sqref="E26">
    <cfRule type="cellIs" priority="8" dxfId="144" operator="greaterThan" stopIfTrue="1">
      <formula>$E$28*0.1</formula>
    </cfRule>
  </conditionalFormatting>
  <conditionalFormatting sqref="C44">
    <cfRule type="cellIs" priority="9" dxfId="144" operator="greaterThan" stopIfTrue="1">
      <formula>$C$46*0.1</formula>
    </cfRule>
  </conditionalFormatting>
  <conditionalFormatting sqref="D44">
    <cfRule type="cellIs" priority="10" dxfId="144" operator="greaterThan" stopIfTrue="1">
      <formula>$D$46*0.1</formula>
    </cfRule>
  </conditionalFormatting>
  <conditionalFormatting sqref="E44">
    <cfRule type="cellIs" priority="11" dxfId="144" operator="greaterThan" stopIfTrue="1">
      <formula>$E$46*0.1</formula>
    </cfRule>
  </conditionalFormatting>
  <conditionalFormatting sqref="C57">
    <cfRule type="cellIs" priority="12" dxfId="144" operator="greaterThan" stopIfTrue="1">
      <formula>$C$59*0.1</formula>
    </cfRule>
  </conditionalFormatting>
  <conditionalFormatting sqref="D57">
    <cfRule type="cellIs" priority="13" dxfId="144" operator="greaterThan" stopIfTrue="1">
      <formula>$D$59*0.1</formula>
    </cfRule>
  </conditionalFormatting>
  <conditionalFormatting sqref="E57">
    <cfRule type="cellIs" priority="14" dxfId="144"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horizontalDpi="120" verticalDpi="120" orientation="portrait" scale="67"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8">
      <selection activeCell="E55" sqref="E55"/>
    </sheetView>
  </sheetViews>
  <sheetFormatPr defaultColWidth="8.796875" defaultRowHeight="15"/>
  <cols>
    <col min="1" max="1" width="2.3984375" style="44" customWidth="1"/>
    <col min="2" max="2" width="31.09765625" style="44" customWidth="1"/>
    <col min="3" max="4" width="15.796875" style="44" customWidth="1"/>
    <col min="5" max="5" width="16.09765625" style="44" customWidth="1"/>
    <col min="6" max="16384" width="8.8984375" style="44" customWidth="1"/>
  </cols>
  <sheetData>
    <row r="1" spans="2:5" ht="15.75">
      <c r="B1" s="196" t="str">
        <f>(inputPrYr!D2)</f>
        <v>City of Fredonia</v>
      </c>
      <c r="C1" s="46"/>
      <c r="D1" s="46"/>
      <c r="E1" s="247">
        <f>inputPrYr!C5</f>
        <v>2014</v>
      </c>
    </row>
    <row r="2" spans="2:5" ht="15.75">
      <c r="B2" s="46"/>
      <c r="C2" s="46"/>
      <c r="D2" s="46"/>
      <c r="E2" s="168"/>
    </row>
    <row r="3" spans="2:5" ht="15.75">
      <c r="B3" s="248" t="s">
        <v>170</v>
      </c>
      <c r="C3" s="287"/>
      <c r="D3" s="287"/>
      <c r="E3" s="287"/>
    </row>
    <row r="4" spans="2:5" ht="15.75">
      <c r="B4" s="51" t="s">
        <v>103</v>
      </c>
      <c r="C4" s="705" t="s">
        <v>937</v>
      </c>
      <c r="D4" s="706" t="s">
        <v>938</v>
      </c>
      <c r="E4" s="143" t="s">
        <v>939</v>
      </c>
    </row>
    <row r="5" spans="2:5" ht="15.75">
      <c r="B5" s="525" t="str">
        <f>inputPrYr!B42</f>
        <v>1/2% Infrastructure Sales Tax</v>
      </c>
      <c r="C5" s="224" t="str">
        <f>CONCATENATE("Actual for ",E1-2,"")</f>
        <v>Actual for 2012</v>
      </c>
      <c r="D5" s="224" t="str">
        <f>CONCATENATE("Estimate for ",E1-1,"")</f>
        <v>Estimate for 2013</v>
      </c>
      <c r="E5" s="207" t="str">
        <f>CONCATENATE("Year for ",E1,"")</f>
        <v>Year for 2014</v>
      </c>
    </row>
    <row r="6" spans="2:5" ht="15.75">
      <c r="B6" s="251" t="s">
        <v>224</v>
      </c>
      <c r="C6" s="66">
        <v>235</v>
      </c>
      <c r="D6" s="227">
        <f>C29</f>
        <v>50236</v>
      </c>
      <c r="E6" s="227">
        <f>D29</f>
        <v>1136</v>
      </c>
    </row>
    <row r="7" spans="2:5" ht="15.75">
      <c r="B7" s="254" t="s">
        <v>226</v>
      </c>
      <c r="C7" s="86"/>
      <c r="D7" s="86"/>
      <c r="E7" s="86"/>
    </row>
    <row r="8" spans="2:5" ht="15.75">
      <c r="B8" s="271" t="s">
        <v>1114</v>
      </c>
      <c r="C8" s="66">
        <v>189837</v>
      </c>
      <c r="D8" s="66">
        <v>195715</v>
      </c>
      <c r="E8" s="66">
        <v>190000</v>
      </c>
    </row>
    <row r="9" spans="2:5" ht="15.75">
      <c r="B9" s="271" t="s">
        <v>1137</v>
      </c>
      <c r="C9" s="66">
        <v>1775</v>
      </c>
      <c r="D9" s="66">
        <v>1585</v>
      </c>
      <c r="E9" s="66">
        <v>1600</v>
      </c>
    </row>
    <row r="10" spans="2:5" ht="15.75">
      <c r="B10" s="271"/>
      <c r="C10" s="66"/>
      <c r="D10" s="66"/>
      <c r="E10" s="66"/>
    </row>
    <row r="11" spans="2:5" ht="15.75">
      <c r="B11" s="271"/>
      <c r="C11" s="66"/>
      <c r="D11" s="66"/>
      <c r="E11" s="66"/>
    </row>
    <row r="12" spans="2:5" ht="15.75">
      <c r="B12" s="259"/>
      <c r="C12" s="66"/>
      <c r="D12" s="66"/>
      <c r="E12" s="66"/>
    </row>
    <row r="13" spans="2:5" ht="15.75">
      <c r="B13" s="158" t="s">
        <v>14</v>
      </c>
      <c r="C13" s="211"/>
      <c r="D13" s="211"/>
      <c r="E13" s="211"/>
    </row>
    <row r="14" spans="2:5" ht="15.75">
      <c r="B14" s="251" t="s">
        <v>774</v>
      </c>
      <c r="C14" s="292">
        <f>IF(C15*0.1&lt;C13,"Exceed 10% Rule","")</f>
      </c>
      <c r="D14" s="261">
        <f>IF(D15*0.1&lt;D13,"Exceed 10% Rule","")</f>
      </c>
      <c r="E14" s="261">
        <f>IF(E15*0.1&lt;E13,"Exceed 10% Rule","")</f>
      </c>
    </row>
    <row r="15" spans="2:5" ht="15.75">
      <c r="B15" s="262" t="s">
        <v>111</v>
      </c>
      <c r="C15" s="265">
        <f>SUM(C8:C13)</f>
        <v>191612</v>
      </c>
      <c r="D15" s="265">
        <f>SUM(D8:D13)</f>
        <v>197300</v>
      </c>
      <c r="E15" s="265">
        <f>SUM(E8:E13)</f>
        <v>191600</v>
      </c>
    </row>
    <row r="16" spans="2:5" ht="15.75">
      <c r="B16" s="262" t="s">
        <v>112</v>
      </c>
      <c r="C16" s="265">
        <f>C6+C15</f>
        <v>191847</v>
      </c>
      <c r="D16" s="265">
        <f>D6+D15</f>
        <v>247536</v>
      </c>
      <c r="E16" s="265">
        <f>E6+E15</f>
        <v>192736</v>
      </c>
    </row>
    <row r="17" spans="2:5" ht="15.75">
      <c r="B17" s="149" t="s">
        <v>114</v>
      </c>
      <c r="C17" s="227"/>
      <c r="D17" s="227"/>
      <c r="E17" s="227"/>
    </row>
    <row r="18" spans="2:5" ht="15.75">
      <c r="B18" s="271" t="s">
        <v>1138</v>
      </c>
      <c r="C18" s="66">
        <v>19826</v>
      </c>
      <c r="D18" s="66">
        <v>100400</v>
      </c>
      <c r="E18" s="66">
        <v>0</v>
      </c>
    </row>
    <row r="19" spans="2:5" ht="15.75">
      <c r="B19" s="271" t="s">
        <v>1139</v>
      </c>
      <c r="C19" s="66">
        <v>113020</v>
      </c>
      <c r="D19" s="66">
        <v>111000</v>
      </c>
      <c r="E19" s="66">
        <v>192700</v>
      </c>
    </row>
    <row r="20" spans="2:5" ht="15.75">
      <c r="B20" s="271" t="s">
        <v>1140</v>
      </c>
      <c r="C20" s="66">
        <v>0</v>
      </c>
      <c r="D20" s="66">
        <v>35000</v>
      </c>
      <c r="E20" s="66">
        <v>0</v>
      </c>
    </row>
    <row r="21" spans="2:5" ht="15.75">
      <c r="B21" s="271" t="s">
        <v>1141</v>
      </c>
      <c r="C21" s="66">
        <v>8765</v>
      </c>
      <c r="D21" s="66">
        <v>0</v>
      </c>
      <c r="E21" s="66">
        <v>0</v>
      </c>
    </row>
    <row r="22" spans="2:5" ht="15.75">
      <c r="B22" s="271" t="s">
        <v>1142</v>
      </c>
      <c r="C22" s="66">
        <v>0</v>
      </c>
      <c r="D22" s="66">
        <v>0</v>
      </c>
      <c r="E22" s="66">
        <v>0</v>
      </c>
    </row>
    <row r="23" spans="2:5" ht="15.75">
      <c r="B23" s="271" t="s">
        <v>45</v>
      </c>
      <c r="C23" s="66">
        <v>0</v>
      </c>
      <c r="D23" s="66">
        <v>0</v>
      </c>
      <c r="E23" s="66">
        <v>0</v>
      </c>
    </row>
    <row r="24" spans="2:5" ht="15.75">
      <c r="B24" s="271"/>
      <c r="C24" s="66"/>
      <c r="D24" s="66"/>
      <c r="E24" s="66"/>
    </row>
    <row r="25" spans="2:5" ht="15.75">
      <c r="B25" s="271"/>
      <c r="C25" s="66"/>
      <c r="D25" s="66"/>
      <c r="E25" s="66"/>
    </row>
    <row r="26" spans="2:5" ht="15.75">
      <c r="B26" s="272" t="s">
        <v>14</v>
      </c>
      <c r="C26" s="66"/>
      <c r="D26" s="256"/>
      <c r="E26" s="256"/>
    </row>
    <row r="27" spans="2:5" ht="15.75">
      <c r="B27" s="272" t="s">
        <v>775</v>
      </c>
      <c r="C27" s="292">
        <f>IF(C28*0.1&lt;C26,"Exceed 10% Rule","")</f>
      </c>
      <c r="D27" s="261">
        <f>IF(D28*0.1&lt;D26,"Exceed 10% Rule","")</f>
      </c>
      <c r="E27" s="261">
        <f>IF(E28*0.1&lt;E26,"Exceed 10% Rule","")</f>
      </c>
    </row>
    <row r="28" spans="2:5" ht="15.75">
      <c r="B28" s="262" t="s">
        <v>118</v>
      </c>
      <c r="C28" s="265">
        <f>SUM(C18:C26)</f>
        <v>141611</v>
      </c>
      <c r="D28" s="265">
        <f>SUM(D18:D26)</f>
        <v>246400</v>
      </c>
      <c r="E28" s="265">
        <f>SUM(E18:E26)</f>
        <v>192700</v>
      </c>
    </row>
    <row r="29" spans="2:5" ht="15.75">
      <c r="B29" s="149" t="s">
        <v>225</v>
      </c>
      <c r="C29" s="81">
        <f>C16-C28</f>
        <v>50236</v>
      </c>
      <c r="D29" s="81">
        <f>D16-D28</f>
        <v>1136</v>
      </c>
      <c r="E29" s="81">
        <f>E16-E28</f>
        <v>36</v>
      </c>
    </row>
    <row r="30" spans="2:5" ht="15.75">
      <c r="B30" s="135" t="str">
        <f>CONCATENATE("",E1-2,"/",E1-1," Budget Authority Amount:")</f>
        <v>2012/2013 Budget Authority Amount:</v>
      </c>
      <c r="C30" s="240">
        <f>inputOth!B81</f>
        <v>191000</v>
      </c>
      <c r="D30" s="240">
        <f>inputPrYr!D42</f>
        <v>255000</v>
      </c>
      <c r="E30" s="374">
        <f>IF(E29&lt;0,"See Tab E","")</f>
      </c>
    </row>
    <row r="31" spans="2:5" ht="15.75">
      <c r="B31" s="135"/>
      <c r="C31" s="275">
        <f>IF(C28&gt;C30,"See Tab A","")</f>
      </c>
      <c r="D31" s="275">
        <f>IF(D28&gt;D30,"See Tab C","")</f>
      </c>
      <c r="E31" s="96"/>
    </row>
    <row r="32" spans="2:5" ht="15.75">
      <c r="B32" s="135"/>
      <c r="C32" s="275">
        <f>IF(C29&lt;0,"See Tab B","")</f>
      </c>
      <c r="D32" s="275">
        <f>IF(D29&lt;0,"See Tab D","")</f>
      </c>
      <c r="E32" s="96"/>
    </row>
    <row r="33" spans="2:5" ht="15.75">
      <c r="B33" s="46"/>
      <c r="C33" s="96"/>
      <c r="D33" s="96"/>
      <c r="E33" s="96"/>
    </row>
    <row r="34" spans="2:5" ht="15.75">
      <c r="B34" s="51" t="s">
        <v>103</v>
      </c>
      <c r="C34" s="290"/>
      <c r="D34" s="290"/>
      <c r="E34" s="290"/>
    </row>
    <row r="35" spans="2:5" ht="15.75">
      <c r="B35" s="46"/>
      <c r="C35" s="705" t="s">
        <v>937</v>
      </c>
      <c r="D35" s="706" t="s">
        <v>938</v>
      </c>
      <c r="E35" s="143" t="s">
        <v>939</v>
      </c>
    </row>
    <row r="36" spans="2:5" ht="15.75">
      <c r="B36" s="525" t="str">
        <f>inputPrYr!B43</f>
        <v>1% Swimming Pool Sales Tax</v>
      </c>
      <c r="C36" s="224" t="str">
        <f>CONCATENATE("Actual for ",$E$1-2,"")</f>
        <v>Actual for 2012</v>
      </c>
      <c r="D36" s="224" t="str">
        <f>CONCATENATE("Estimate for ",$E$1-1,"")</f>
        <v>Estimate for 2013</v>
      </c>
      <c r="E36" s="207" t="str">
        <f>CONCATENATE("Year for ",$E$1,"")</f>
        <v>Year for 2014</v>
      </c>
    </row>
    <row r="37" spans="2:5" ht="15.75">
      <c r="B37" s="251" t="s">
        <v>224</v>
      </c>
      <c r="C37" s="66">
        <v>0</v>
      </c>
      <c r="D37" s="227">
        <f>C60</f>
        <v>0</v>
      </c>
      <c r="E37" s="227">
        <f>D60</f>
        <v>0</v>
      </c>
    </row>
    <row r="38" spans="2:5" ht="15.75">
      <c r="B38" s="254" t="s">
        <v>226</v>
      </c>
      <c r="C38" s="86"/>
      <c r="D38" s="86"/>
      <c r="E38" s="86"/>
    </row>
    <row r="39" spans="2:5" ht="15.75">
      <c r="B39" s="271" t="s">
        <v>1114</v>
      </c>
      <c r="C39" s="66">
        <v>0</v>
      </c>
      <c r="D39" s="66">
        <v>135000</v>
      </c>
      <c r="E39" s="66">
        <v>376000</v>
      </c>
    </row>
    <row r="40" spans="2:5" ht="15.75">
      <c r="B40" s="271" t="s">
        <v>1161</v>
      </c>
      <c r="C40" s="66">
        <v>0</v>
      </c>
      <c r="D40" s="66">
        <v>2748000</v>
      </c>
      <c r="E40" s="66">
        <v>0</v>
      </c>
    </row>
    <row r="41" spans="2:5" ht="15.75">
      <c r="B41" s="271"/>
      <c r="C41" s="66"/>
      <c r="D41" s="66"/>
      <c r="E41" s="66"/>
    </row>
    <row r="42" spans="2:5" ht="15.75">
      <c r="B42" s="271"/>
      <c r="C42" s="66"/>
      <c r="D42" s="66"/>
      <c r="E42" s="66"/>
    </row>
    <row r="43" spans="2:5" ht="15.75">
      <c r="B43" s="259"/>
      <c r="C43" s="66"/>
      <c r="D43" s="66"/>
      <c r="E43" s="66"/>
    </row>
    <row r="44" spans="2:5" ht="15.75">
      <c r="B44" s="158" t="s">
        <v>14</v>
      </c>
      <c r="C44" s="66">
        <v>0</v>
      </c>
      <c r="D44" s="256">
        <v>0</v>
      </c>
      <c r="E44" s="256">
        <v>0</v>
      </c>
    </row>
    <row r="45" spans="2:5" ht="15.75">
      <c r="B45" s="251" t="s">
        <v>774</v>
      </c>
      <c r="C45" s="292">
        <f>IF(C46*0.1&lt;C44,"Exceed 10% Rule","")</f>
      </c>
      <c r="D45" s="261">
        <f>IF(D46*0.1&lt;D44,"Exceed 10% Rule","")</f>
      </c>
      <c r="E45" s="261">
        <f>IF(E46*0.1&lt;E44,"Exceed 10% Rule","")</f>
      </c>
    </row>
    <row r="46" spans="2:5" ht="15.75">
      <c r="B46" s="262" t="s">
        <v>111</v>
      </c>
      <c r="C46" s="265">
        <f>SUM(C39:C44)</f>
        <v>0</v>
      </c>
      <c r="D46" s="265">
        <f>SUM(D39:D44)</f>
        <v>2883000</v>
      </c>
      <c r="E46" s="265">
        <f>SUM(E39:E44)</f>
        <v>376000</v>
      </c>
    </row>
    <row r="47" spans="2:5" ht="15.75">
      <c r="B47" s="262" t="s">
        <v>112</v>
      </c>
      <c r="C47" s="265">
        <f>C37+C46</f>
        <v>0</v>
      </c>
      <c r="D47" s="265">
        <f>D37+D46</f>
        <v>2883000</v>
      </c>
      <c r="E47" s="265">
        <f>E37+E46</f>
        <v>376000</v>
      </c>
    </row>
    <row r="48" spans="2:5" ht="15.75">
      <c r="B48" s="149" t="s">
        <v>114</v>
      </c>
      <c r="C48" s="227"/>
      <c r="D48" s="227"/>
      <c r="E48" s="227"/>
    </row>
    <row r="49" spans="2:5" ht="15.75">
      <c r="B49" s="271" t="s">
        <v>1160</v>
      </c>
      <c r="C49" s="66">
        <v>0</v>
      </c>
      <c r="D49" s="66">
        <v>166000</v>
      </c>
      <c r="E49" s="66">
        <v>0</v>
      </c>
    </row>
    <row r="50" spans="2:5" ht="15.75">
      <c r="B50" s="271" t="s">
        <v>1163</v>
      </c>
      <c r="C50" s="66">
        <v>0</v>
      </c>
      <c r="D50" s="66">
        <v>100000</v>
      </c>
      <c r="E50" s="66">
        <v>0</v>
      </c>
    </row>
    <row r="51" spans="2:5" ht="15.75">
      <c r="B51" s="271" t="s">
        <v>1162</v>
      </c>
      <c r="C51" s="66">
        <v>0</v>
      </c>
      <c r="D51" s="66">
        <v>2617000</v>
      </c>
      <c r="E51" s="66">
        <v>53750</v>
      </c>
    </row>
    <row r="52" spans="2:5" ht="15.75">
      <c r="B52" s="271" t="s">
        <v>1143</v>
      </c>
      <c r="C52" s="66">
        <v>0</v>
      </c>
      <c r="D52" s="66">
        <v>0</v>
      </c>
      <c r="E52" s="66">
        <v>240297</v>
      </c>
    </row>
    <row r="53" spans="2:5" ht="15.75">
      <c r="B53" s="271" t="s">
        <v>1144</v>
      </c>
      <c r="C53" s="66">
        <v>0</v>
      </c>
      <c r="D53" s="66">
        <v>0</v>
      </c>
      <c r="E53" s="66">
        <v>81940</v>
      </c>
    </row>
    <row r="54" spans="2:5" ht="15.75">
      <c r="B54" s="271" t="s">
        <v>1145</v>
      </c>
      <c r="C54" s="66">
        <v>0</v>
      </c>
      <c r="D54" s="66">
        <v>0</v>
      </c>
      <c r="E54" s="66">
        <v>0</v>
      </c>
    </row>
    <row r="55" spans="2:5" ht="15.75">
      <c r="B55" s="271" t="s">
        <v>1146</v>
      </c>
      <c r="C55" s="66">
        <v>0</v>
      </c>
      <c r="D55" s="66">
        <v>0</v>
      </c>
      <c r="E55" s="66">
        <v>0</v>
      </c>
    </row>
    <row r="56" spans="2:5" ht="15.75">
      <c r="B56" s="271"/>
      <c r="C56" s="66"/>
      <c r="D56" s="66"/>
      <c r="E56" s="66"/>
    </row>
    <row r="57" spans="2:5" ht="15.75">
      <c r="B57" s="272" t="s">
        <v>14</v>
      </c>
      <c r="C57" s="66"/>
      <c r="D57" s="256"/>
      <c r="E57" s="256"/>
    </row>
    <row r="58" spans="2:5" ht="15.75">
      <c r="B58" s="272" t="s">
        <v>775</v>
      </c>
      <c r="C58" s="292">
        <f>IF(C59*0.1&lt;C57,"Exceed 10% Rule","")</f>
      </c>
      <c r="D58" s="261">
        <f>IF(D59*0.1&lt;D57,"Exceed 10% Rule","")</f>
      </c>
      <c r="E58" s="261">
        <f>IF(E59*0.1&lt;E57,"Exceed 10% Rule","")</f>
      </c>
    </row>
    <row r="59" spans="2:5" ht="15.75">
      <c r="B59" s="262" t="s">
        <v>118</v>
      </c>
      <c r="C59" s="265">
        <f>SUM(C49:C57)</f>
        <v>0</v>
      </c>
      <c r="D59" s="265">
        <f>SUM(D49:D57)</f>
        <v>2883000</v>
      </c>
      <c r="E59" s="265">
        <f>SUM(E49:E57)</f>
        <v>375987</v>
      </c>
    </row>
    <row r="60" spans="2:5" ht="15.75">
      <c r="B60" s="149" t="s">
        <v>225</v>
      </c>
      <c r="C60" s="81">
        <f>C47-C59</f>
        <v>0</v>
      </c>
      <c r="D60" s="81">
        <f>D47-D59</f>
        <v>0</v>
      </c>
      <c r="E60" s="81">
        <f>E47-E59</f>
        <v>13</v>
      </c>
    </row>
    <row r="61" spans="2:5" ht="15.75">
      <c r="B61" s="135" t="str">
        <f>CONCATENATE("",E1-2,"/",E1-1," Budget Authority Amount:")</f>
        <v>2012/2013 Budget Authority Amount:</v>
      </c>
      <c r="C61" s="240">
        <f>inputOth!B82</f>
        <v>0</v>
      </c>
      <c r="D61" s="240">
        <f>inputPrYr!D43</f>
        <v>0</v>
      </c>
      <c r="E61" s="374">
        <f>IF(E60&lt;0,"See Tab E","")</f>
      </c>
    </row>
    <row r="62" spans="2:5" ht="15.75">
      <c r="B62" s="135"/>
      <c r="C62" s="275">
        <f>IF(C59&gt;C61,"See Tab A","")</f>
      </c>
      <c r="D62" s="275" t="str">
        <f>IF(D59&gt;D61,"See Tab C","")</f>
        <v>See Tab C</v>
      </c>
      <c r="E62" s="46"/>
    </row>
    <row r="63" spans="2:5" ht="15.75">
      <c r="B63" s="135"/>
      <c r="C63" s="275">
        <f>IF(C60&lt;0,"See Tab B","")</f>
      </c>
      <c r="D63" s="275">
        <f>IF(D60&lt;0,"See Tab D","")</f>
      </c>
      <c r="E63" s="46"/>
    </row>
    <row r="64" spans="2:5" ht="15.75">
      <c r="B64" s="46"/>
      <c r="C64" s="46"/>
      <c r="D64" s="46"/>
      <c r="E64" s="46"/>
    </row>
    <row r="65" spans="2:5" ht="15.75">
      <c r="B65" s="395" t="s">
        <v>121</v>
      </c>
      <c r="C65" s="280">
        <v>15</v>
      </c>
      <c r="D65" s="46"/>
      <c r="E65" s="46"/>
    </row>
  </sheetData>
  <sheetProtection sheet="1"/>
  <conditionalFormatting sqref="C13">
    <cfRule type="cellIs" priority="6" dxfId="144" operator="greaterThan" stopIfTrue="1">
      <formula>$C$15*0.1</formula>
    </cfRule>
  </conditionalFormatting>
  <conditionalFormatting sqref="D13">
    <cfRule type="cellIs" priority="7" dxfId="144" operator="greaterThan" stopIfTrue="1">
      <formula>$D$15*0.1</formula>
    </cfRule>
  </conditionalFormatting>
  <conditionalFormatting sqref="E13">
    <cfRule type="cellIs" priority="8" dxfId="144" operator="greaterThan" stopIfTrue="1">
      <formula>$E$15*0.1</formula>
    </cfRule>
  </conditionalFormatting>
  <conditionalFormatting sqref="C26">
    <cfRule type="cellIs" priority="9" dxfId="144" operator="greaterThan" stopIfTrue="1">
      <formula>$C$28*0.1</formula>
    </cfRule>
  </conditionalFormatting>
  <conditionalFormatting sqref="D26">
    <cfRule type="cellIs" priority="10" dxfId="144" operator="greaterThan" stopIfTrue="1">
      <formula>$D$28*0.1</formula>
    </cfRule>
  </conditionalFormatting>
  <conditionalFormatting sqref="E26">
    <cfRule type="cellIs" priority="11" dxfId="144" operator="greaterThan" stopIfTrue="1">
      <formula>$E$28*0.1</formula>
    </cfRule>
  </conditionalFormatting>
  <conditionalFormatting sqref="C44">
    <cfRule type="cellIs" priority="12" dxfId="144" operator="greaterThan" stopIfTrue="1">
      <formula>$C$46*0.1</formula>
    </cfRule>
  </conditionalFormatting>
  <conditionalFormatting sqref="D44">
    <cfRule type="cellIs" priority="13" dxfId="144" operator="greaterThan" stopIfTrue="1">
      <formula>$D$46*0.1</formula>
    </cfRule>
  </conditionalFormatting>
  <conditionalFormatting sqref="E44">
    <cfRule type="cellIs" priority="14" dxfId="144" operator="greaterThan" stopIfTrue="1">
      <formula>$E$46*0.1</formula>
    </cfRule>
  </conditionalFormatting>
  <conditionalFormatting sqref="C57">
    <cfRule type="cellIs" priority="15" dxfId="144" operator="greaterThan" stopIfTrue="1">
      <formula>$C$59*0.1</formula>
    </cfRule>
  </conditionalFormatting>
  <conditionalFormatting sqref="D57">
    <cfRule type="cellIs" priority="16" dxfId="144" operator="greaterThan" stopIfTrue="1">
      <formula>$D$59*0.1</formula>
    </cfRule>
  </conditionalFormatting>
  <conditionalFormatting sqref="E57">
    <cfRule type="cellIs" priority="17" dxfId="144" operator="greaterThan" stopIfTrue="1">
      <formula>$E$59*0.1</formula>
    </cfRule>
  </conditionalFormatting>
  <conditionalFormatting sqref="D59">
    <cfRule type="cellIs" priority="18" dxfId="3" operator="greaterThan" stopIfTrue="1">
      <formula>$D$61</formula>
    </cfRule>
  </conditionalFormatting>
  <conditionalFormatting sqref="C59">
    <cfRule type="cellIs" priority="19" dxfId="3" operator="greaterThan" stopIfTrue="1">
      <formula>$C$61</formula>
    </cfRule>
  </conditionalFormatting>
  <conditionalFormatting sqref="C60 E60 C29 E29">
    <cfRule type="cellIs" priority="20" dxfId="3" operator="lessThan" stopIfTrue="1">
      <formula>0</formula>
    </cfRule>
  </conditionalFormatting>
  <conditionalFormatting sqref="C28">
    <cfRule type="cellIs" priority="22" dxfId="3" operator="greaterThan" stopIfTrue="1">
      <formula>$C$30</formula>
    </cfRule>
  </conditionalFormatting>
  <conditionalFormatting sqref="D60">
    <cfRule type="cellIs" priority="5" dxfId="0" operator="lessThan" stopIfTrue="1">
      <formula>0</formula>
    </cfRule>
  </conditionalFormatting>
  <conditionalFormatting sqref="D29">
    <cfRule type="cellIs" priority="3" dxfId="0" operator="lessThan" stopIfTrue="1">
      <formula>0</formula>
    </cfRule>
  </conditionalFormatting>
  <conditionalFormatting sqref="D28">
    <cfRule type="cellIs" priority="1" dxfId="0" operator="greaterThan" stopIfTrue="1">
      <formula>$D$30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3" t="str">
        <f>inputPrYr!$D$2</f>
        <v>City of Fredonia</v>
      </c>
      <c r="B1" s="293"/>
      <c r="C1" s="172"/>
      <c r="D1" s="172"/>
      <c r="E1" s="172"/>
      <c r="F1" s="174" t="s">
        <v>248</v>
      </c>
      <c r="G1" s="172"/>
      <c r="H1" s="172"/>
      <c r="I1" s="172"/>
      <c r="J1" s="172"/>
      <c r="K1" s="172">
        <f>inputPrYr!$C$5</f>
        <v>2014</v>
      </c>
    </row>
    <row r="2" spans="1:11" ht="15.75">
      <c r="A2" s="172"/>
      <c r="B2" s="172"/>
      <c r="C2" s="172"/>
      <c r="D2" s="172"/>
      <c r="E2" s="172"/>
      <c r="F2" s="294" t="str">
        <f>CONCATENATE("(Only the actual budget year for ",K1-2," is to be shown)")</f>
        <v>(Only the actual budget year for 2012 is to be shown)</v>
      </c>
      <c r="G2" s="172"/>
      <c r="H2" s="172"/>
      <c r="I2" s="172"/>
      <c r="J2" s="172"/>
      <c r="K2" s="172"/>
    </row>
    <row r="3" spans="1:11" ht="15.75">
      <c r="A3" s="172" t="s">
        <v>295</v>
      </c>
      <c r="B3" s="172"/>
      <c r="C3" s="172"/>
      <c r="D3" s="172"/>
      <c r="E3" s="172"/>
      <c r="F3" s="295"/>
      <c r="G3" s="172"/>
      <c r="H3" s="172"/>
      <c r="I3" s="172"/>
      <c r="J3" s="172"/>
      <c r="K3" s="172"/>
    </row>
    <row r="4" spans="1:11" ht="15.75">
      <c r="A4" s="172" t="s">
        <v>249</v>
      </c>
      <c r="B4" s="172"/>
      <c r="C4" s="172" t="s">
        <v>250</v>
      </c>
      <c r="D4" s="172"/>
      <c r="E4" s="172" t="s">
        <v>251</v>
      </c>
      <c r="F4" s="293"/>
      <c r="G4" s="172" t="s">
        <v>252</v>
      </c>
      <c r="H4" s="172"/>
      <c r="I4" s="172" t="s">
        <v>253</v>
      </c>
      <c r="J4" s="172"/>
      <c r="K4" s="172"/>
    </row>
    <row r="5" spans="1:11" ht="15.75">
      <c r="A5" s="807" t="str">
        <f>IF(inputPrYr!B57&gt;" ",(inputPrYr!B57)," ")</f>
        <v>Water Bond Reserve</v>
      </c>
      <c r="B5" s="808"/>
      <c r="C5" s="807" t="str">
        <f>IF(inputPrYr!B58&gt;" ",(inputPrYr!B58)," ")</f>
        <v>Emergency Depreciation</v>
      </c>
      <c r="D5" s="808"/>
      <c r="E5" s="807" t="str">
        <f>IF(inputPrYr!B59&gt;" ",(inputPrYr!B59)," ")</f>
        <v>Fire Capital Reserve</v>
      </c>
      <c r="F5" s="808"/>
      <c r="G5" s="807" t="str">
        <f>IF(inputPrYr!B60&gt;" ",(inputPrYr!B60)," ")</f>
        <v>Water Meter Fund</v>
      </c>
      <c r="H5" s="808"/>
      <c r="I5" s="807" t="str">
        <f>IF(inputPrYr!B61&gt;" ",(inputPrYr!B61)," ")</f>
        <v>Light Meter Fund</v>
      </c>
      <c r="J5" s="808"/>
      <c r="K5" s="123"/>
    </row>
    <row r="6" spans="1:11" ht="15.75">
      <c r="A6" s="297" t="s">
        <v>254</v>
      </c>
      <c r="B6" s="298"/>
      <c r="C6" s="299" t="s">
        <v>254</v>
      </c>
      <c r="D6" s="300"/>
      <c r="E6" s="299" t="s">
        <v>254</v>
      </c>
      <c r="F6" s="296"/>
      <c r="G6" s="299" t="s">
        <v>254</v>
      </c>
      <c r="H6" s="301"/>
      <c r="I6" s="299" t="s">
        <v>254</v>
      </c>
      <c r="J6" s="172"/>
      <c r="K6" s="302" t="s">
        <v>76</v>
      </c>
    </row>
    <row r="7" spans="1:11" ht="15.75">
      <c r="A7" s="303" t="s">
        <v>21</v>
      </c>
      <c r="B7" s="304">
        <v>127500</v>
      </c>
      <c r="C7" s="305" t="s">
        <v>21</v>
      </c>
      <c r="D7" s="304">
        <v>25000</v>
      </c>
      <c r="E7" s="305" t="s">
        <v>21</v>
      </c>
      <c r="F7" s="304">
        <v>10100</v>
      </c>
      <c r="G7" s="305" t="s">
        <v>21</v>
      </c>
      <c r="H7" s="304">
        <v>18165</v>
      </c>
      <c r="I7" s="305" t="s">
        <v>21</v>
      </c>
      <c r="J7" s="304">
        <v>51866</v>
      </c>
      <c r="K7" s="306">
        <f>SUM(B7+D7+F7+H7+J7)</f>
        <v>232631</v>
      </c>
    </row>
    <row r="8" spans="1:11" ht="15.75">
      <c r="A8" s="307" t="s">
        <v>226</v>
      </c>
      <c r="B8" s="308"/>
      <c r="C8" s="307" t="s">
        <v>226</v>
      </c>
      <c r="D8" s="309"/>
      <c r="E8" s="307" t="s">
        <v>226</v>
      </c>
      <c r="F8" s="293"/>
      <c r="G8" s="307" t="s">
        <v>226</v>
      </c>
      <c r="H8" s="172"/>
      <c r="I8" s="307" t="s">
        <v>226</v>
      </c>
      <c r="J8" s="172"/>
      <c r="K8" s="293"/>
    </row>
    <row r="9" spans="1:11" ht="15.75">
      <c r="A9" s="310"/>
      <c r="B9" s="304"/>
      <c r="C9" s="310"/>
      <c r="D9" s="304"/>
      <c r="E9" s="310"/>
      <c r="F9" s="304"/>
      <c r="G9" s="310"/>
      <c r="H9" s="304"/>
      <c r="I9" s="310"/>
      <c r="J9" s="304"/>
      <c r="K9" s="293"/>
    </row>
    <row r="10" spans="1:11" ht="15.75">
      <c r="A10" s="310"/>
      <c r="B10" s="304"/>
      <c r="C10" s="310"/>
      <c r="D10" s="304"/>
      <c r="E10" s="310"/>
      <c r="F10" s="304"/>
      <c r="G10" s="310"/>
      <c r="H10" s="304"/>
      <c r="I10" s="310"/>
      <c r="J10" s="304"/>
      <c r="K10" s="293"/>
    </row>
    <row r="11" spans="1:11" ht="15.75">
      <c r="A11" s="310"/>
      <c r="B11" s="304"/>
      <c r="C11" s="311"/>
      <c r="D11" s="304"/>
      <c r="E11" s="311"/>
      <c r="F11" s="304"/>
      <c r="G11" s="311"/>
      <c r="H11" s="304"/>
      <c r="I11" s="312"/>
      <c r="J11" s="304"/>
      <c r="K11" s="293"/>
    </row>
    <row r="12" spans="1:11" ht="15.75">
      <c r="A12" s="310"/>
      <c r="B12" s="304"/>
      <c r="C12" s="310"/>
      <c r="D12" s="304"/>
      <c r="E12" s="313"/>
      <c r="F12" s="304"/>
      <c r="G12" s="313"/>
      <c r="H12" s="304"/>
      <c r="I12" s="313"/>
      <c r="J12" s="304"/>
      <c r="K12" s="293"/>
    </row>
    <row r="13" spans="1:11" ht="15.75">
      <c r="A13" s="314"/>
      <c r="B13" s="304"/>
      <c r="C13" s="315"/>
      <c r="D13" s="304"/>
      <c r="E13" s="315"/>
      <c r="F13" s="304"/>
      <c r="G13" s="315"/>
      <c r="H13" s="304"/>
      <c r="I13" s="312"/>
      <c r="J13" s="304"/>
      <c r="K13" s="293"/>
    </row>
    <row r="14" spans="1:11" ht="15.75">
      <c r="A14" s="310"/>
      <c r="B14" s="304"/>
      <c r="C14" s="313"/>
      <c r="D14" s="304"/>
      <c r="E14" s="313"/>
      <c r="F14" s="304"/>
      <c r="G14" s="313"/>
      <c r="H14" s="304"/>
      <c r="I14" s="313"/>
      <c r="J14" s="304"/>
      <c r="K14" s="293"/>
    </row>
    <row r="15" spans="1:11" ht="15.75">
      <c r="A15" s="310"/>
      <c r="B15" s="304"/>
      <c r="C15" s="313"/>
      <c r="D15" s="304"/>
      <c r="E15" s="313"/>
      <c r="F15" s="304"/>
      <c r="G15" s="313"/>
      <c r="H15" s="304"/>
      <c r="I15" s="313"/>
      <c r="J15" s="304"/>
      <c r="K15" s="293"/>
    </row>
    <row r="16" spans="1:11" ht="15.75">
      <c r="A16" s="310"/>
      <c r="B16" s="304"/>
      <c r="C16" s="310"/>
      <c r="D16" s="304"/>
      <c r="E16" s="310"/>
      <c r="F16" s="304"/>
      <c r="G16" s="313"/>
      <c r="H16" s="304"/>
      <c r="I16" s="310"/>
      <c r="J16" s="304"/>
      <c r="K16" s="293"/>
    </row>
    <row r="17" spans="1:11" ht="15.75">
      <c r="A17" s="307" t="s">
        <v>111</v>
      </c>
      <c r="B17" s="306">
        <f>SUM(B9:B16)</f>
        <v>0</v>
      </c>
      <c r="C17" s="307" t="s">
        <v>111</v>
      </c>
      <c r="D17" s="306">
        <f>SUM(D9:D16)</f>
        <v>0</v>
      </c>
      <c r="E17" s="307" t="s">
        <v>111</v>
      </c>
      <c r="F17" s="372">
        <f>SUM(F9:F16)</f>
        <v>0</v>
      </c>
      <c r="G17" s="307" t="s">
        <v>111</v>
      </c>
      <c r="H17" s="306">
        <f>SUM(H9:H16)</f>
        <v>0</v>
      </c>
      <c r="I17" s="307" t="s">
        <v>111</v>
      </c>
      <c r="J17" s="306">
        <f>SUM(J9:J16)</f>
        <v>0</v>
      </c>
      <c r="K17" s="306">
        <f>SUM(B17+D17+F17+H17+J17)</f>
        <v>0</v>
      </c>
    </row>
    <row r="18" spans="1:11" ht="15.75">
      <c r="A18" s="307" t="s">
        <v>112</v>
      </c>
      <c r="B18" s="306">
        <f>SUM(B7+B17)</f>
        <v>127500</v>
      </c>
      <c r="C18" s="307" t="s">
        <v>112</v>
      </c>
      <c r="D18" s="306">
        <f>SUM(D7+D17)</f>
        <v>25000</v>
      </c>
      <c r="E18" s="307" t="s">
        <v>112</v>
      </c>
      <c r="F18" s="306">
        <f>SUM(F7+F17)</f>
        <v>10100</v>
      </c>
      <c r="G18" s="307" t="s">
        <v>112</v>
      </c>
      <c r="H18" s="306">
        <f>SUM(H7+H17)</f>
        <v>18165</v>
      </c>
      <c r="I18" s="307" t="s">
        <v>112</v>
      </c>
      <c r="J18" s="306">
        <f>SUM(J7+J17)</f>
        <v>51866</v>
      </c>
      <c r="K18" s="306">
        <f>SUM(B18+D18+F18+H18+J18)</f>
        <v>232631</v>
      </c>
    </row>
    <row r="19" spans="1:11" ht="15.75">
      <c r="A19" s="307" t="s">
        <v>114</v>
      </c>
      <c r="B19" s="308"/>
      <c r="C19" s="307" t="s">
        <v>114</v>
      </c>
      <c r="D19" s="309"/>
      <c r="E19" s="307" t="s">
        <v>114</v>
      </c>
      <c r="F19" s="293"/>
      <c r="G19" s="307" t="s">
        <v>114</v>
      </c>
      <c r="H19" s="172"/>
      <c r="I19" s="307" t="s">
        <v>114</v>
      </c>
      <c r="J19" s="172"/>
      <c r="K19" s="293"/>
    </row>
    <row r="20" spans="1:11" ht="15.75">
      <c r="A20" s="310"/>
      <c r="B20" s="304"/>
      <c r="C20" s="313"/>
      <c r="D20" s="304"/>
      <c r="E20" s="313" t="s">
        <v>1147</v>
      </c>
      <c r="F20" s="304">
        <v>10100</v>
      </c>
      <c r="G20" s="313" t="s">
        <v>1148</v>
      </c>
      <c r="H20" s="304">
        <v>9819.5</v>
      </c>
      <c r="I20" s="313" t="s">
        <v>1148</v>
      </c>
      <c r="J20" s="304">
        <v>30860</v>
      </c>
      <c r="K20" s="293"/>
    </row>
    <row r="21" spans="1:11" ht="15.75">
      <c r="A21" s="310"/>
      <c r="B21" s="304"/>
      <c r="C21" s="313"/>
      <c r="D21" s="304"/>
      <c r="E21" s="313"/>
      <c r="F21" s="304"/>
      <c r="G21" s="313"/>
      <c r="H21" s="304"/>
      <c r="I21" s="313"/>
      <c r="J21" s="304"/>
      <c r="K21" s="293"/>
    </row>
    <row r="22" spans="1:11" ht="15.75">
      <c r="A22" s="310"/>
      <c r="B22" s="304"/>
      <c r="C22" s="315"/>
      <c r="D22" s="304"/>
      <c r="E22" s="315"/>
      <c r="F22" s="304"/>
      <c r="G22" s="315"/>
      <c r="H22" s="304"/>
      <c r="I22" s="312"/>
      <c r="J22" s="304"/>
      <c r="K22" s="293"/>
    </row>
    <row r="23" spans="1:11" ht="15.75">
      <c r="A23" s="310"/>
      <c r="B23" s="304"/>
      <c r="C23" s="313"/>
      <c r="D23" s="304"/>
      <c r="E23" s="313"/>
      <c r="F23" s="304"/>
      <c r="G23" s="313"/>
      <c r="H23" s="304"/>
      <c r="I23" s="313"/>
      <c r="J23" s="304"/>
      <c r="K23" s="293"/>
    </row>
    <row r="24" spans="1:11" ht="15.75">
      <c r="A24" s="310"/>
      <c r="B24" s="304"/>
      <c r="C24" s="315"/>
      <c r="D24" s="304"/>
      <c r="E24" s="315"/>
      <c r="F24" s="304"/>
      <c r="G24" s="315"/>
      <c r="H24" s="304"/>
      <c r="I24" s="312"/>
      <c r="J24" s="304"/>
      <c r="K24" s="293"/>
    </row>
    <row r="25" spans="1:11" ht="15.75">
      <c r="A25" s="310"/>
      <c r="B25" s="304"/>
      <c r="C25" s="313"/>
      <c r="D25" s="304"/>
      <c r="E25" s="313"/>
      <c r="F25" s="304"/>
      <c r="G25" s="313"/>
      <c r="H25" s="304"/>
      <c r="I25" s="313"/>
      <c r="J25" s="304"/>
      <c r="K25" s="293"/>
    </row>
    <row r="26" spans="1:11" ht="15.75">
      <c r="A26" s="310"/>
      <c r="B26" s="304"/>
      <c r="C26" s="313"/>
      <c r="D26" s="304"/>
      <c r="E26" s="313"/>
      <c r="F26" s="304"/>
      <c r="G26" s="313"/>
      <c r="H26" s="304"/>
      <c r="I26" s="313"/>
      <c r="J26" s="304"/>
      <c r="K26" s="293"/>
    </row>
    <row r="27" spans="1:11" ht="15.75">
      <c r="A27" s="310"/>
      <c r="B27" s="304"/>
      <c r="C27" s="310"/>
      <c r="D27" s="304"/>
      <c r="E27" s="310"/>
      <c r="F27" s="304"/>
      <c r="G27" s="313"/>
      <c r="H27" s="304"/>
      <c r="I27" s="313"/>
      <c r="J27" s="304"/>
      <c r="K27" s="293"/>
    </row>
    <row r="28" spans="1:11" ht="15.75">
      <c r="A28" s="307" t="s">
        <v>118</v>
      </c>
      <c r="B28" s="306">
        <f>SUM(B20:B27)</f>
        <v>0</v>
      </c>
      <c r="C28" s="307" t="s">
        <v>118</v>
      </c>
      <c r="D28" s="306">
        <f>SUM(D20:D27)</f>
        <v>0</v>
      </c>
      <c r="E28" s="307" t="s">
        <v>118</v>
      </c>
      <c r="F28" s="372">
        <f>SUM(F20:F27)</f>
        <v>10100</v>
      </c>
      <c r="G28" s="307" t="s">
        <v>118</v>
      </c>
      <c r="H28" s="372">
        <f>SUM(H20:H27)</f>
        <v>9819.5</v>
      </c>
      <c r="I28" s="307" t="s">
        <v>118</v>
      </c>
      <c r="J28" s="306">
        <f>SUM(J20:J27)</f>
        <v>30860</v>
      </c>
      <c r="K28" s="306">
        <f>SUM(B28+D28+F28+H28+J28)</f>
        <v>50779.5</v>
      </c>
    </row>
    <row r="29" spans="1:12" ht="15.75">
      <c r="A29" s="307" t="s">
        <v>255</v>
      </c>
      <c r="B29" s="306">
        <f>SUM(B18-B28)</f>
        <v>127500</v>
      </c>
      <c r="C29" s="307" t="s">
        <v>255</v>
      </c>
      <c r="D29" s="306">
        <f>SUM(D18-D28)</f>
        <v>25000</v>
      </c>
      <c r="E29" s="307" t="s">
        <v>255</v>
      </c>
      <c r="F29" s="306">
        <f>SUM(F18-F28)</f>
        <v>0</v>
      </c>
      <c r="G29" s="307" t="s">
        <v>255</v>
      </c>
      <c r="H29" s="306">
        <f>SUM(H18-H28)</f>
        <v>8345.5</v>
      </c>
      <c r="I29" s="307" t="s">
        <v>255</v>
      </c>
      <c r="J29" s="306">
        <f>SUM(J18-J28)</f>
        <v>21006</v>
      </c>
      <c r="K29" s="316">
        <f>SUM(B29+D29+F29+H29+J29)</f>
        <v>181851.5</v>
      </c>
      <c r="L29" s="32" t="s">
        <v>331</v>
      </c>
    </row>
    <row r="30" spans="1:12" ht="15.75">
      <c r="A30" s="307"/>
      <c r="B30" s="340">
        <f>IF(B29&lt;0,"See Tab B","")</f>
      </c>
      <c r="C30" s="307"/>
      <c r="D30" s="340">
        <f>IF(D29&lt;0,"See Tab B","")</f>
      </c>
      <c r="E30" s="307"/>
      <c r="F30" s="340">
        <f>IF(F29&lt;0,"See Tab B","")</f>
      </c>
      <c r="G30" s="172"/>
      <c r="H30" s="340">
        <f>IF(H29&lt;0,"See Tab B","")</f>
      </c>
      <c r="I30" s="172"/>
      <c r="J30" s="340">
        <f>IF(J29&lt;0,"See Tab B","")</f>
      </c>
      <c r="K30" s="316">
        <f>SUM(K7+K17-K28)</f>
        <v>181851.5</v>
      </c>
      <c r="L30" s="32" t="s">
        <v>331</v>
      </c>
    </row>
    <row r="31" spans="1:11" ht="15.75">
      <c r="A31" s="172"/>
      <c r="B31" s="177"/>
      <c r="C31" s="172"/>
      <c r="D31" s="293"/>
      <c r="E31" s="172"/>
      <c r="F31" s="172"/>
      <c r="G31" s="42" t="s">
        <v>333</v>
      </c>
      <c r="H31" s="42"/>
      <c r="I31" s="42"/>
      <c r="J31" s="42"/>
      <c r="K31" s="172"/>
    </row>
    <row r="32" spans="1:11" ht="15.75">
      <c r="A32" s="172"/>
      <c r="B32" s="177"/>
      <c r="C32" s="172"/>
      <c r="D32" s="172"/>
      <c r="E32" s="172"/>
      <c r="F32" s="172"/>
      <c r="G32" s="172"/>
      <c r="H32" s="172"/>
      <c r="I32" s="172"/>
      <c r="J32" s="172"/>
      <c r="K32" s="172"/>
    </row>
    <row r="33" spans="1:11" ht="15.75">
      <c r="A33" s="172"/>
      <c r="B33" s="177"/>
      <c r="C33" s="172"/>
      <c r="D33" s="172"/>
      <c r="E33" s="186" t="s">
        <v>121</v>
      </c>
      <c r="F33" s="280">
        <v>16</v>
      </c>
      <c r="G33" s="172"/>
      <c r="H33" s="172"/>
      <c r="I33" s="172"/>
      <c r="J33" s="172"/>
      <c r="K33" s="172"/>
    </row>
    <row r="34" ht="15.75">
      <c r="B34" s="317"/>
    </row>
    <row r="35" ht="15.75">
      <c r="B35" s="317"/>
    </row>
    <row r="36" ht="15.75">
      <c r="B36" s="317"/>
    </row>
    <row r="37" ht="15.75">
      <c r="B37" s="317"/>
    </row>
    <row r="38" ht="15.75">
      <c r="B38" s="317"/>
    </row>
    <row r="39" ht="15.75">
      <c r="B39" s="317"/>
    </row>
    <row r="40" ht="15.75">
      <c r="B40" s="317"/>
    </row>
    <row r="41" ht="15.75">
      <c r="B41" s="317"/>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K43" sqref="K43"/>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3" t="str">
        <f>inputPrYr!$D$2</f>
        <v>City of Fredonia</v>
      </c>
      <c r="B1" s="293"/>
      <c r="C1" s="172"/>
      <c r="D1" s="172"/>
      <c r="E1" s="172"/>
      <c r="F1" s="174" t="s">
        <v>256</v>
      </c>
      <c r="G1" s="172"/>
      <c r="H1" s="172"/>
      <c r="I1" s="172"/>
      <c r="J1" s="172"/>
      <c r="K1" s="172">
        <f>inputPrYr!$C$5</f>
        <v>2014</v>
      </c>
    </row>
    <row r="2" spans="1:11" ht="15.75">
      <c r="A2" s="172"/>
      <c r="B2" s="172"/>
      <c r="C2" s="172"/>
      <c r="D2" s="172"/>
      <c r="E2" s="172"/>
      <c r="F2" s="294" t="str">
        <f>CONCATENATE("(Only the actual budget year for ",K1-2," is to be shown)")</f>
        <v>(Only the actual budget year for 2012 is to be shown)</v>
      </c>
      <c r="G2" s="172"/>
      <c r="H2" s="172"/>
      <c r="I2" s="172"/>
      <c r="J2" s="172"/>
      <c r="K2" s="172"/>
    </row>
    <row r="3" spans="1:11" ht="15.75">
      <c r="A3" s="172" t="s">
        <v>294</v>
      </c>
      <c r="B3" s="172"/>
      <c r="C3" s="172"/>
      <c r="D3" s="172"/>
      <c r="E3" s="172"/>
      <c r="F3" s="293"/>
      <c r="G3" s="172"/>
      <c r="H3" s="172"/>
      <c r="I3" s="172"/>
      <c r="J3" s="172"/>
      <c r="K3" s="172"/>
    </row>
    <row r="4" spans="1:11" ht="15.75">
      <c r="A4" s="172" t="s">
        <v>249</v>
      </c>
      <c r="B4" s="172"/>
      <c r="C4" s="172" t="s">
        <v>250</v>
      </c>
      <c r="D4" s="172"/>
      <c r="E4" s="172" t="s">
        <v>251</v>
      </c>
      <c r="F4" s="293"/>
      <c r="G4" s="172" t="s">
        <v>252</v>
      </c>
      <c r="H4" s="172"/>
      <c r="I4" s="172" t="s">
        <v>253</v>
      </c>
      <c r="J4" s="172"/>
      <c r="K4" s="172"/>
    </row>
    <row r="5" spans="1:11" ht="15.75">
      <c r="A5" s="807" t="str">
        <f>IF(inputPrYr!B63&gt;" ",(inputPrYr!B63)," ")</f>
        <v>CDBG Fund</v>
      </c>
      <c r="B5" s="808"/>
      <c r="C5" s="807" t="str">
        <f>IF(inputPrYr!B64&gt;" ",(inputPrYr!B64)," ")</f>
        <v>Water Reserve Fund</v>
      </c>
      <c r="D5" s="808"/>
      <c r="E5" s="807" t="str">
        <f>IF(inputPrYr!B65&gt;" ",(inputPrYr!B65)," ")</f>
        <v>Electric Capital Reserve</v>
      </c>
      <c r="F5" s="808"/>
      <c r="G5" s="807" t="str">
        <f>IF(inputPrYr!B66&gt;" ",(inputPrYr!B66)," ")</f>
        <v>Neighborhood Revitalization</v>
      </c>
      <c r="H5" s="808"/>
      <c r="I5" s="807" t="str">
        <f>IF(inputPrYr!B67&gt;" ",(inputPrYr!B67)," ")</f>
        <v>Capital Improvement Res.</v>
      </c>
      <c r="J5" s="808"/>
      <c r="K5" s="123"/>
    </row>
    <row r="6" spans="1:11" ht="15.75">
      <c r="A6" s="297" t="s">
        <v>254</v>
      </c>
      <c r="B6" s="298"/>
      <c r="C6" s="299" t="s">
        <v>254</v>
      </c>
      <c r="D6" s="300"/>
      <c r="E6" s="299" t="s">
        <v>254</v>
      </c>
      <c r="F6" s="296"/>
      <c r="G6" s="299" t="s">
        <v>254</v>
      </c>
      <c r="H6" s="301"/>
      <c r="I6" s="299" t="s">
        <v>254</v>
      </c>
      <c r="J6" s="172"/>
      <c r="K6" s="302" t="s">
        <v>76</v>
      </c>
    </row>
    <row r="7" spans="1:11" ht="15.75">
      <c r="A7" s="303" t="s">
        <v>21</v>
      </c>
      <c r="B7" s="304">
        <v>0</v>
      </c>
      <c r="C7" s="305" t="s">
        <v>21</v>
      </c>
      <c r="D7" s="304">
        <v>50000</v>
      </c>
      <c r="E7" s="305" t="s">
        <v>21</v>
      </c>
      <c r="F7" s="304">
        <v>177664</v>
      </c>
      <c r="G7" s="305" t="s">
        <v>21</v>
      </c>
      <c r="H7" s="304">
        <v>300</v>
      </c>
      <c r="I7" s="305" t="s">
        <v>21</v>
      </c>
      <c r="J7" s="304">
        <v>111398</v>
      </c>
      <c r="K7" s="306">
        <f>SUM(B7+D7+F7+H7+J7)</f>
        <v>339362</v>
      </c>
    </row>
    <row r="8" spans="1:11" ht="15.75">
      <c r="A8" s="307" t="s">
        <v>226</v>
      </c>
      <c r="B8" s="308"/>
      <c r="C8" s="307" t="s">
        <v>226</v>
      </c>
      <c r="D8" s="309"/>
      <c r="E8" s="307" t="s">
        <v>226</v>
      </c>
      <c r="F8" s="293"/>
      <c r="G8" s="307" t="s">
        <v>226</v>
      </c>
      <c r="H8" s="172"/>
      <c r="I8" s="307" t="s">
        <v>226</v>
      </c>
      <c r="J8" s="172"/>
      <c r="K8" s="293"/>
    </row>
    <row r="9" spans="1:11" ht="15.75">
      <c r="A9" s="310"/>
      <c r="B9" s="304"/>
      <c r="C9" s="310"/>
      <c r="D9" s="304"/>
      <c r="E9" s="310" t="s">
        <v>1149</v>
      </c>
      <c r="F9" s="304">
        <v>25000</v>
      </c>
      <c r="G9" s="310"/>
      <c r="H9" s="304">
        <v>0</v>
      </c>
      <c r="I9" s="310"/>
      <c r="J9" s="304">
        <v>0</v>
      </c>
      <c r="K9" s="293"/>
    </row>
    <row r="10" spans="1:11" ht="15.75">
      <c r="A10" s="310"/>
      <c r="B10" s="304"/>
      <c r="C10" s="310"/>
      <c r="D10" s="304"/>
      <c r="E10" s="310"/>
      <c r="F10" s="304"/>
      <c r="G10" s="310"/>
      <c r="H10" s="304"/>
      <c r="I10" s="310"/>
      <c r="J10" s="304"/>
      <c r="K10" s="293"/>
    </row>
    <row r="11" spans="1:11" ht="15.75">
      <c r="A11" s="310"/>
      <c r="B11" s="304"/>
      <c r="C11" s="311"/>
      <c r="D11" s="304"/>
      <c r="E11" s="311"/>
      <c r="F11" s="304"/>
      <c r="G11" s="311"/>
      <c r="H11" s="304"/>
      <c r="I11" s="312"/>
      <c r="J11" s="304"/>
      <c r="K11" s="293"/>
    </row>
    <row r="12" spans="1:11" ht="15.75">
      <c r="A12" s="310"/>
      <c r="B12" s="304"/>
      <c r="C12" s="310"/>
      <c r="D12" s="304"/>
      <c r="E12" s="313"/>
      <c r="F12" s="304"/>
      <c r="G12" s="313"/>
      <c r="H12" s="304"/>
      <c r="I12" s="313"/>
      <c r="J12" s="304"/>
      <c r="K12" s="293"/>
    </row>
    <row r="13" spans="1:11" ht="15.75">
      <c r="A13" s="314"/>
      <c r="B13" s="304"/>
      <c r="C13" s="315"/>
      <c r="D13" s="304"/>
      <c r="E13" s="315"/>
      <c r="F13" s="304"/>
      <c r="G13" s="315"/>
      <c r="H13" s="304"/>
      <c r="I13" s="312"/>
      <c r="J13" s="304"/>
      <c r="K13" s="293"/>
    </row>
    <row r="14" spans="1:11" ht="15.75">
      <c r="A14" s="310"/>
      <c r="B14" s="304"/>
      <c r="C14" s="313"/>
      <c r="D14" s="304"/>
      <c r="E14" s="313"/>
      <c r="F14" s="304"/>
      <c r="G14" s="313"/>
      <c r="H14" s="304"/>
      <c r="I14" s="313"/>
      <c r="J14" s="304"/>
      <c r="K14" s="293"/>
    </row>
    <row r="15" spans="1:11" ht="15.75">
      <c r="A15" s="310"/>
      <c r="B15" s="304"/>
      <c r="C15" s="313"/>
      <c r="D15" s="304"/>
      <c r="E15" s="313"/>
      <c r="F15" s="304"/>
      <c r="G15" s="313"/>
      <c r="H15" s="304"/>
      <c r="I15" s="313"/>
      <c r="J15" s="304"/>
      <c r="K15" s="293"/>
    </row>
    <row r="16" spans="1:11" ht="15.75">
      <c r="A16" s="310"/>
      <c r="B16" s="304"/>
      <c r="C16" s="310"/>
      <c r="D16" s="304"/>
      <c r="E16" s="310"/>
      <c r="F16" s="304"/>
      <c r="G16" s="313"/>
      <c r="H16" s="304"/>
      <c r="I16" s="310"/>
      <c r="J16" s="304"/>
      <c r="K16" s="293"/>
    </row>
    <row r="17" spans="1:11" ht="15.75">
      <c r="A17" s="307" t="s">
        <v>111</v>
      </c>
      <c r="B17" s="306">
        <f>SUM(B9:B16)</f>
        <v>0</v>
      </c>
      <c r="C17" s="307" t="s">
        <v>111</v>
      </c>
      <c r="D17" s="306">
        <f>SUM(D9:D16)</f>
        <v>0</v>
      </c>
      <c r="E17" s="307" t="s">
        <v>111</v>
      </c>
      <c r="F17" s="372">
        <f>SUM(F9:F16)</f>
        <v>25000</v>
      </c>
      <c r="G17" s="307" t="s">
        <v>111</v>
      </c>
      <c r="H17" s="306">
        <f>SUM(H9:H16)</f>
        <v>0</v>
      </c>
      <c r="I17" s="307" t="s">
        <v>111</v>
      </c>
      <c r="J17" s="306">
        <f>SUM(J9:J16)</f>
        <v>0</v>
      </c>
      <c r="K17" s="306">
        <f>SUM(B17+D17+F17+H17+J17)</f>
        <v>25000</v>
      </c>
    </row>
    <row r="18" spans="1:11" ht="15.75">
      <c r="A18" s="307" t="s">
        <v>112</v>
      </c>
      <c r="B18" s="306">
        <f>SUM(B7+B17)</f>
        <v>0</v>
      </c>
      <c r="C18" s="307" t="s">
        <v>112</v>
      </c>
      <c r="D18" s="306">
        <f>SUM(D7+D17)</f>
        <v>50000</v>
      </c>
      <c r="E18" s="307" t="s">
        <v>112</v>
      </c>
      <c r="F18" s="306">
        <f>SUM(F7+F17)</f>
        <v>202664</v>
      </c>
      <c r="G18" s="307" t="s">
        <v>112</v>
      </c>
      <c r="H18" s="306">
        <f>SUM(H7+H17)</f>
        <v>300</v>
      </c>
      <c r="I18" s="307" t="s">
        <v>112</v>
      </c>
      <c r="J18" s="306">
        <f>SUM(J7+J17)</f>
        <v>111398</v>
      </c>
      <c r="K18" s="306">
        <f>SUM(B18+D18+F18+H18+J18)</f>
        <v>364362</v>
      </c>
    </row>
    <row r="19" spans="1:11" ht="15.75">
      <c r="A19" s="307" t="s">
        <v>114</v>
      </c>
      <c r="B19" s="308"/>
      <c r="C19" s="307" t="s">
        <v>114</v>
      </c>
      <c r="D19" s="309"/>
      <c r="E19" s="307" t="s">
        <v>114</v>
      </c>
      <c r="F19" s="293"/>
      <c r="G19" s="307" t="s">
        <v>114</v>
      </c>
      <c r="H19" s="172"/>
      <c r="I19" s="307" t="s">
        <v>114</v>
      </c>
      <c r="J19" s="172"/>
      <c r="K19" s="293"/>
    </row>
    <row r="20" spans="1:11" ht="15.75">
      <c r="A20" s="310"/>
      <c r="B20" s="304"/>
      <c r="C20" s="313"/>
      <c r="D20" s="304"/>
      <c r="E20" s="313"/>
      <c r="F20" s="304"/>
      <c r="G20" s="313"/>
      <c r="H20" s="304"/>
      <c r="I20" s="313"/>
      <c r="J20" s="304"/>
      <c r="K20" s="293"/>
    </row>
    <row r="21" spans="1:11" ht="15.75">
      <c r="A21" s="310"/>
      <c r="B21" s="304"/>
      <c r="C21" s="313"/>
      <c r="D21" s="304"/>
      <c r="E21" s="313"/>
      <c r="F21" s="304"/>
      <c r="G21" s="313"/>
      <c r="H21" s="304"/>
      <c r="I21" s="313"/>
      <c r="J21" s="304"/>
      <c r="K21" s="293"/>
    </row>
    <row r="22" spans="1:11" ht="15.75">
      <c r="A22" s="310"/>
      <c r="B22" s="304"/>
      <c r="C22" s="315"/>
      <c r="D22" s="304"/>
      <c r="E22" s="315"/>
      <c r="F22" s="304"/>
      <c r="G22" s="315"/>
      <c r="H22" s="304"/>
      <c r="I22" s="312"/>
      <c r="J22" s="304"/>
      <c r="K22" s="293"/>
    </row>
    <row r="23" spans="1:11" ht="15.75">
      <c r="A23" s="310"/>
      <c r="B23" s="304"/>
      <c r="C23" s="313"/>
      <c r="D23" s="304"/>
      <c r="E23" s="313"/>
      <c r="F23" s="304"/>
      <c r="G23" s="313"/>
      <c r="H23" s="304"/>
      <c r="I23" s="313"/>
      <c r="J23" s="304"/>
      <c r="K23" s="293"/>
    </row>
    <row r="24" spans="1:11" ht="15.75">
      <c r="A24" s="310"/>
      <c r="B24" s="304"/>
      <c r="C24" s="315"/>
      <c r="D24" s="304"/>
      <c r="E24" s="315"/>
      <c r="F24" s="304"/>
      <c r="G24" s="315"/>
      <c r="H24" s="304"/>
      <c r="I24" s="312"/>
      <c r="J24" s="304"/>
      <c r="K24" s="293"/>
    </row>
    <row r="25" spans="1:11" ht="15.75">
      <c r="A25" s="310"/>
      <c r="B25" s="304"/>
      <c r="C25" s="313"/>
      <c r="D25" s="304"/>
      <c r="E25" s="313"/>
      <c r="F25" s="304"/>
      <c r="G25" s="313"/>
      <c r="H25" s="304"/>
      <c r="I25" s="313"/>
      <c r="J25" s="304"/>
      <c r="K25" s="293"/>
    </row>
    <row r="26" spans="1:11" ht="15.75">
      <c r="A26" s="310"/>
      <c r="B26" s="304"/>
      <c r="C26" s="313"/>
      <c r="D26" s="304"/>
      <c r="E26" s="313"/>
      <c r="F26" s="304"/>
      <c r="G26" s="313"/>
      <c r="H26" s="304"/>
      <c r="I26" s="313"/>
      <c r="J26" s="304"/>
      <c r="K26" s="293"/>
    </row>
    <row r="27" spans="1:11" ht="15.75">
      <c r="A27" s="310"/>
      <c r="B27" s="304"/>
      <c r="C27" s="310"/>
      <c r="D27" s="304"/>
      <c r="E27" s="310"/>
      <c r="F27" s="304"/>
      <c r="G27" s="313"/>
      <c r="H27" s="304"/>
      <c r="I27" s="313"/>
      <c r="J27" s="304"/>
      <c r="K27" s="293"/>
    </row>
    <row r="28" spans="1:11" ht="15.75">
      <c r="A28" s="307" t="s">
        <v>118</v>
      </c>
      <c r="B28" s="306">
        <f>SUM(B20:B27)</f>
        <v>0</v>
      </c>
      <c r="C28" s="307" t="s">
        <v>118</v>
      </c>
      <c r="D28" s="306">
        <f>SUM(D20:D27)</f>
        <v>0</v>
      </c>
      <c r="E28" s="307" t="s">
        <v>118</v>
      </c>
      <c r="F28" s="372">
        <f>SUM(F20:F27)</f>
        <v>0</v>
      </c>
      <c r="G28" s="307" t="s">
        <v>118</v>
      </c>
      <c r="H28" s="372">
        <f>SUM(H20:H27)</f>
        <v>0</v>
      </c>
      <c r="I28" s="307" t="s">
        <v>118</v>
      </c>
      <c r="J28" s="306">
        <f>SUM(J20:J27)</f>
        <v>0</v>
      </c>
      <c r="K28" s="306">
        <f>SUM(B28+D28+F28+H28+J28)</f>
        <v>0</v>
      </c>
    </row>
    <row r="29" spans="1:12" ht="15.75">
      <c r="A29" s="307" t="s">
        <v>255</v>
      </c>
      <c r="B29" s="306">
        <f>SUM(B18-B28)</f>
        <v>0</v>
      </c>
      <c r="C29" s="307" t="s">
        <v>255</v>
      </c>
      <c r="D29" s="306">
        <f>SUM(D18-D28)</f>
        <v>50000</v>
      </c>
      <c r="E29" s="307" t="s">
        <v>255</v>
      </c>
      <c r="F29" s="306">
        <f>SUM(F18-F28)</f>
        <v>202664</v>
      </c>
      <c r="G29" s="307" t="s">
        <v>255</v>
      </c>
      <c r="H29" s="306">
        <f>SUM(H18-H28)</f>
        <v>300</v>
      </c>
      <c r="I29" s="307" t="s">
        <v>255</v>
      </c>
      <c r="J29" s="306">
        <f>SUM(J18-J28)</f>
        <v>111398</v>
      </c>
      <c r="K29" s="316">
        <f>SUM(B29+D29+F29+H29+J29)</f>
        <v>364362</v>
      </c>
      <c r="L29" s="32" t="s">
        <v>331</v>
      </c>
    </row>
    <row r="30" spans="1:12" ht="15.75">
      <c r="A30" s="307"/>
      <c r="B30" s="340">
        <f>IF(B29&lt;0,"See Tab B","")</f>
      </c>
      <c r="C30" s="307"/>
      <c r="D30" s="340">
        <f>IF(D29&lt;0,"See Tab B","")</f>
      </c>
      <c r="E30" s="307"/>
      <c r="F30" s="340">
        <f>IF(F29&lt;0,"See Tab B","")</f>
      </c>
      <c r="G30" s="172"/>
      <c r="H30" s="340">
        <f>IF(H29&lt;0,"See Tab B","")</f>
      </c>
      <c r="I30" s="172"/>
      <c r="J30" s="340">
        <f>IF(J29&lt;0,"See Tab B","")</f>
      </c>
      <c r="K30" s="316">
        <f>SUM(K7+K17-K28)</f>
        <v>364362</v>
      </c>
      <c r="L30" s="32" t="s">
        <v>331</v>
      </c>
    </row>
    <row r="31" spans="1:11" ht="15.75">
      <c r="A31" s="172"/>
      <c r="B31" s="177"/>
      <c r="C31" s="172"/>
      <c r="D31" s="293"/>
      <c r="E31" s="172"/>
      <c r="F31" s="172"/>
      <c r="G31" s="42" t="s">
        <v>333</v>
      </c>
      <c r="H31" s="42"/>
      <c r="I31" s="42"/>
      <c r="J31" s="42"/>
      <c r="K31" s="172"/>
    </row>
    <row r="32" spans="1:11" ht="15.75">
      <c r="A32" s="172"/>
      <c r="B32" s="177"/>
      <c r="C32" s="172"/>
      <c r="D32" s="172"/>
      <c r="E32" s="172"/>
      <c r="F32" s="172"/>
      <c r="G32" s="172"/>
      <c r="H32" s="172"/>
      <c r="I32" s="172"/>
      <c r="J32" s="172"/>
      <c r="K32" s="172"/>
    </row>
    <row r="33" spans="1:11" ht="15.75">
      <c r="A33" s="172"/>
      <c r="B33" s="177"/>
      <c r="C33" s="172"/>
      <c r="D33" s="172"/>
      <c r="E33" s="186" t="s">
        <v>121</v>
      </c>
      <c r="F33" s="280">
        <v>17</v>
      </c>
      <c r="G33" s="172"/>
      <c r="H33" s="172"/>
      <c r="I33" s="172"/>
      <c r="J33" s="172"/>
      <c r="K33" s="172"/>
    </row>
    <row r="34" ht="15.75">
      <c r="B34" s="317"/>
    </row>
    <row r="35" ht="15.75">
      <c r="B35" s="317"/>
    </row>
    <row r="36" ht="15.75">
      <c r="B36" s="317"/>
    </row>
    <row r="37" ht="15.75">
      <c r="B37" s="317"/>
    </row>
    <row r="38" ht="15.75">
      <c r="B38" s="317"/>
    </row>
    <row r="39" ht="15.75">
      <c r="B39" s="317"/>
    </row>
    <row r="40" ht="15.75">
      <c r="B40" s="317"/>
    </row>
    <row r="41" ht="15.75">
      <c r="B41" s="317"/>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7">
      <selection activeCell="F33" sqref="F33"/>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3" t="str">
        <f>inputPrYr!$D$2</f>
        <v>City of Fredonia</v>
      </c>
      <c r="B1" s="293"/>
      <c r="C1" s="172"/>
      <c r="D1" s="172"/>
      <c r="E1" s="172"/>
      <c r="F1" s="174" t="s">
        <v>257</v>
      </c>
      <c r="G1" s="172"/>
      <c r="H1" s="172"/>
      <c r="I1" s="172"/>
      <c r="J1" s="172"/>
      <c r="K1" s="172">
        <f>inputPrYr!$C$5</f>
        <v>2014</v>
      </c>
    </row>
    <row r="2" spans="1:11" ht="15.75">
      <c r="A2" s="172"/>
      <c r="B2" s="172"/>
      <c r="C2" s="172"/>
      <c r="D2" s="172"/>
      <c r="E2" s="172"/>
      <c r="F2" s="294" t="str">
        <f>CONCATENATE("(Only the actual budget year for ",K1-2," is to be shown)")</f>
        <v>(Only the actual budget year for 2012 is to be shown)</v>
      </c>
      <c r="G2" s="172"/>
      <c r="H2" s="172"/>
      <c r="I2" s="172"/>
      <c r="J2" s="172"/>
      <c r="K2" s="172"/>
    </row>
    <row r="3" spans="1:11" ht="15.75">
      <c r="A3" s="172" t="s">
        <v>292</v>
      </c>
      <c r="B3" s="172"/>
      <c r="C3" s="172"/>
      <c r="D3" s="172"/>
      <c r="E3" s="172"/>
      <c r="F3" s="293"/>
      <c r="G3" s="172"/>
      <c r="H3" s="172"/>
      <c r="I3" s="172"/>
      <c r="J3" s="172"/>
      <c r="K3" s="172"/>
    </row>
    <row r="4" spans="1:11" ht="15.75">
      <c r="A4" s="172" t="s">
        <v>249</v>
      </c>
      <c r="B4" s="172"/>
      <c r="C4" s="172" t="s">
        <v>250</v>
      </c>
      <c r="D4" s="172"/>
      <c r="E4" s="172" t="s">
        <v>251</v>
      </c>
      <c r="F4" s="293"/>
      <c r="G4" s="172" t="s">
        <v>252</v>
      </c>
      <c r="H4" s="172"/>
      <c r="I4" s="172" t="s">
        <v>253</v>
      </c>
      <c r="J4" s="172"/>
      <c r="K4" s="172"/>
    </row>
    <row r="5" spans="1:11" ht="15.75">
      <c r="A5" s="807" t="str">
        <f>IF(inputPrYr!B69&gt;" ",(inputPrYr!B69)," ")</f>
        <v>Sewer Reserve</v>
      </c>
      <c r="B5" s="808"/>
      <c r="C5" s="807" t="str">
        <f>IF(inputPrYr!B70&gt;" ",(inputPrYr!B70)," ")</f>
        <v>Court Bond Fund</v>
      </c>
      <c r="D5" s="808"/>
      <c r="E5" s="807" t="str">
        <f>IF(inputPrYr!B71&gt;" ",(inputPrYr!B71)," ")</f>
        <v>Court Diversion Fund</v>
      </c>
      <c r="F5" s="808"/>
      <c r="G5" s="807" t="str">
        <f>IF(inputPrYr!B72&gt;" ",(inputPrYr!B72)," ")</f>
        <v>Police Drucg Fund</v>
      </c>
      <c r="H5" s="808"/>
      <c r="I5" s="807" t="str">
        <f>IF(inputPrYr!B73&gt;" ",(inputPrYr!B73)," ")</f>
        <v>Payroll Clearing Fund</v>
      </c>
      <c r="J5" s="808"/>
      <c r="K5" s="123"/>
    </row>
    <row r="6" spans="1:11" ht="15.75">
      <c r="A6" s="297" t="s">
        <v>254</v>
      </c>
      <c r="B6" s="298"/>
      <c r="C6" s="299" t="s">
        <v>254</v>
      </c>
      <c r="D6" s="300"/>
      <c r="E6" s="299" t="s">
        <v>254</v>
      </c>
      <c r="F6" s="296"/>
      <c r="G6" s="299" t="s">
        <v>254</v>
      </c>
      <c r="H6" s="301"/>
      <c r="I6" s="299" t="s">
        <v>254</v>
      </c>
      <c r="J6" s="172"/>
      <c r="K6" s="302" t="s">
        <v>76</v>
      </c>
    </row>
    <row r="7" spans="1:11" ht="15.75">
      <c r="A7" s="303" t="s">
        <v>21</v>
      </c>
      <c r="B7" s="304">
        <v>85000</v>
      </c>
      <c r="C7" s="305" t="s">
        <v>21</v>
      </c>
      <c r="D7" s="304">
        <v>8941.5</v>
      </c>
      <c r="E7" s="305" t="s">
        <v>21</v>
      </c>
      <c r="F7" s="304">
        <v>4490.61</v>
      </c>
      <c r="G7" s="305" t="s">
        <v>21</v>
      </c>
      <c r="H7" s="304">
        <v>592</v>
      </c>
      <c r="I7" s="305" t="s">
        <v>21</v>
      </c>
      <c r="J7" s="304">
        <v>1590</v>
      </c>
      <c r="K7" s="306">
        <f>SUM(B7+D7+F7+H7+J7)</f>
        <v>100614.11</v>
      </c>
    </row>
    <row r="8" spans="1:11" ht="15.75">
      <c r="A8" s="307" t="s">
        <v>226</v>
      </c>
      <c r="B8" s="308"/>
      <c r="C8" s="307" t="s">
        <v>226</v>
      </c>
      <c r="D8" s="309"/>
      <c r="E8" s="307" t="s">
        <v>226</v>
      </c>
      <c r="F8" s="293"/>
      <c r="G8" s="307" t="s">
        <v>226</v>
      </c>
      <c r="H8" s="172"/>
      <c r="I8" s="307" t="s">
        <v>226</v>
      </c>
      <c r="J8" s="172"/>
      <c r="K8" s="293"/>
    </row>
    <row r="9" spans="1:11" ht="15.75">
      <c r="A9" s="310"/>
      <c r="B9" s="304"/>
      <c r="C9" s="310" t="s">
        <v>1151</v>
      </c>
      <c r="D9" s="304">
        <v>10038.8</v>
      </c>
      <c r="E9" s="310" t="s">
        <v>1153</v>
      </c>
      <c r="F9" s="304">
        <v>1600</v>
      </c>
      <c r="G9" s="310"/>
      <c r="H9" s="304"/>
      <c r="I9" s="310" t="s">
        <v>1155</v>
      </c>
      <c r="J9" s="304">
        <v>10138.38</v>
      </c>
      <c r="K9" s="293"/>
    </row>
    <row r="10" spans="1:11" ht="15.75">
      <c r="A10" s="310"/>
      <c r="B10" s="304"/>
      <c r="C10" s="310"/>
      <c r="D10" s="304"/>
      <c r="E10" s="310"/>
      <c r="F10" s="304"/>
      <c r="G10" s="310"/>
      <c r="H10" s="304"/>
      <c r="I10" s="310"/>
      <c r="J10" s="304"/>
      <c r="K10" s="293"/>
    </row>
    <row r="11" spans="1:11" ht="15.75">
      <c r="A11" s="310"/>
      <c r="B11" s="304"/>
      <c r="C11" s="311"/>
      <c r="D11" s="304"/>
      <c r="E11" s="311"/>
      <c r="F11" s="304"/>
      <c r="G11" s="311"/>
      <c r="H11" s="304"/>
      <c r="I11" s="312"/>
      <c r="J11" s="304"/>
      <c r="K11" s="293"/>
    </row>
    <row r="12" spans="1:11" ht="15.75">
      <c r="A12" s="310"/>
      <c r="B12" s="304"/>
      <c r="C12" s="310"/>
      <c r="D12" s="304"/>
      <c r="E12" s="313"/>
      <c r="F12" s="304"/>
      <c r="G12" s="313"/>
      <c r="H12" s="304"/>
      <c r="I12" s="313"/>
      <c r="J12" s="304"/>
      <c r="K12" s="293"/>
    </row>
    <row r="13" spans="1:11" ht="15.75">
      <c r="A13" s="314"/>
      <c r="B13" s="304"/>
      <c r="C13" s="315"/>
      <c r="D13" s="304"/>
      <c r="E13" s="315"/>
      <c r="F13" s="304"/>
      <c r="G13" s="315"/>
      <c r="H13" s="304"/>
      <c r="I13" s="312"/>
      <c r="J13" s="304"/>
      <c r="K13" s="293"/>
    </row>
    <row r="14" spans="1:11" ht="15.75">
      <c r="A14" s="310"/>
      <c r="B14" s="304"/>
      <c r="C14" s="313"/>
      <c r="D14" s="304"/>
      <c r="E14" s="313"/>
      <c r="F14" s="304"/>
      <c r="G14" s="313"/>
      <c r="H14" s="304"/>
      <c r="I14" s="313"/>
      <c r="J14" s="304"/>
      <c r="K14" s="293"/>
    </row>
    <row r="15" spans="1:11" ht="15.75">
      <c r="A15" s="310"/>
      <c r="B15" s="304"/>
      <c r="C15" s="313"/>
      <c r="D15" s="304"/>
      <c r="E15" s="313"/>
      <c r="F15" s="304"/>
      <c r="G15" s="313"/>
      <c r="H15" s="304"/>
      <c r="I15" s="313"/>
      <c r="J15" s="304"/>
      <c r="K15" s="293"/>
    </row>
    <row r="16" spans="1:11" ht="15.75">
      <c r="A16" s="310"/>
      <c r="B16" s="304"/>
      <c r="C16" s="310"/>
      <c r="D16" s="304"/>
      <c r="E16" s="310"/>
      <c r="F16" s="304"/>
      <c r="G16" s="313"/>
      <c r="H16" s="304"/>
      <c r="I16" s="310"/>
      <c r="J16" s="304"/>
      <c r="K16" s="293"/>
    </row>
    <row r="17" spans="1:11" ht="15.75">
      <c r="A17" s="307" t="s">
        <v>111</v>
      </c>
      <c r="B17" s="306">
        <f>SUM(B9:B16)</f>
        <v>0</v>
      </c>
      <c r="C17" s="307" t="s">
        <v>111</v>
      </c>
      <c r="D17" s="306">
        <f>SUM(D9:D16)</f>
        <v>10038.8</v>
      </c>
      <c r="E17" s="307" t="s">
        <v>111</v>
      </c>
      <c r="F17" s="372">
        <f>SUM(F9:F16)</f>
        <v>1600</v>
      </c>
      <c r="G17" s="307" t="s">
        <v>111</v>
      </c>
      <c r="H17" s="306">
        <f>SUM(H9:H16)</f>
        <v>0</v>
      </c>
      <c r="I17" s="307" t="s">
        <v>111</v>
      </c>
      <c r="J17" s="306">
        <f>SUM(J9:J16)</f>
        <v>10138.38</v>
      </c>
      <c r="K17" s="306">
        <f>SUM(B17+D17+F17+H17+J17)</f>
        <v>21777.18</v>
      </c>
    </row>
    <row r="18" spans="1:11" ht="15.75">
      <c r="A18" s="307" t="s">
        <v>112</v>
      </c>
      <c r="B18" s="306">
        <f>SUM(B7+B17)</f>
        <v>85000</v>
      </c>
      <c r="C18" s="307" t="s">
        <v>112</v>
      </c>
      <c r="D18" s="306">
        <f>SUM(D7+D17)</f>
        <v>18980.3</v>
      </c>
      <c r="E18" s="307" t="s">
        <v>112</v>
      </c>
      <c r="F18" s="306">
        <f>SUM(F7+F17)</f>
        <v>6090.61</v>
      </c>
      <c r="G18" s="307" t="s">
        <v>112</v>
      </c>
      <c r="H18" s="306">
        <f>SUM(H7+H17)</f>
        <v>592</v>
      </c>
      <c r="I18" s="307" t="s">
        <v>112</v>
      </c>
      <c r="J18" s="306">
        <f>SUM(J7+J17)</f>
        <v>11728.38</v>
      </c>
      <c r="K18" s="306">
        <f>SUM(B18+D18+F18+H18+J18)</f>
        <v>122391.29000000001</v>
      </c>
    </row>
    <row r="19" spans="1:11" ht="15.75">
      <c r="A19" s="307" t="s">
        <v>114</v>
      </c>
      <c r="B19" s="308"/>
      <c r="C19" s="307" t="s">
        <v>114</v>
      </c>
      <c r="D19" s="309"/>
      <c r="E19" s="307" t="s">
        <v>114</v>
      </c>
      <c r="F19" s="293"/>
      <c r="G19" s="307" t="s">
        <v>114</v>
      </c>
      <c r="H19" s="172"/>
      <c r="I19" s="307" t="s">
        <v>114</v>
      </c>
      <c r="J19" s="172"/>
      <c r="K19" s="293"/>
    </row>
    <row r="20" spans="1:11" ht="15.75">
      <c r="A20" s="310" t="s">
        <v>1150</v>
      </c>
      <c r="B20" s="304">
        <v>13855.37</v>
      </c>
      <c r="C20" s="313" t="s">
        <v>1152</v>
      </c>
      <c r="D20" s="304">
        <v>16000</v>
      </c>
      <c r="E20" s="313" t="s">
        <v>1154</v>
      </c>
      <c r="F20" s="304">
        <v>122</v>
      </c>
      <c r="G20" s="313"/>
      <c r="H20" s="304"/>
      <c r="I20" s="313" t="s">
        <v>1155</v>
      </c>
      <c r="J20" s="304">
        <v>10185.21</v>
      </c>
      <c r="K20" s="293"/>
    </row>
    <row r="21" spans="1:11" ht="15.75">
      <c r="A21" s="310"/>
      <c r="B21" s="304"/>
      <c r="C21" s="313"/>
      <c r="D21" s="304"/>
      <c r="E21" s="313"/>
      <c r="F21" s="304"/>
      <c r="G21" s="313"/>
      <c r="H21" s="304"/>
      <c r="I21" s="313"/>
      <c r="J21" s="304"/>
      <c r="K21" s="293"/>
    </row>
    <row r="22" spans="1:11" ht="15.75">
      <c r="A22" s="310"/>
      <c r="B22" s="304"/>
      <c r="C22" s="315"/>
      <c r="D22" s="304"/>
      <c r="E22" s="315"/>
      <c r="F22" s="304"/>
      <c r="G22" s="315"/>
      <c r="H22" s="304"/>
      <c r="I22" s="312"/>
      <c r="J22" s="304"/>
      <c r="K22" s="293"/>
    </row>
    <row r="23" spans="1:11" ht="15.75">
      <c r="A23" s="310"/>
      <c r="B23" s="304"/>
      <c r="C23" s="313"/>
      <c r="D23" s="304"/>
      <c r="E23" s="313"/>
      <c r="F23" s="304"/>
      <c r="G23" s="313"/>
      <c r="H23" s="304"/>
      <c r="I23" s="313"/>
      <c r="J23" s="304"/>
      <c r="K23" s="293"/>
    </row>
    <row r="24" spans="1:11" ht="15.75">
      <c r="A24" s="310"/>
      <c r="B24" s="304"/>
      <c r="C24" s="315"/>
      <c r="D24" s="304"/>
      <c r="E24" s="315"/>
      <c r="F24" s="304"/>
      <c r="G24" s="315"/>
      <c r="H24" s="304"/>
      <c r="I24" s="312"/>
      <c r="J24" s="304"/>
      <c r="K24" s="293"/>
    </row>
    <row r="25" spans="1:11" ht="15.75">
      <c r="A25" s="310"/>
      <c r="B25" s="304"/>
      <c r="C25" s="313"/>
      <c r="D25" s="304"/>
      <c r="E25" s="313"/>
      <c r="F25" s="304"/>
      <c r="G25" s="313"/>
      <c r="H25" s="304"/>
      <c r="I25" s="313"/>
      <c r="J25" s="304"/>
      <c r="K25" s="293"/>
    </row>
    <row r="26" spans="1:11" ht="15.75">
      <c r="A26" s="310"/>
      <c r="B26" s="304"/>
      <c r="C26" s="313"/>
      <c r="D26" s="304"/>
      <c r="E26" s="313"/>
      <c r="F26" s="304"/>
      <c r="G26" s="313"/>
      <c r="H26" s="304"/>
      <c r="I26" s="313"/>
      <c r="J26" s="304"/>
      <c r="K26" s="293"/>
    </row>
    <row r="27" spans="1:11" ht="15.75">
      <c r="A27" s="310"/>
      <c r="B27" s="304"/>
      <c r="C27" s="310"/>
      <c r="D27" s="304"/>
      <c r="E27" s="310"/>
      <c r="F27" s="304"/>
      <c r="G27" s="313"/>
      <c r="H27" s="304"/>
      <c r="I27" s="313"/>
      <c r="J27" s="304"/>
      <c r="K27" s="293"/>
    </row>
    <row r="28" spans="1:11" ht="15.75">
      <c r="A28" s="307" t="s">
        <v>118</v>
      </c>
      <c r="B28" s="306">
        <f>SUM(B20:B27)</f>
        <v>13855.37</v>
      </c>
      <c r="C28" s="307" t="s">
        <v>118</v>
      </c>
      <c r="D28" s="306">
        <f>SUM(D20:D27)</f>
        <v>16000</v>
      </c>
      <c r="E28" s="307" t="s">
        <v>118</v>
      </c>
      <c r="F28" s="372">
        <f>SUM(F20:F27)</f>
        <v>122</v>
      </c>
      <c r="G28" s="307" t="s">
        <v>118</v>
      </c>
      <c r="H28" s="372">
        <f>SUM(H20:H27)</f>
        <v>0</v>
      </c>
      <c r="I28" s="307" t="s">
        <v>118</v>
      </c>
      <c r="J28" s="306">
        <f>SUM(J20:J27)</f>
        <v>10185.21</v>
      </c>
      <c r="K28" s="306">
        <f>SUM(B28+D28+F28+H28+J28)</f>
        <v>40162.58</v>
      </c>
    </row>
    <row r="29" spans="1:12" ht="15.75">
      <c r="A29" s="307" t="s">
        <v>255</v>
      </c>
      <c r="B29" s="306">
        <f>SUM(B18-B28)</f>
        <v>71144.63</v>
      </c>
      <c r="C29" s="307" t="s">
        <v>255</v>
      </c>
      <c r="D29" s="306">
        <f>SUM(D18-D28)</f>
        <v>2980.2999999999993</v>
      </c>
      <c r="E29" s="307" t="s">
        <v>255</v>
      </c>
      <c r="F29" s="306">
        <f>SUM(F18-F28)</f>
        <v>5968.61</v>
      </c>
      <c r="G29" s="307" t="s">
        <v>255</v>
      </c>
      <c r="H29" s="306">
        <f>SUM(H18-H28)</f>
        <v>592</v>
      </c>
      <c r="I29" s="307" t="s">
        <v>255</v>
      </c>
      <c r="J29" s="306">
        <f>SUM(J18-J28)</f>
        <v>1543.17</v>
      </c>
      <c r="K29" s="316">
        <f>SUM(B29+D29+F29+H29+J29)</f>
        <v>82228.71</v>
      </c>
      <c r="L29" s="32" t="s">
        <v>331</v>
      </c>
    </row>
    <row r="30" spans="1:12" ht="15.75">
      <c r="A30" s="307"/>
      <c r="B30" s="340">
        <f>IF(B29&lt;0,"See Tab B","")</f>
      </c>
      <c r="C30" s="307"/>
      <c r="D30" s="340">
        <f>IF(D29&lt;0,"See Tab B","")</f>
      </c>
      <c r="E30" s="307"/>
      <c r="F30" s="340">
        <f>IF(F29&lt;0,"See Tab B","")</f>
      </c>
      <c r="G30" s="172"/>
      <c r="H30" s="340">
        <f>IF(H29&lt;0,"See Tab B","")</f>
      </c>
      <c r="I30" s="172"/>
      <c r="J30" s="340">
        <f>IF(J29&lt;0,"See Tab B","")</f>
      </c>
      <c r="K30" s="316">
        <f>SUM(K7+K17-K28)</f>
        <v>82228.71</v>
      </c>
      <c r="L30" s="32" t="s">
        <v>331</v>
      </c>
    </row>
    <row r="31" spans="1:11" ht="15.75">
      <c r="A31" s="172"/>
      <c r="B31" s="177"/>
      <c r="C31" s="172"/>
      <c r="D31" s="293"/>
      <c r="E31" s="172"/>
      <c r="F31" s="172"/>
      <c r="G31" s="42" t="s">
        <v>333</v>
      </c>
      <c r="H31" s="42"/>
      <c r="I31" s="42"/>
      <c r="J31" s="42"/>
      <c r="K31" s="172"/>
    </row>
    <row r="32" spans="1:11" ht="15.75">
      <c r="A32" s="172"/>
      <c r="B32" s="177"/>
      <c r="C32" s="172"/>
      <c r="D32" s="172"/>
      <c r="E32" s="172"/>
      <c r="F32" s="172"/>
      <c r="G32" s="318"/>
      <c r="H32" s="172"/>
      <c r="I32" s="172"/>
      <c r="J32" s="172"/>
      <c r="K32" s="172"/>
    </row>
    <row r="33" spans="1:11" ht="15.75">
      <c r="A33" s="172"/>
      <c r="B33" s="177"/>
      <c r="C33" s="172"/>
      <c r="D33" s="172"/>
      <c r="E33" s="186" t="s">
        <v>121</v>
      </c>
      <c r="F33" s="280">
        <v>18</v>
      </c>
      <c r="G33" s="172"/>
      <c r="H33" s="172"/>
      <c r="I33" s="172"/>
      <c r="J33" s="172"/>
      <c r="K33" s="172"/>
    </row>
    <row r="34" ht="15.75">
      <c r="B34" s="317"/>
    </row>
    <row r="35" ht="15.75">
      <c r="B35" s="317"/>
    </row>
    <row r="36" ht="15.75">
      <c r="B36" s="317"/>
    </row>
    <row r="37" ht="15.75">
      <c r="B37" s="317"/>
    </row>
    <row r="38" ht="15.75">
      <c r="B38" s="317"/>
    </row>
    <row r="39" ht="15.75">
      <c r="B39" s="317"/>
    </row>
    <row r="40" ht="15.75">
      <c r="B40" s="317"/>
    </row>
    <row r="41" ht="15.75">
      <c r="B41" s="317"/>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0">
      <selection activeCell="C21" sqref="C21"/>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3" t="str">
        <f>inputPrYr!$D$2</f>
        <v>City of Fredonia</v>
      </c>
      <c r="B1" s="293"/>
      <c r="C1" s="172"/>
      <c r="D1" s="172"/>
      <c r="E1" s="172"/>
      <c r="F1" s="174" t="s">
        <v>258</v>
      </c>
      <c r="G1" s="172"/>
      <c r="H1" s="172"/>
      <c r="I1" s="172"/>
      <c r="J1" s="172"/>
      <c r="K1" s="172">
        <f>inputPrYr!$C$5</f>
        <v>2014</v>
      </c>
    </row>
    <row r="2" spans="1:11" ht="15.75">
      <c r="A2" s="172"/>
      <c r="B2" s="172"/>
      <c r="C2" s="172"/>
      <c r="D2" s="172"/>
      <c r="E2" s="172"/>
      <c r="F2" s="294" t="str">
        <f>CONCATENATE("(Only the actual budget year for ",K1-2," is to be shown)")</f>
        <v>(Only the actual budget year for 2012 is to be shown)</v>
      </c>
      <c r="G2" s="172"/>
      <c r="H2" s="172"/>
      <c r="I2" s="172"/>
      <c r="J2" s="172"/>
      <c r="K2" s="172"/>
    </row>
    <row r="3" spans="1:11" ht="15.75">
      <c r="A3" s="172" t="s">
        <v>293</v>
      </c>
      <c r="B3" s="172"/>
      <c r="C3" s="172"/>
      <c r="D3" s="172"/>
      <c r="E3" s="172"/>
      <c r="F3" s="293"/>
      <c r="G3" s="172"/>
      <c r="H3" s="172"/>
      <c r="I3" s="172"/>
      <c r="J3" s="172"/>
      <c r="K3" s="172"/>
    </row>
    <row r="4" spans="1:11" ht="15.75">
      <c r="A4" s="172" t="s">
        <v>249</v>
      </c>
      <c r="B4" s="172"/>
      <c r="C4" s="172" t="s">
        <v>250</v>
      </c>
      <c r="D4" s="172"/>
      <c r="E4" s="172" t="s">
        <v>251</v>
      </c>
      <c r="F4" s="293"/>
      <c r="G4" s="172" t="s">
        <v>252</v>
      </c>
      <c r="H4" s="172"/>
      <c r="I4" s="172" t="s">
        <v>253</v>
      </c>
      <c r="J4" s="172"/>
      <c r="K4" s="172"/>
    </row>
    <row r="5" spans="1:11" ht="15.75">
      <c r="A5" s="807" t="str">
        <f>IF(inputPrYr!B75&gt;" ",(inputPrYr!B75)," ")</f>
        <v>Sales Tax Clearing Fund</v>
      </c>
      <c r="B5" s="808"/>
      <c r="C5" s="807" t="str">
        <f>IF(inputPrYr!B76&gt;" ",(inputPrYr!B76)," ")</f>
        <v> </v>
      </c>
      <c r="D5" s="808"/>
      <c r="E5" s="807" t="str">
        <f>IF(inputPrYr!B77&gt;" ",(inputPrYr!B77)," ")</f>
        <v> </v>
      </c>
      <c r="F5" s="808"/>
      <c r="G5" s="807" t="str">
        <f>IF(inputPrYr!B78&gt;" ",(inputPrYr!B78)," ")</f>
        <v> </v>
      </c>
      <c r="H5" s="808"/>
      <c r="I5" s="807" t="str">
        <f>IF(inputPrYr!B79&gt;" ",(inputPrYr!B79)," ")</f>
        <v> </v>
      </c>
      <c r="J5" s="808"/>
      <c r="K5" s="123"/>
    </row>
    <row r="6" spans="1:11" ht="15.75">
      <c r="A6" s="297" t="s">
        <v>254</v>
      </c>
      <c r="B6" s="298"/>
      <c r="C6" s="299" t="s">
        <v>254</v>
      </c>
      <c r="D6" s="300"/>
      <c r="E6" s="299" t="s">
        <v>254</v>
      </c>
      <c r="F6" s="296"/>
      <c r="G6" s="299" t="s">
        <v>254</v>
      </c>
      <c r="H6" s="301"/>
      <c r="I6" s="299" t="s">
        <v>254</v>
      </c>
      <c r="J6" s="172"/>
      <c r="K6" s="302" t="s">
        <v>76</v>
      </c>
    </row>
    <row r="7" spans="1:11" ht="15.75">
      <c r="A7" s="303" t="s">
        <v>21</v>
      </c>
      <c r="B7" s="304">
        <v>32861</v>
      </c>
      <c r="C7" s="305" t="s">
        <v>21</v>
      </c>
      <c r="D7" s="304"/>
      <c r="E7" s="305" t="s">
        <v>21</v>
      </c>
      <c r="F7" s="304"/>
      <c r="G7" s="305" t="s">
        <v>21</v>
      </c>
      <c r="H7" s="304"/>
      <c r="I7" s="305" t="s">
        <v>21</v>
      </c>
      <c r="J7" s="304"/>
      <c r="K7" s="306">
        <f>SUM(B7+D7+F7+H7+J7)</f>
        <v>32861</v>
      </c>
    </row>
    <row r="8" spans="1:11" ht="15.75">
      <c r="A8" s="307" t="s">
        <v>226</v>
      </c>
      <c r="B8" s="308"/>
      <c r="C8" s="307" t="s">
        <v>226</v>
      </c>
      <c r="D8" s="309"/>
      <c r="E8" s="307" t="s">
        <v>226</v>
      </c>
      <c r="F8" s="293"/>
      <c r="G8" s="307" t="s">
        <v>226</v>
      </c>
      <c r="H8" s="172"/>
      <c r="I8" s="307" t="s">
        <v>226</v>
      </c>
      <c r="J8" s="172"/>
      <c r="K8" s="293"/>
    </row>
    <row r="9" spans="1:11" ht="15.75">
      <c r="A9" s="310" t="s">
        <v>1156</v>
      </c>
      <c r="B9" s="304">
        <v>379674.23</v>
      </c>
      <c r="C9" s="310"/>
      <c r="D9" s="304"/>
      <c r="E9" s="310"/>
      <c r="F9" s="304"/>
      <c r="G9" s="310"/>
      <c r="H9" s="304"/>
      <c r="I9" s="310"/>
      <c r="J9" s="304"/>
      <c r="K9" s="293"/>
    </row>
    <row r="10" spans="1:11" ht="15.75">
      <c r="A10" s="310" t="s">
        <v>1157</v>
      </c>
      <c r="B10" s="304">
        <v>100881.59</v>
      </c>
      <c r="C10" s="310"/>
      <c r="D10" s="304"/>
      <c r="E10" s="310"/>
      <c r="F10" s="304"/>
      <c r="G10" s="310"/>
      <c r="H10" s="304"/>
      <c r="I10" s="310"/>
      <c r="J10" s="304"/>
      <c r="K10" s="293"/>
    </row>
    <row r="11" spans="1:11" ht="15.75">
      <c r="A11" s="310"/>
      <c r="B11" s="304"/>
      <c r="C11" s="311"/>
      <c r="D11" s="304"/>
      <c r="E11" s="311"/>
      <c r="F11" s="304"/>
      <c r="G11" s="311"/>
      <c r="H11" s="304"/>
      <c r="I11" s="312"/>
      <c r="J11" s="304"/>
      <c r="K11" s="293"/>
    </row>
    <row r="12" spans="1:11" ht="15.75">
      <c r="A12" s="310"/>
      <c r="B12" s="304"/>
      <c r="C12" s="310"/>
      <c r="D12" s="304"/>
      <c r="E12" s="313"/>
      <c r="F12" s="304"/>
      <c r="G12" s="313"/>
      <c r="H12" s="304"/>
      <c r="I12" s="313"/>
      <c r="J12" s="304"/>
      <c r="K12" s="293"/>
    </row>
    <row r="13" spans="1:11" ht="15.75">
      <c r="A13" s="314"/>
      <c r="B13" s="304"/>
      <c r="C13" s="315"/>
      <c r="D13" s="304"/>
      <c r="E13" s="315"/>
      <c r="F13" s="304"/>
      <c r="G13" s="315"/>
      <c r="H13" s="304"/>
      <c r="I13" s="312"/>
      <c r="J13" s="304"/>
      <c r="K13" s="293"/>
    </row>
    <row r="14" spans="1:11" ht="15.75">
      <c r="A14" s="310"/>
      <c r="B14" s="304"/>
      <c r="C14" s="313"/>
      <c r="D14" s="304"/>
      <c r="E14" s="313"/>
      <c r="F14" s="304"/>
      <c r="G14" s="313"/>
      <c r="H14" s="304"/>
      <c r="I14" s="313"/>
      <c r="J14" s="304"/>
      <c r="K14" s="293"/>
    </row>
    <row r="15" spans="1:11" ht="15.75">
      <c r="A15" s="310"/>
      <c r="B15" s="304"/>
      <c r="C15" s="313"/>
      <c r="D15" s="304"/>
      <c r="E15" s="313"/>
      <c r="F15" s="304"/>
      <c r="G15" s="313"/>
      <c r="H15" s="304"/>
      <c r="I15" s="313"/>
      <c r="J15" s="304"/>
      <c r="K15" s="293"/>
    </row>
    <row r="16" spans="1:11" ht="15.75">
      <c r="A16" s="310"/>
      <c r="B16" s="304"/>
      <c r="C16" s="310"/>
      <c r="D16" s="304"/>
      <c r="E16" s="310"/>
      <c r="F16" s="304"/>
      <c r="G16" s="313"/>
      <c r="H16" s="304"/>
      <c r="I16" s="310"/>
      <c r="J16" s="304"/>
      <c r="K16" s="293"/>
    </row>
    <row r="17" spans="1:11" ht="15.75">
      <c r="A17" s="307" t="s">
        <v>111</v>
      </c>
      <c r="B17" s="306">
        <f>SUM(B9:B16)</f>
        <v>480555.81999999995</v>
      </c>
      <c r="C17" s="307" t="s">
        <v>111</v>
      </c>
      <c r="D17" s="306">
        <f>SUM(D9:D16)</f>
        <v>0</v>
      </c>
      <c r="E17" s="307" t="s">
        <v>111</v>
      </c>
      <c r="F17" s="372">
        <f>SUM(F9:F16)</f>
        <v>0</v>
      </c>
      <c r="G17" s="307" t="s">
        <v>111</v>
      </c>
      <c r="H17" s="306">
        <f>SUM(H9:H16)</f>
        <v>0</v>
      </c>
      <c r="I17" s="307" t="s">
        <v>111</v>
      </c>
      <c r="J17" s="306">
        <f>SUM(J9:J16)</f>
        <v>0</v>
      </c>
      <c r="K17" s="306">
        <f>SUM(B17+D17+F17+H17+J17)</f>
        <v>480555.81999999995</v>
      </c>
    </row>
    <row r="18" spans="1:11" ht="15.75">
      <c r="A18" s="307" t="s">
        <v>112</v>
      </c>
      <c r="B18" s="306">
        <f>SUM(B7+B17)</f>
        <v>513416.81999999995</v>
      </c>
      <c r="C18" s="307" t="s">
        <v>112</v>
      </c>
      <c r="D18" s="306">
        <f>SUM(D7+D17)</f>
        <v>0</v>
      </c>
      <c r="E18" s="307" t="s">
        <v>112</v>
      </c>
      <c r="F18" s="306">
        <f>SUM(F7+F17)</f>
        <v>0</v>
      </c>
      <c r="G18" s="307" t="s">
        <v>112</v>
      </c>
      <c r="H18" s="306">
        <f>SUM(H7+H17)</f>
        <v>0</v>
      </c>
      <c r="I18" s="307" t="s">
        <v>112</v>
      </c>
      <c r="J18" s="306">
        <f>SUM(J7+J17)</f>
        <v>0</v>
      </c>
      <c r="K18" s="306">
        <f>SUM(B18+D18+F18+H18+J18)</f>
        <v>513416.81999999995</v>
      </c>
    </row>
    <row r="19" spans="1:11" ht="15.75">
      <c r="A19" s="307" t="s">
        <v>114</v>
      </c>
      <c r="B19" s="308"/>
      <c r="C19" s="307" t="s">
        <v>114</v>
      </c>
      <c r="D19" s="309"/>
      <c r="E19" s="307" t="s">
        <v>114</v>
      </c>
      <c r="F19" s="293"/>
      <c r="G19" s="307" t="s">
        <v>114</v>
      </c>
      <c r="H19" s="172"/>
      <c r="I19" s="307" t="s">
        <v>114</v>
      </c>
      <c r="J19" s="172"/>
      <c r="K19" s="293"/>
    </row>
    <row r="20" spans="1:11" ht="15.75">
      <c r="A20" s="310" t="s">
        <v>1159</v>
      </c>
      <c r="B20" s="304">
        <v>382199</v>
      </c>
      <c r="C20" s="313"/>
      <c r="D20" s="304"/>
      <c r="E20" s="313"/>
      <c r="F20" s="304"/>
      <c r="G20" s="313"/>
      <c r="H20" s="304"/>
      <c r="I20" s="313"/>
      <c r="J20" s="304"/>
      <c r="K20" s="293"/>
    </row>
    <row r="21" spans="1:11" ht="15.75">
      <c r="A21" s="310" t="s">
        <v>1158</v>
      </c>
      <c r="B21" s="304">
        <v>131218</v>
      </c>
      <c r="C21" s="313"/>
      <c r="D21" s="304"/>
      <c r="E21" s="313"/>
      <c r="F21" s="304"/>
      <c r="G21" s="313"/>
      <c r="H21" s="304"/>
      <c r="I21" s="313"/>
      <c r="J21" s="304"/>
      <c r="K21" s="293"/>
    </row>
    <row r="22" spans="1:11" ht="15.75">
      <c r="A22" s="310"/>
      <c r="B22" s="304"/>
      <c r="C22" s="315"/>
      <c r="D22" s="304"/>
      <c r="E22" s="315"/>
      <c r="F22" s="304"/>
      <c r="G22" s="315"/>
      <c r="H22" s="304"/>
      <c r="I22" s="312"/>
      <c r="J22" s="304"/>
      <c r="K22" s="293"/>
    </row>
    <row r="23" spans="1:11" ht="15.75">
      <c r="A23" s="310"/>
      <c r="B23" s="304"/>
      <c r="C23" s="313"/>
      <c r="D23" s="304"/>
      <c r="E23" s="313"/>
      <c r="F23" s="304"/>
      <c r="G23" s="313"/>
      <c r="H23" s="304"/>
      <c r="I23" s="313"/>
      <c r="J23" s="304"/>
      <c r="K23" s="293"/>
    </row>
    <row r="24" spans="1:11" ht="15.75">
      <c r="A24" s="310"/>
      <c r="B24" s="304"/>
      <c r="C24" s="315"/>
      <c r="D24" s="304"/>
      <c r="E24" s="315"/>
      <c r="F24" s="304"/>
      <c r="G24" s="315"/>
      <c r="H24" s="304"/>
      <c r="I24" s="312"/>
      <c r="J24" s="304"/>
      <c r="K24" s="293"/>
    </row>
    <row r="25" spans="1:11" ht="15.75">
      <c r="A25" s="310"/>
      <c r="B25" s="304"/>
      <c r="C25" s="313"/>
      <c r="D25" s="304"/>
      <c r="E25" s="313"/>
      <c r="F25" s="304"/>
      <c r="G25" s="313"/>
      <c r="H25" s="304"/>
      <c r="I25" s="313"/>
      <c r="J25" s="304"/>
      <c r="K25" s="293"/>
    </row>
    <row r="26" spans="1:11" ht="15.75">
      <c r="A26" s="310"/>
      <c r="B26" s="304"/>
      <c r="C26" s="313"/>
      <c r="D26" s="304"/>
      <c r="E26" s="313"/>
      <c r="F26" s="304"/>
      <c r="G26" s="313"/>
      <c r="H26" s="304"/>
      <c r="I26" s="313"/>
      <c r="J26" s="304"/>
      <c r="K26" s="293"/>
    </row>
    <row r="27" spans="1:11" ht="15.75">
      <c r="A27" s="310"/>
      <c r="B27" s="304"/>
      <c r="C27" s="310"/>
      <c r="D27" s="304"/>
      <c r="E27" s="310"/>
      <c r="F27" s="304"/>
      <c r="G27" s="313"/>
      <c r="H27" s="304"/>
      <c r="I27" s="313"/>
      <c r="J27" s="304"/>
      <c r="K27" s="293"/>
    </row>
    <row r="28" spans="1:11" ht="15.75">
      <c r="A28" s="307" t="s">
        <v>118</v>
      </c>
      <c r="B28" s="306">
        <f>SUM(B20:B27)</f>
        <v>513417</v>
      </c>
      <c r="C28" s="307" t="s">
        <v>118</v>
      </c>
      <c r="D28" s="306">
        <f>SUM(D20:D27)</f>
        <v>0</v>
      </c>
      <c r="E28" s="307" t="s">
        <v>118</v>
      </c>
      <c r="F28" s="372">
        <f>SUM(F20:F27)</f>
        <v>0</v>
      </c>
      <c r="G28" s="307" t="s">
        <v>118</v>
      </c>
      <c r="H28" s="372">
        <f>SUM(H20:H27)</f>
        <v>0</v>
      </c>
      <c r="I28" s="307" t="s">
        <v>118</v>
      </c>
      <c r="J28" s="306">
        <f>SUM(J20:J27)</f>
        <v>0</v>
      </c>
      <c r="K28" s="306">
        <f>SUM(B28+D28+F28+H28+J28)</f>
        <v>513417</v>
      </c>
    </row>
    <row r="29" spans="1:12" ht="15.75">
      <c r="A29" s="307" t="s">
        <v>255</v>
      </c>
      <c r="B29" s="306">
        <f>SUM(B18-B28)</f>
        <v>-0.18000000005122274</v>
      </c>
      <c r="C29" s="307" t="s">
        <v>255</v>
      </c>
      <c r="D29" s="306">
        <f>SUM(D18-D28)</f>
        <v>0</v>
      </c>
      <c r="E29" s="307" t="s">
        <v>255</v>
      </c>
      <c r="F29" s="306">
        <f>SUM(F18-F28)</f>
        <v>0</v>
      </c>
      <c r="G29" s="307" t="s">
        <v>255</v>
      </c>
      <c r="H29" s="306">
        <f>SUM(H18-H28)</f>
        <v>0</v>
      </c>
      <c r="I29" s="307" t="s">
        <v>255</v>
      </c>
      <c r="J29" s="306">
        <f>SUM(J18-J28)</f>
        <v>0</v>
      </c>
      <c r="K29" s="316">
        <f>SUM(B29+D29+F29+H29+J29)</f>
        <v>-0.18000000005122274</v>
      </c>
      <c r="L29" s="32" t="s">
        <v>331</v>
      </c>
    </row>
    <row r="30" spans="1:12" ht="15.75">
      <c r="A30" s="307"/>
      <c r="B30" s="340" t="str">
        <f>IF(B29&lt;0,"See Tab B","")</f>
        <v>See Tab B</v>
      </c>
      <c r="C30" s="307"/>
      <c r="D30" s="340">
        <f>IF(D29&lt;0,"See Tab B","")</f>
      </c>
      <c r="E30" s="307"/>
      <c r="F30" s="340">
        <f>IF(F29&lt;0,"See Tab B","")</f>
      </c>
      <c r="G30" s="172"/>
      <c r="H30" s="340">
        <f>IF(H29&lt;0,"See Tab B","")</f>
      </c>
      <c r="I30" s="172"/>
      <c r="J30" s="340">
        <f>IF(J29&lt;0,"See Tab B","")</f>
      </c>
      <c r="K30" s="316">
        <f>SUM(K7+K17-K28)</f>
        <v>-0.18000000005122274</v>
      </c>
      <c r="L30" s="32" t="s">
        <v>331</v>
      </c>
    </row>
    <row r="31" spans="1:11" ht="15.75">
      <c r="A31" s="172"/>
      <c r="B31" s="177"/>
      <c r="C31" s="172"/>
      <c r="D31" s="293"/>
      <c r="E31" s="172"/>
      <c r="F31" s="172"/>
      <c r="G31" s="42" t="s">
        <v>332</v>
      </c>
      <c r="H31" s="42"/>
      <c r="I31" s="42"/>
      <c r="J31" s="42"/>
      <c r="K31" s="172"/>
    </row>
    <row r="32" spans="1:11" ht="15.75">
      <c r="A32" s="172"/>
      <c r="B32" s="177"/>
      <c r="C32" s="172"/>
      <c r="D32" s="172"/>
      <c r="E32" s="172"/>
      <c r="F32" s="172"/>
      <c r="G32" s="172"/>
      <c r="H32" s="172"/>
      <c r="I32" s="172"/>
      <c r="J32" s="172"/>
      <c r="K32" s="172"/>
    </row>
    <row r="33" spans="1:11" ht="15.75">
      <c r="A33" s="172"/>
      <c r="B33" s="177"/>
      <c r="C33" s="172"/>
      <c r="D33" s="172"/>
      <c r="E33" s="186" t="s">
        <v>121</v>
      </c>
      <c r="F33" s="280">
        <v>19</v>
      </c>
      <c r="G33" s="172"/>
      <c r="H33" s="172"/>
      <c r="I33" s="172"/>
      <c r="J33" s="172"/>
      <c r="K33" s="172"/>
    </row>
    <row r="34" ht="15.75">
      <c r="B34" s="317"/>
    </row>
    <row r="35" ht="15.75">
      <c r="B35" s="317"/>
    </row>
    <row r="36" ht="15.75">
      <c r="B36" s="317"/>
    </row>
    <row r="37" ht="15.75">
      <c r="B37" s="317"/>
    </row>
    <row r="38" ht="15.75">
      <c r="B38" s="317"/>
    </row>
    <row r="39" ht="15.75">
      <c r="B39" s="317"/>
    </row>
    <row r="40" ht="15.75">
      <c r="B40" s="317"/>
    </row>
    <row r="41" ht="15.75">
      <c r="B41" s="317"/>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A66"/>
  <sheetViews>
    <sheetView zoomScalePageLayoutView="0" workbookViewId="0" topLeftCell="A58">
      <selection activeCell="E75" sqref="E75"/>
    </sheetView>
  </sheetViews>
  <sheetFormatPr defaultColWidth="8.796875" defaultRowHeight="15"/>
  <cols>
    <col min="1" max="1" width="70.59765625" style="105" customWidth="1"/>
    <col min="2" max="16384" width="8.8984375" style="105" customWidth="1"/>
  </cols>
  <sheetData>
    <row r="1" ht="18.75">
      <c r="A1" s="487" t="s">
        <v>355</v>
      </c>
    </row>
    <row r="2" ht="15.75">
      <c r="A2" s="1"/>
    </row>
    <row r="3" ht="57" customHeight="1">
      <c r="A3" s="488" t="s">
        <v>356</v>
      </c>
    </row>
    <row r="4" ht="15.75">
      <c r="A4" s="486"/>
    </row>
    <row r="5" ht="15.75">
      <c r="A5" s="1"/>
    </row>
    <row r="6" ht="44.25" customHeight="1">
      <c r="A6" s="488" t="s">
        <v>357</v>
      </c>
    </row>
    <row r="7" ht="15.75">
      <c r="A7" s="1"/>
    </row>
    <row r="8" ht="15.75">
      <c r="A8" s="486"/>
    </row>
    <row r="9" ht="46.5" customHeight="1">
      <c r="A9" s="488" t="s">
        <v>358</v>
      </c>
    </row>
    <row r="10" ht="15.75">
      <c r="A10" s="1"/>
    </row>
    <row r="11" ht="15.75">
      <c r="A11" s="486"/>
    </row>
    <row r="12" ht="60" customHeight="1">
      <c r="A12" s="488" t="s">
        <v>359</v>
      </c>
    </row>
    <row r="13" ht="15.75">
      <c r="A13" s="1"/>
    </row>
    <row r="14" ht="15.75">
      <c r="A14" s="1"/>
    </row>
    <row r="15" ht="61.5" customHeight="1">
      <c r="A15" s="488" t="s">
        <v>360</v>
      </c>
    </row>
    <row r="16" ht="15.75">
      <c r="A16" s="1"/>
    </row>
    <row r="17" ht="15.75">
      <c r="A17" s="1"/>
    </row>
    <row r="18" ht="59.25" customHeight="1">
      <c r="A18" s="488" t="s">
        <v>361</v>
      </c>
    </row>
    <row r="19" ht="15.75">
      <c r="A19" s="1"/>
    </row>
    <row r="20" ht="15.75">
      <c r="A20" s="1"/>
    </row>
    <row r="21" ht="61.5" customHeight="1">
      <c r="A21" s="488" t="s">
        <v>362</v>
      </c>
    </row>
    <row r="22" ht="15.75">
      <c r="A22" s="486"/>
    </row>
    <row r="23" ht="15.75">
      <c r="A23" s="486"/>
    </row>
    <row r="24" ht="63" customHeight="1">
      <c r="A24" s="488" t="s">
        <v>363</v>
      </c>
    </row>
    <row r="25" ht="15.75">
      <c r="A25" s="1"/>
    </row>
    <row r="26" ht="15.75">
      <c r="A26" s="1"/>
    </row>
    <row r="27" ht="52.5" customHeight="1">
      <c r="A27" s="499" t="s">
        <v>755</v>
      </c>
    </row>
    <row r="28" ht="15.75">
      <c r="A28" s="1"/>
    </row>
    <row r="29" ht="15.75">
      <c r="A29" s="1"/>
    </row>
    <row r="30" ht="44.25" customHeight="1">
      <c r="A30" s="488" t="s">
        <v>364</v>
      </c>
    </row>
    <row r="31" ht="15.75">
      <c r="A31" s="1"/>
    </row>
    <row r="32" ht="15.75">
      <c r="A32" s="1"/>
    </row>
    <row r="33" ht="42.75" customHeight="1">
      <c r="A33" s="488" t="s">
        <v>365</v>
      </c>
    </row>
    <row r="34" ht="15.75">
      <c r="A34" s="486"/>
    </row>
    <row r="35" ht="15.75">
      <c r="A35" s="486"/>
    </row>
    <row r="36" ht="38.25" customHeight="1">
      <c r="A36" s="488" t="s">
        <v>366</v>
      </c>
    </row>
    <row r="37" ht="15.75">
      <c r="A37" s="486"/>
    </row>
    <row r="38" ht="15.75">
      <c r="A38" s="1"/>
    </row>
    <row r="39" ht="75.75" customHeight="1">
      <c r="A39" s="488" t="s">
        <v>367</v>
      </c>
    </row>
    <row r="40" ht="15.75">
      <c r="A40" s="1"/>
    </row>
    <row r="41" ht="15.75">
      <c r="A41" s="1"/>
    </row>
    <row r="42" ht="57.75" customHeight="1">
      <c r="A42" s="488" t="s">
        <v>368</v>
      </c>
    </row>
    <row r="43" ht="15.75">
      <c r="A43" s="486"/>
    </row>
    <row r="44" ht="15.75">
      <c r="A44" s="1"/>
    </row>
    <row r="45" ht="57.75" customHeight="1">
      <c r="A45" s="488" t="s">
        <v>369</v>
      </c>
    </row>
    <row r="46" ht="15.75">
      <c r="A46" s="1"/>
    </row>
    <row r="47" ht="15.75">
      <c r="A47" s="1"/>
    </row>
    <row r="48" ht="41.25" customHeight="1">
      <c r="A48" s="488" t="s">
        <v>370</v>
      </c>
    </row>
    <row r="49" ht="15.75">
      <c r="A49" s="1"/>
    </row>
    <row r="50" ht="15.75">
      <c r="A50" s="1"/>
    </row>
    <row r="51" ht="75" customHeight="1">
      <c r="A51" s="488" t="s">
        <v>371</v>
      </c>
    </row>
    <row r="52" ht="15.75">
      <c r="A52" s="486"/>
    </row>
    <row r="53" ht="15.75">
      <c r="A53" s="486"/>
    </row>
    <row r="54" ht="57.75" customHeight="1">
      <c r="A54" s="488" t="s">
        <v>372</v>
      </c>
    </row>
    <row r="55" ht="15.75">
      <c r="A55" s="1"/>
    </row>
    <row r="56" ht="15.75">
      <c r="A56" s="1"/>
    </row>
    <row r="57" ht="44.25" customHeight="1">
      <c r="A57" s="488" t="s">
        <v>373</v>
      </c>
    </row>
    <row r="58" ht="15.75">
      <c r="A58" s="1"/>
    </row>
    <row r="59" ht="15.75">
      <c r="A59" s="1"/>
    </row>
    <row r="60" ht="60" customHeight="1">
      <c r="A60" s="488" t="s">
        <v>374</v>
      </c>
    </row>
    <row r="61" ht="15.75">
      <c r="A61" s="486"/>
    </row>
    <row r="62" ht="15.75">
      <c r="A62" s="486"/>
    </row>
    <row r="63" ht="57.75" customHeight="1">
      <c r="A63" s="488" t="s">
        <v>375</v>
      </c>
    </row>
    <row r="64" ht="15.75">
      <c r="A64" s="1"/>
    </row>
    <row r="65" ht="15.75">
      <c r="A65" s="1"/>
    </row>
    <row r="66" ht="60" customHeight="1">
      <c r="A66" s="488" t="s">
        <v>376</v>
      </c>
    </row>
  </sheetData>
  <sheetProtection sheet="1" objects="1" scenarios="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M70"/>
  <sheetViews>
    <sheetView zoomScale="75" zoomScaleNormal="75" zoomScalePageLayoutView="0" workbookViewId="0" topLeftCell="A1">
      <selection activeCell="D70" sqref="D70"/>
    </sheetView>
  </sheetViews>
  <sheetFormatPr defaultColWidth="8.796875" defaultRowHeight="15"/>
  <cols>
    <col min="1" max="1" width="20.796875" style="32" customWidth="1"/>
    <col min="2" max="2" width="15.796875" style="32" customWidth="1"/>
    <col min="3" max="3" width="10.796875" style="32" customWidth="1"/>
    <col min="4" max="4" width="15.796875" style="32" customWidth="1"/>
    <col min="5" max="5" width="10.796875" style="32" customWidth="1"/>
    <col min="6" max="6" width="15.796875" style="32" customWidth="1"/>
    <col min="7" max="7" width="12.796875" style="32" customWidth="1"/>
    <col min="8" max="8" width="10.796875" style="32" customWidth="1"/>
    <col min="9" max="9" width="8.8984375" style="32" customWidth="1"/>
    <col min="10" max="10" width="12.3984375" style="32" customWidth="1"/>
    <col min="11" max="11" width="12.296875" style="32" customWidth="1"/>
    <col min="12" max="12" width="10.59765625" style="32" customWidth="1"/>
    <col min="13" max="13" width="12.09765625" style="32" customWidth="1"/>
    <col min="14" max="16384" width="8.8984375" style="32" customWidth="1"/>
  </cols>
  <sheetData>
    <row r="1" spans="1:9" ht="15.75">
      <c r="A1" s="771" t="s">
        <v>166</v>
      </c>
      <c r="B1" s="771"/>
      <c r="C1" s="771"/>
      <c r="D1" s="771"/>
      <c r="E1" s="771"/>
      <c r="F1" s="771"/>
      <c r="G1" s="771"/>
      <c r="H1" s="771"/>
      <c r="I1" s="319"/>
    </row>
    <row r="2" spans="1:8" ht="18" customHeight="1">
      <c r="A2" s="46"/>
      <c r="B2" s="46"/>
      <c r="C2" s="46"/>
      <c r="D2" s="46"/>
      <c r="E2" s="46"/>
      <c r="F2" s="46"/>
      <c r="G2" s="46"/>
      <c r="H2" s="46">
        <f>inputPrYr!$C$5</f>
        <v>2014</v>
      </c>
    </row>
    <row r="3" spans="1:8" ht="18" customHeight="1">
      <c r="A3" s="764" t="s">
        <v>123</v>
      </c>
      <c r="B3" s="764"/>
      <c r="C3" s="764"/>
      <c r="D3" s="764"/>
      <c r="E3" s="764"/>
      <c r="F3" s="764"/>
      <c r="G3" s="764"/>
      <c r="H3" s="764"/>
    </row>
    <row r="4" spans="1:8" ht="15.75">
      <c r="A4" s="762" t="str">
        <f>inputPrYr!D2</f>
        <v>City of Fredonia</v>
      </c>
      <c r="B4" s="762"/>
      <c r="C4" s="762"/>
      <c r="D4" s="762"/>
      <c r="E4" s="762"/>
      <c r="F4" s="762"/>
      <c r="G4" s="762"/>
      <c r="H4" s="762"/>
    </row>
    <row r="5" spans="1:8" ht="18" customHeight="1">
      <c r="A5" s="812" t="str">
        <f>CONCATENATE("will meet on ",inputBudSum!B7," at ",inputBudSum!B9," at ",inputBudSum!B11," for the purpose of hearing and")</f>
        <v>will meet on August 19, 2013 at 5:30 p.m. at Commission Chambers in City Hall for the purpose of hearing and</v>
      </c>
      <c r="B5" s="812"/>
      <c r="C5" s="812"/>
      <c r="D5" s="812"/>
      <c r="E5" s="812"/>
      <c r="F5" s="812"/>
      <c r="G5" s="812"/>
      <c r="H5" s="812"/>
    </row>
    <row r="6" spans="1:8" ht="16.5" customHeight="1">
      <c r="A6" s="764" t="s">
        <v>646</v>
      </c>
      <c r="B6" s="764"/>
      <c r="C6" s="764"/>
      <c r="D6" s="764"/>
      <c r="E6" s="764"/>
      <c r="F6" s="764"/>
      <c r="G6" s="764"/>
      <c r="H6" s="764"/>
    </row>
    <row r="7" spans="1:8" ht="16.5" customHeight="1">
      <c r="A7" s="818" t="str">
        <f>CONCATENATE("Detailed budget information is available at ",inputBudSum!B14," and will be available at this hearing.")</f>
        <v>Detailed budget information is available at 100 North 15th Street and will be available at this hearing.</v>
      </c>
      <c r="B7" s="818"/>
      <c r="C7" s="818"/>
      <c r="D7" s="818"/>
      <c r="E7" s="818"/>
      <c r="F7" s="818"/>
      <c r="G7" s="818"/>
      <c r="H7" s="818"/>
    </row>
    <row r="8" spans="1:8" ht="15.75">
      <c r="A8" s="54" t="s">
        <v>167</v>
      </c>
      <c r="B8" s="55"/>
      <c r="C8" s="55"/>
      <c r="D8" s="55"/>
      <c r="E8" s="55"/>
      <c r="F8" s="55"/>
      <c r="G8" s="55"/>
      <c r="H8" s="55"/>
    </row>
    <row r="9" spans="1:8" ht="15.75">
      <c r="A9" s="137" t="str">
        <f>CONCATENATE("Proposed Budget ",H2," Expenditures and Amount of ",H2-1," Ad Valorem Tax establish the maximum limits of the ",H2," budget.")</f>
        <v>Proposed Budget 2014 Expenditures and Amount of 2013 Ad Valorem Tax establish the maximum limits of the 2014 budget.</v>
      </c>
      <c r="B9" s="55"/>
      <c r="C9" s="55"/>
      <c r="D9" s="55"/>
      <c r="E9" s="55"/>
      <c r="F9" s="55"/>
      <c r="G9" s="55"/>
      <c r="H9" s="55"/>
    </row>
    <row r="10" spans="1:8" ht="15.75">
      <c r="A10" s="137" t="s">
        <v>231</v>
      </c>
      <c r="B10" s="55"/>
      <c r="C10" s="55"/>
      <c r="D10" s="55"/>
      <c r="E10" s="55"/>
      <c r="F10" s="55"/>
      <c r="G10" s="55"/>
      <c r="H10" s="55"/>
    </row>
    <row r="11" spans="1:8" ht="15.75">
      <c r="A11" s="46"/>
      <c r="B11" s="287"/>
      <c r="C11" s="287"/>
      <c r="D11" s="287"/>
      <c r="E11" s="287"/>
      <c r="F11" s="287"/>
      <c r="G11" s="287"/>
      <c r="H11" s="287"/>
    </row>
    <row r="12" spans="1:8" ht="15.75">
      <c r="A12" s="46"/>
      <c r="B12" s="320" t="str">
        <f>CONCATENATE("Prior Year Actual for ",H2-2,"")</f>
        <v>Prior Year Actual for 2012</v>
      </c>
      <c r="C12" s="140"/>
      <c r="D12" s="320" t="str">
        <f>CONCATENATE("Current Year Estimate for ",H2-1,"")</f>
        <v>Current Year Estimate for 2013</v>
      </c>
      <c r="E12" s="140"/>
      <c r="F12" s="138" t="str">
        <f>CONCATENATE("Proposed Budget Year for ",H2,"")</f>
        <v>Proposed Budget Year for 2014</v>
      </c>
      <c r="G12" s="139"/>
      <c r="H12" s="140"/>
    </row>
    <row r="13" spans="1:8" ht="21" customHeight="1">
      <c r="A13" s="46"/>
      <c r="B13" s="277"/>
      <c r="C13" s="143" t="s">
        <v>124</v>
      </c>
      <c r="D13" s="143"/>
      <c r="E13" s="143" t="s">
        <v>124</v>
      </c>
      <c r="F13" s="556" t="s">
        <v>10</v>
      </c>
      <c r="G13" s="143" t="str">
        <f>CONCATENATE("Amount of ",H2-1,"")</f>
        <v>Amount of 2013</v>
      </c>
      <c r="H13" s="143" t="s">
        <v>296</v>
      </c>
    </row>
    <row r="14" spans="1:8" ht="15.75">
      <c r="A14" s="63" t="s">
        <v>125</v>
      </c>
      <c r="B14" s="147" t="s">
        <v>126</v>
      </c>
      <c r="C14" s="147" t="s">
        <v>127</v>
      </c>
      <c r="D14" s="147" t="s">
        <v>126</v>
      </c>
      <c r="E14" s="147" t="s">
        <v>127</v>
      </c>
      <c r="F14" s="557" t="s">
        <v>669</v>
      </c>
      <c r="G14" s="148" t="s">
        <v>104</v>
      </c>
      <c r="H14" s="147" t="s">
        <v>127</v>
      </c>
    </row>
    <row r="15" spans="1:8" ht="15.75">
      <c r="A15" s="86" t="str">
        <f>inputPrYr!B17</f>
        <v>General</v>
      </c>
      <c r="B15" s="86">
        <f>IF(general!$C$111&lt;&gt;0,general!$C$111,"  ")</f>
        <v>3863120</v>
      </c>
      <c r="C15" s="321">
        <f>IF(inputPrYr!D84&gt;0,inputPrYr!D84,"  ")</f>
        <v>38.04</v>
      </c>
      <c r="D15" s="86">
        <f>IF(general!$D$111&lt;&gt;0,general!$D$111,"  ")</f>
        <v>1508737</v>
      </c>
      <c r="E15" s="321">
        <f>IF(inputOth!D21&gt;0,inputOth!D21,"  ")</f>
        <v>35.389</v>
      </c>
      <c r="F15" s="86">
        <f>IF(general!$E$111&lt;&gt;0,general!$E$111,"  ")</f>
        <v>1262377</v>
      </c>
      <c r="G15" s="86">
        <f>IF(general!$E$118&lt;&gt;0,general!$E$118,"  ")</f>
        <v>389964.93999999994</v>
      </c>
      <c r="H15" s="321">
        <f>IF(general!E118&gt;0,ROUND(G15/$F$57*1000,3),"")</f>
        <v>35.757</v>
      </c>
    </row>
    <row r="16" spans="1:8" ht="15.75">
      <c r="A16" s="86" t="str">
        <f>inputPrYr!B18</f>
        <v>Bond &amp; Interest</v>
      </c>
      <c r="B16" s="86">
        <f>IF('DebtSvs-library'!C35&lt;&gt;0,'DebtSvs-library'!C35,"  ")</f>
        <v>458336</v>
      </c>
      <c r="C16" s="321">
        <f>IF(inputPrYr!D85&gt;0,inputPrYr!D85,"  ")</f>
        <v>6.636</v>
      </c>
      <c r="D16" s="86">
        <f>IF('DebtSvs-library'!D35&lt;&gt;0,'DebtSvs-library'!D35,"  ")</f>
        <v>470511</v>
      </c>
      <c r="E16" s="321">
        <f>IF(inputOth!D22&gt;0,inputOth!D22,"  ")</f>
        <v>7.692</v>
      </c>
      <c r="F16" s="86">
        <f>IF('DebtSvs-library'!E35&lt;&gt;0,'DebtSvs-library'!E35,"  ")</f>
        <v>790309</v>
      </c>
      <c r="G16" s="86">
        <f>IF('DebtSvs-library'!E42&lt;&gt;0,'DebtSvs-library'!E42,"  ")</f>
        <v>83984</v>
      </c>
      <c r="H16" s="321">
        <f>IF('DebtSvs-library'!E42&gt;0,ROUND(G16/$F$57*1000,3),"  ")</f>
        <v>7.701</v>
      </c>
    </row>
    <row r="17" spans="1:8" ht="15.75">
      <c r="A17" s="86" t="str">
        <f>IF(inputPrYr!$B19&gt;"  ",(inputPrYr!$B19),"  ")</f>
        <v>Library</v>
      </c>
      <c r="B17" s="86">
        <f>IF('DebtSvs-library'!C75&lt;&gt;0,'DebtSvs-library'!C75,"  ")</f>
        <v>85111</v>
      </c>
      <c r="C17" s="321">
        <f>IF(inputPrYr!D86&gt;0,inputPrYr!D86,"  ")</f>
        <v>2.044</v>
      </c>
      <c r="D17" s="86">
        <f>IF('DebtSvs-library'!D75&lt;&gt;0,'DebtSvs-library'!D75,"  ")</f>
        <v>80760</v>
      </c>
      <c r="E17" s="321">
        <f>IF(inputOth!D23&gt;0,inputOth!D23,"  ")</f>
        <v>6.731</v>
      </c>
      <c r="F17" s="86">
        <f>IF('DebtSvs-library'!E75&lt;&gt;0,'DebtSvs-library'!E75,"  ")</f>
        <v>87939.61</v>
      </c>
      <c r="G17" s="86">
        <f>IF('DebtSvs-library'!E82&lt;&gt;0,'DebtSvs-library'!E82,"  ")</f>
        <v>73406.61</v>
      </c>
      <c r="H17" s="321">
        <f>IF('DebtSvs-library'!E82&lt;&gt;0,ROUND(G17/$F$57*1000,3),"  ")</f>
        <v>6.731</v>
      </c>
    </row>
    <row r="18" spans="1:8" ht="15.75">
      <c r="A18" s="86" t="str">
        <f>IF(inputPrYr!$B21&gt;"  ",(inputPrYr!$B21),"  ")</f>
        <v>Industrial Development</v>
      </c>
      <c r="B18" s="86">
        <f>IF('Ind Dev'!$C$33&gt;0,'Ind Dev'!$C$33,"  ")</f>
        <v>56188</v>
      </c>
      <c r="C18" s="321">
        <f>IF(inputPrYr!D87&gt;0,inputPrYr!D87,"  ")</f>
        <v>6.465</v>
      </c>
      <c r="D18" s="86">
        <f>IF('Ind Dev'!$D$33&gt;0,'Ind Dev'!$D$33,"  ")</f>
        <v>200370</v>
      </c>
      <c r="E18" s="321">
        <f>IF(inputOth!D24&gt;0,inputOth!D24,"  ")</f>
        <v>3.525</v>
      </c>
      <c r="F18" s="86">
        <f>IF('Ind Dev'!$E$33&gt;0,'Ind Dev'!$E$33,"  ")</f>
        <v>52727</v>
      </c>
      <c r="G18" s="86">
        <f>IF('Ind Dev'!$E$40&lt;&gt;0,'Ind Dev'!$E$40,"  ")</f>
        <v>34241</v>
      </c>
      <c r="H18" s="321">
        <f>IF('Ind Dev'!E40&lt;&gt;0,ROUND(G18/$F$57*1000,3),"  ")</f>
        <v>3.14</v>
      </c>
    </row>
    <row r="19" spans="1:8" ht="15.75">
      <c r="A19" s="86" t="str">
        <f>IF(inputPrYr!$B22&gt;"  ",(inputPrYr!$B22),"  ")</f>
        <v>  </v>
      </c>
      <c r="B19" s="86" t="str">
        <f>IF('Ind Dev'!$C$73&gt;0,'Ind Dev'!$C$73,"  ")</f>
        <v>  </v>
      </c>
      <c r="C19" s="321" t="str">
        <f>IF(inputPrYr!D88&gt;0,inputPrYr!D88,"  ")</f>
        <v>  </v>
      </c>
      <c r="D19" s="86" t="str">
        <f>IF('Ind Dev'!$D$73&gt;0,'Ind Dev'!$D$73,"  ")</f>
        <v>  </v>
      </c>
      <c r="E19" s="321" t="str">
        <f>IF(inputOth!D25&gt;0,inputOth!D25,"  ")</f>
        <v>  </v>
      </c>
      <c r="F19" s="86" t="str">
        <f>IF('Ind Dev'!$E$73&gt;0,'Ind Dev'!$E$73,"  ")</f>
        <v>  </v>
      </c>
      <c r="G19" s="86" t="str">
        <f>IF('Ind Dev'!$E$80&lt;&gt;0,'Ind Dev'!$E$80,"  ")</f>
        <v>  </v>
      </c>
      <c r="H19" s="321" t="str">
        <f>IF('Ind Dev'!E80&lt;&gt;0,ROUND(G19/$F$57*1000,3),"  ")</f>
        <v>  </v>
      </c>
    </row>
    <row r="20" spans="1:8" ht="15.75">
      <c r="A20" s="86"/>
      <c r="B20" s="86"/>
      <c r="C20" s="321"/>
      <c r="D20" s="86"/>
      <c r="E20" s="321"/>
      <c r="F20" s="86"/>
      <c r="G20" s="86"/>
      <c r="H20" s="321"/>
    </row>
    <row r="21" spans="1:8" ht="15.75">
      <c r="A21" s="86"/>
      <c r="B21" s="86"/>
      <c r="C21" s="321"/>
      <c r="D21" s="86"/>
      <c r="E21" s="321"/>
      <c r="F21" s="86"/>
      <c r="G21" s="86"/>
      <c r="H21" s="321"/>
    </row>
    <row r="22" spans="1:8" ht="15.75">
      <c r="A22" s="86"/>
      <c r="B22" s="86"/>
      <c r="C22" s="321"/>
      <c r="D22" s="86"/>
      <c r="E22" s="321"/>
      <c r="F22" s="86"/>
      <c r="G22" s="86"/>
      <c r="H22" s="321"/>
    </row>
    <row r="23" spans="1:8" ht="15.75">
      <c r="A23" s="86"/>
      <c r="B23" s="86"/>
      <c r="C23" s="321"/>
      <c r="D23" s="86"/>
      <c r="E23" s="321"/>
      <c r="F23" s="86"/>
      <c r="G23" s="86"/>
      <c r="H23" s="321"/>
    </row>
    <row r="24" spans="1:8" ht="15.75">
      <c r="A24" s="86"/>
      <c r="B24" s="86"/>
      <c r="C24" s="321"/>
      <c r="D24" s="86"/>
      <c r="E24" s="321"/>
      <c r="F24" s="86"/>
      <c r="G24" s="86"/>
      <c r="H24" s="321"/>
    </row>
    <row r="25" spans="1:8" ht="15.75">
      <c r="A25" s="86"/>
      <c r="B25" s="86"/>
      <c r="C25" s="321"/>
      <c r="D25" s="86"/>
      <c r="E25" s="321"/>
      <c r="F25" s="86"/>
      <c r="G25" s="86"/>
      <c r="H25" s="321"/>
    </row>
    <row r="26" spans="1:8" ht="15.75">
      <c r="A26" s="86"/>
      <c r="B26" s="86"/>
      <c r="C26" s="321"/>
      <c r="D26" s="86"/>
      <c r="E26" s="321"/>
      <c r="F26" s="86"/>
      <c r="G26" s="86"/>
      <c r="H26" s="321"/>
    </row>
    <row r="27" spans="1:8" ht="15.75">
      <c r="A27" s="86"/>
      <c r="B27" s="86"/>
      <c r="C27" s="321"/>
      <c r="D27" s="86"/>
      <c r="E27" s="321"/>
      <c r="F27" s="86"/>
      <c r="G27" s="86"/>
      <c r="H27" s="321"/>
    </row>
    <row r="28" spans="1:8" ht="15.75">
      <c r="A28" s="86" t="str">
        <f>IF(inputPrYr!$B34&gt;"  ",(inputPrYr!$B34),"  ")</f>
        <v>Special Highway</v>
      </c>
      <c r="B28" s="86">
        <f>IF('Sp Hwy|Sp Pk'!$C$30&gt;0,'Sp Hwy|Sp Pk'!$C$30,"  ")</f>
        <v>51277</v>
      </c>
      <c r="C28" s="64"/>
      <c r="D28" s="86">
        <f>IF('Sp Hwy|Sp Pk'!$D$30&gt;0,'Sp Hwy|Sp Pk'!$D$30,"  ")</f>
        <v>65300</v>
      </c>
      <c r="E28" s="64"/>
      <c r="F28" s="86">
        <f>IF('Sp Hwy|Sp Pk'!$E$30&gt;0,'Sp Hwy|Sp Pk'!$E$30,"  ")</f>
        <v>75000</v>
      </c>
      <c r="G28" s="86"/>
      <c r="H28" s="321"/>
    </row>
    <row r="29" spans="1:8" ht="15.75">
      <c r="A29" s="86" t="str">
        <f>IF(inputPrYr!$B35&gt;"  ",(inputPrYr!$B35),"  ")</f>
        <v>Special Park</v>
      </c>
      <c r="B29" s="86">
        <f>IF('Sp Hwy|Sp Pk'!$C$61&gt;0,'Sp Hwy|Sp Pk'!$C$61,"  ")</f>
        <v>136</v>
      </c>
      <c r="C29" s="64"/>
      <c r="D29" s="86">
        <f>IF('Sp Hwy|Sp Pk'!$D$61&gt;0,'Sp Hwy|Sp Pk'!$D$61,"  ")</f>
        <v>500</v>
      </c>
      <c r="E29" s="64"/>
      <c r="F29" s="86">
        <f>IF('Sp Hwy|Sp Pk'!$E$61&gt;0,'Sp Hwy|Sp Pk'!$E$61,"  ")</f>
        <v>3300</v>
      </c>
      <c r="G29" s="86"/>
      <c r="H29" s="321"/>
    </row>
    <row r="30" spans="1:8" ht="15.75">
      <c r="A30" s="86" t="str">
        <f>IF(inputPrYr!$B36&gt;"  ",(inputPrYr!$B36),"  ")</f>
        <v>Water</v>
      </c>
      <c r="B30" s="86">
        <f>IF('WT|EL'!$C$28&gt;0,'WT|EL'!$C$28,"  ")</f>
        <v>849751</v>
      </c>
      <c r="C30" s="64"/>
      <c r="D30" s="86">
        <f>IF('WT|EL'!$D$28&gt;0,'WT|EL'!$D$28,"  ")</f>
        <v>868135</v>
      </c>
      <c r="E30" s="64"/>
      <c r="F30" s="86">
        <f>IF('WT|EL'!$E$28&gt;0,'WT|EL'!$E$28,"  ")</f>
        <v>957385</v>
      </c>
      <c r="G30" s="86"/>
      <c r="H30" s="321"/>
    </row>
    <row r="31" spans="1:8" ht="15.75">
      <c r="A31" s="86" t="str">
        <f>IF(inputPrYr!$B37&gt;"  ",(inputPrYr!$B37),"  ")</f>
        <v>Electric</v>
      </c>
      <c r="B31" s="86">
        <f>IF('WT|EL'!$C$60&gt;0,'WT|EL'!$C$60,"  ")</f>
        <v>3017284.16</v>
      </c>
      <c r="C31" s="64"/>
      <c r="D31" s="86">
        <f>IF('WT|EL'!$D$60&gt;0,'WT|EL'!$D$60,"  ")</f>
        <v>2884478</v>
      </c>
      <c r="E31" s="64"/>
      <c r="F31" s="86">
        <f>IF('WT|EL'!$E$60&gt;0,'WT|EL'!$E$60,"  ")</f>
        <v>3036762</v>
      </c>
      <c r="G31" s="86"/>
      <c r="H31" s="321"/>
    </row>
    <row r="32" spans="1:8" ht="15.75">
      <c r="A32" s="86" t="str">
        <f>IF(inputPrYr!$B38&gt;"  ",(inputPrYr!$B38),"  ")</f>
        <v>Sewer</v>
      </c>
      <c r="B32" s="86">
        <f>IF('SW|TR'!$C$29&gt;0,'SW|TR'!$C$29,"  ")</f>
        <v>177455</v>
      </c>
      <c r="C32" s="64"/>
      <c r="D32" s="86">
        <f>IF('SW|TR'!$D$29&gt;0,'SW|TR'!$D$29,"  ")</f>
        <v>193619</v>
      </c>
      <c r="E32" s="64"/>
      <c r="F32" s="86">
        <f>IF('SW|TR'!$E$29&gt;0,'SW|TR'!$E$29,"  ")</f>
        <v>199521</v>
      </c>
      <c r="G32" s="64"/>
      <c r="H32" s="64"/>
    </row>
    <row r="33" spans="1:8" ht="15.75">
      <c r="A33" s="86" t="str">
        <f>IF(inputPrYr!$B39&gt;"  ",(inputPrYr!$B39),"  ")</f>
        <v>Solid Waste</v>
      </c>
      <c r="B33" s="86">
        <f>IF('SW|TR'!$C$60&gt;0,'SW|TR'!$C$60,"  ")</f>
        <v>241139</v>
      </c>
      <c r="C33" s="64"/>
      <c r="D33" s="86">
        <f>IF('SW|TR'!$D$60&gt;0,'SW|TR'!$D$60,"  ")</f>
        <v>247045</v>
      </c>
      <c r="E33" s="64"/>
      <c r="F33" s="86">
        <f>IF('SW|TR'!$E$60&gt;0,'SW|TR'!$E$60,"  ")</f>
        <v>249658</v>
      </c>
      <c r="G33" s="64"/>
      <c r="H33" s="64"/>
    </row>
    <row r="34" spans="1:8" ht="15.75">
      <c r="A34" s="86" t="str">
        <f>IF(inputPrYr!$B40&gt;"  ",(inputPrYr!$B40),"  ")</f>
        <v>1/2% Capital Sales Tax</v>
      </c>
      <c r="B34" s="86">
        <f>IF('Half % Cap|Tor'!$C$28&gt;0,'Half % Cap|Tor'!$C$28,"  ")</f>
        <v>1306630</v>
      </c>
      <c r="C34" s="64"/>
      <c r="D34" s="86">
        <f>IF('Half % Cap|Tor'!$D$28&gt;0,'Half % Cap|Tor'!$D$28,"  ")</f>
        <v>47000</v>
      </c>
      <c r="E34" s="64"/>
      <c r="F34" s="86">
        <f>IF('Half % Cap|Tor'!$E$28&gt;0,'Half % Cap|Tor'!$E$28,"  ")</f>
        <v>2536</v>
      </c>
      <c r="G34" s="64"/>
      <c r="H34" s="64"/>
    </row>
    <row r="35" spans="1:8" ht="15.75">
      <c r="A35" s="86" t="str">
        <f>IF(inputPrYr!$B41&gt;"  ",(inputPrYr!$B41),"  ")</f>
        <v>Tourism</v>
      </c>
      <c r="B35" s="86">
        <f>IF('Half % Cap|Tor'!$C$59&gt;0,'Half % Cap|Tor'!$C$59,"  ")</f>
        <v>9135</v>
      </c>
      <c r="C35" s="64"/>
      <c r="D35" s="86">
        <f>IF('Half % Cap|Tor'!$D$59&gt;0,'Half % Cap|Tor'!$D$59,"  ")</f>
        <v>10454</v>
      </c>
      <c r="E35" s="64"/>
      <c r="F35" s="86">
        <f>IF('Half % Cap|Tor'!$E$59&gt;0,'Half % Cap|Tor'!$E$59,"  ")</f>
        <v>11700</v>
      </c>
      <c r="G35" s="64"/>
      <c r="H35" s="64"/>
    </row>
    <row r="36" spans="1:8" ht="15.75">
      <c r="A36" s="86" t="str">
        <f>IF(inputPrYr!$B42&gt;"  ",(inputPrYr!$B42),"  ")</f>
        <v>1/2% Infrastructure Sales Tax</v>
      </c>
      <c r="B36" s="86">
        <f>IF('Half % Inf|1% Pool'!$C$28&gt;0,'Half % Inf|1% Pool'!$C$28,"  ")</f>
        <v>141611</v>
      </c>
      <c r="C36" s="64"/>
      <c r="D36" s="86">
        <f>IF('Half % Inf|1% Pool'!$D$28&gt;0,'Half % Inf|1% Pool'!$D$28,"  ")</f>
        <v>246400</v>
      </c>
      <c r="E36" s="64"/>
      <c r="F36" s="86">
        <f>IF('Half % Inf|1% Pool'!$E$28&gt;0,'Half % Inf|1% Pool'!$E$28,"  ")</f>
        <v>192700</v>
      </c>
      <c r="G36" s="64"/>
      <c r="H36" s="64"/>
    </row>
    <row r="37" spans="1:8" ht="15.75">
      <c r="A37" s="86" t="str">
        <f>IF(inputPrYr!$B43&gt;"  ",(inputPrYr!$B43),"  ")</f>
        <v>1% Swimming Pool Sales Tax</v>
      </c>
      <c r="B37" s="86" t="str">
        <f>IF('Half % Inf|1% Pool'!$C$59&gt;0,'Half % Inf|1% Pool'!$C$59,"  ")</f>
        <v>  </v>
      </c>
      <c r="C37" s="64"/>
      <c r="D37" s="86">
        <f>IF('Half % Inf|1% Pool'!$D$59&gt;0,'Half % Inf|1% Pool'!$D$59,"  ")</f>
        <v>2883000</v>
      </c>
      <c r="E37" s="64"/>
      <c r="F37" s="86">
        <f>IF('Half % Inf|1% Pool'!$E$59&gt;0,'Half % Inf|1% Pool'!$E$59,"  ")</f>
        <v>375987</v>
      </c>
      <c r="G37" s="64"/>
      <c r="H37" s="64"/>
    </row>
    <row r="38" spans="1:8" ht="15.75">
      <c r="A38" s="86"/>
      <c r="B38" s="86"/>
      <c r="C38" s="64"/>
      <c r="D38" s="86"/>
      <c r="E38" s="64"/>
      <c r="F38" s="86"/>
      <c r="G38" s="64"/>
      <c r="H38" s="64"/>
    </row>
    <row r="39" spans="1:8" ht="15.75">
      <c r="A39" s="86"/>
      <c r="B39" s="86"/>
      <c r="C39" s="64"/>
      <c r="D39" s="86"/>
      <c r="E39" s="64"/>
      <c r="F39" s="86"/>
      <c r="G39" s="64"/>
      <c r="H39" s="64"/>
    </row>
    <row r="40" spans="1:8" ht="15.75">
      <c r="A40" s="86"/>
      <c r="B40" s="86"/>
      <c r="C40" s="64"/>
      <c r="D40" s="86"/>
      <c r="E40" s="64"/>
      <c r="F40" s="86"/>
      <c r="G40" s="64"/>
      <c r="H40" s="64"/>
    </row>
    <row r="41" spans="1:13" ht="15.75">
      <c r="A41" s="86"/>
      <c r="B41" s="86"/>
      <c r="C41" s="64"/>
      <c r="D41" s="86"/>
      <c r="E41" s="64"/>
      <c r="F41" s="86"/>
      <c r="G41" s="64"/>
      <c r="H41" s="64"/>
      <c r="J41" s="809" t="str">
        <f>CONCATENATE("Estimated Value Of One Mill For ",H2,"")</f>
        <v>Estimated Value Of One Mill For 2014</v>
      </c>
      <c r="K41" s="810"/>
      <c r="L41" s="810"/>
      <c r="M41" s="811"/>
    </row>
    <row r="42" spans="1:13" ht="15.75">
      <c r="A42" s="86"/>
      <c r="B42" s="86"/>
      <c r="C42" s="64"/>
      <c r="D42" s="86"/>
      <c r="E42" s="64"/>
      <c r="F42" s="86"/>
      <c r="G42" s="64"/>
      <c r="H42" s="64"/>
      <c r="J42" s="502"/>
      <c r="K42" s="503"/>
      <c r="L42" s="503"/>
      <c r="M42" s="504"/>
    </row>
    <row r="43" spans="1:13" ht="15.75">
      <c r="A43" s="86"/>
      <c r="B43" s="86"/>
      <c r="C43" s="64"/>
      <c r="D43" s="86"/>
      <c r="E43" s="64"/>
      <c r="F43" s="86"/>
      <c r="G43" s="64"/>
      <c r="H43" s="64"/>
      <c r="J43" s="505" t="s">
        <v>757</v>
      </c>
      <c r="K43" s="506"/>
      <c r="L43" s="506"/>
      <c r="M43" s="507">
        <f>ROUND(F57/1000,0)</f>
        <v>10906</v>
      </c>
    </row>
    <row r="44" spans="1:8" ht="15.75">
      <c r="A44" s="86"/>
      <c r="B44" s="86"/>
      <c r="C44" s="64"/>
      <c r="D44" s="86"/>
      <c r="E44" s="64"/>
      <c r="F44" s="86"/>
      <c r="G44" s="64"/>
      <c r="H44" s="64"/>
    </row>
    <row r="45" spans="1:13" ht="15.75">
      <c r="A45" s="86"/>
      <c r="B45" s="86"/>
      <c r="C45" s="64"/>
      <c r="D45" s="86"/>
      <c r="E45" s="64"/>
      <c r="F45" s="86"/>
      <c r="G45" s="64"/>
      <c r="H45" s="64"/>
      <c r="J45" s="809" t="str">
        <f>CONCATENATE("Want The Mill Rate The Same As For ",H2-1,"?")</f>
        <v>Want The Mill Rate The Same As For 2013?</v>
      </c>
      <c r="K45" s="810"/>
      <c r="L45" s="810"/>
      <c r="M45" s="811"/>
    </row>
    <row r="46" spans="1:13" ht="15.75">
      <c r="A46" s="86"/>
      <c r="B46" s="86"/>
      <c r="C46" s="64"/>
      <c r="D46" s="86"/>
      <c r="E46" s="64"/>
      <c r="F46" s="86"/>
      <c r="G46" s="64"/>
      <c r="H46" s="64"/>
      <c r="J46" s="509"/>
      <c r="K46" s="503"/>
      <c r="L46" s="503"/>
      <c r="M46" s="510"/>
    </row>
    <row r="47" spans="1:13" ht="15.75">
      <c r="A47" s="86"/>
      <c r="B47" s="86"/>
      <c r="C47" s="64"/>
      <c r="D47" s="86"/>
      <c r="E47" s="64"/>
      <c r="F47" s="86"/>
      <c r="G47" s="64"/>
      <c r="H47" s="64"/>
      <c r="J47" s="509" t="str">
        <f>CONCATENATE("",H2-1," Mill Rate Was:")</f>
        <v>2013 Mill Rate Was:</v>
      </c>
      <c r="K47" s="503"/>
      <c r="L47" s="503"/>
      <c r="M47" s="511">
        <f>E52</f>
        <v>53.337</v>
      </c>
    </row>
    <row r="48" spans="1:13" ht="15.75">
      <c r="A48" s="86" t="str">
        <f>IF(inputPrYr!$B57&gt;"  ",(NonBudA!$A3),"  ")</f>
        <v>Non-Budgeted Funds-A</v>
      </c>
      <c r="B48" s="86">
        <f>IF(NonBudA!$K$28&gt;0,NonBudA!$K$28,"  ")</f>
        <v>50779.5</v>
      </c>
      <c r="C48" s="64"/>
      <c r="D48" s="86"/>
      <c r="E48" s="64"/>
      <c r="F48" s="86"/>
      <c r="G48" s="64"/>
      <c r="H48" s="64"/>
      <c r="J48" s="512" t="str">
        <f>CONCATENATE("",H2," Tax Levy Fund Expenditures Must Be")</f>
        <v>2014 Tax Levy Fund Expenditures Must Be</v>
      </c>
      <c r="K48" s="513"/>
      <c r="L48" s="513"/>
      <c r="M48" s="510"/>
    </row>
    <row r="49" spans="1:13" ht="15.75">
      <c r="A49" s="86" t="str">
        <f>IF(inputPrYr!$B63&gt;"  ",(NonBudB!$A3),"  ")</f>
        <v>Non-Budgeted Funds-B</v>
      </c>
      <c r="B49" s="86" t="str">
        <f>IF(NonBudB!$K$28&gt;0,NonBudB!$K$28,"  ")</f>
        <v>  </v>
      </c>
      <c r="C49" s="64"/>
      <c r="D49" s="86"/>
      <c r="E49" s="64"/>
      <c r="F49" s="86"/>
      <c r="G49" s="64"/>
      <c r="H49" s="64"/>
      <c r="J49" s="512" t="str">
        <f>IF(M49&gt;0,"Increased By:","")</f>
        <v>Increased By:</v>
      </c>
      <c r="K49" s="513"/>
      <c r="L49" s="513"/>
      <c r="M49" s="584">
        <f>IF(M56&lt;0,M56*-1,0)</f>
        <v>98.45000000006985</v>
      </c>
    </row>
    <row r="50" spans="1:13" ht="15.75">
      <c r="A50" s="86" t="str">
        <f>IF(inputPrYr!$B69&gt;"  ",(NonBudC!$A3),"  ")</f>
        <v>Non-Budgeted Funds-C</v>
      </c>
      <c r="B50" s="86">
        <f>IF(NonBudC!$K$28&gt;0,NonBudC!$K$28,"  ")</f>
        <v>40162.58</v>
      </c>
      <c r="C50" s="64"/>
      <c r="D50" s="86"/>
      <c r="E50" s="64"/>
      <c r="F50" s="86"/>
      <c r="G50" s="64"/>
      <c r="H50" s="64"/>
      <c r="J50" s="585">
        <f>IF(M50&lt;0,"Reduced By:","")</f>
      </c>
      <c r="K50" s="586"/>
      <c r="L50" s="586"/>
      <c r="M50" s="587">
        <f>IF(M56&gt;0,M56*-1,0)</f>
        <v>0</v>
      </c>
    </row>
    <row r="51" spans="1:13" ht="16.5" thickBot="1">
      <c r="A51" s="86" t="str">
        <f>IF(inputPrYr!$B75&gt;"  ",(NonBudD!$A3),"  ")</f>
        <v>Non-Budgeted Funds-D</v>
      </c>
      <c r="B51" s="522">
        <f>IF(NonBudD!$K$28&gt;0,NonBudD!$K$28,"  ")</f>
        <v>513417</v>
      </c>
      <c r="C51" s="523"/>
      <c r="D51" s="522"/>
      <c r="E51" s="523"/>
      <c r="F51" s="522"/>
      <c r="G51" s="523"/>
      <c r="H51" s="523"/>
      <c r="J51" s="516"/>
      <c r="K51" s="516"/>
      <c r="L51" s="516"/>
      <c r="M51" s="516"/>
    </row>
    <row r="52" spans="1:13" ht="15.75">
      <c r="A52" s="142" t="s">
        <v>764</v>
      </c>
      <c r="B52" s="552">
        <f>SUM(B15:B51)</f>
        <v>10861532.24</v>
      </c>
      <c r="C52" s="553">
        <f>SUM(C15:C27)</f>
        <v>53.185</v>
      </c>
      <c r="D52" s="552">
        <f>SUM(D15:D51)</f>
        <v>9706309</v>
      </c>
      <c r="E52" s="553">
        <f>SUM(E15:E27)</f>
        <v>53.337</v>
      </c>
      <c r="F52" s="552">
        <f>SUM(F15:F51)</f>
        <v>7297901.609999999</v>
      </c>
      <c r="G52" s="552">
        <f>SUM(G15:G51)</f>
        <v>581596.5499999999</v>
      </c>
      <c r="H52" s="553">
        <f>SUM(H15:H27)</f>
        <v>53.329</v>
      </c>
      <c r="J52" s="809" t="str">
        <f>CONCATENATE("Impact On Keeping The Same Mill Rate As For ",H2-1,"")</f>
        <v>Impact On Keeping The Same Mill Rate As For 2013</v>
      </c>
      <c r="K52" s="816"/>
      <c r="L52" s="816"/>
      <c r="M52" s="817"/>
    </row>
    <row r="53" spans="1:13" ht="15.75">
      <c r="A53" s="51" t="s">
        <v>128</v>
      </c>
      <c r="B53" s="482">
        <f>transfers!D26</f>
        <v>700725</v>
      </c>
      <c r="C53" s="551"/>
      <c r="D53" s="482">
        <f>transfers!E26</f>
        <v>710925</v>
      </c>
      <c r="E53" s="334"/>
      <c r="F53" s="482">
        <f>transfers!F26</f>
        <v>710725</v>
      </c>
      <c r="G53" s="549"/>
      <c r="H53" s="334"/>
      <c r="I53" s="519"/>
      <c r="J53" s="509"/>
      <c r="K53" s="503"/>
      <c r="L53" s="503"/>
      <c r="M53" s="510"/>
    </row>
    <row r="54" spans="1:13" ht="16.5" thickBot="1">
      <c r="A54" s="51" t="s">
        <v>129</v>
      </c>
      <c r="B54" s="331">
        <f>B52-B53</f>
        <v>10160807.24</v>
      </c>
      <c r="C54" s="46"/>
      <c r="D54" s="331">
        <f>D52-D53</f>
        <v>8995384</v>
      </c>
      <c r="E54" s="46"/>
      <c r="F54" s="331">
        <f>F52-F53</f>
        <v>6587176.609999999</v>
      </c>
      <c r="G54" s="46"/>
      <c r="H54" s="46"/>
      <c r="J54" s="509" t="str">
        <f>CONCATENATE("",H2," Ad Valorem Tax Revenue:")</f>
        <v>2014 Ad Valorem Tax Revenue:</v>
      </c>
      <c r="K54" s="503"/>
      <c r="L54" s="503"/>
      <c r="M54" s="504">
        <f>G52</f>
        <v>581596.5499999999</v>
      </c>
    </row>
    <row r="55" spans="1:13" ht="16.5" thickTop="1">
      <c r="A55" s="51" t="s">
        <v>130</v>
      </c>
      <c r="B55" s="482">
        <f>inputPrYr!$E$99</f>
        <v>581962</v>
      </c>
      <c r="C55" s="196"/>
      <c r="D55" s="482">
        <f>inputPrYr!$E$31</f>
        <v>576734</v>
      </c>
      <c r="E55" s="196"/>
      <c r="F55" s="322" t="s">
        <v>93</v>
      </c>
      <c r="G55" s="46"/>
      <c r="H55" s="46"/>
      <c r="J55" s="509" t="str">
        <f>CONCATENATE("",H2-1," Ad Valorem Tax Revenue:")</f>
        <v>2013 Ad Valorem Tax Revenue:</v>
      </c>
      <c r="K55" s="503"/>
      <c r="L55" s="503"/>
      <c r="M55" s="517">
        <f>ROUND(F57*M47/1000,0)</f>
        <v>581695</v>
      </c>
    </row>
    <row r="56" spans="1:13" ht="15.75">
      <c r="A56" s="51" t="s">
        <v>131</v>
      </c>
      <c r="B56" s="198"/>
      <c r="C56" s="46"/>
      <c r="D56" s="483"/>
      <c r="E56" s="200"/>
      <c r="F56" s="151"/>
      <c r="G56" s="46"/>
      <c r="H56" s="46"/>
      <c r="J56" s="514" t="s">
        <v>758</v>
      </c>
      <c r="K56" s="515"/>
      <c r="L56" s="515"/>
      <c r="M56" s="507">
        <f>SUM(M54-M55)</f>
        <v>-98.45000000006985</v>
      </c>
    </row>
    <row r="57" spans="1:13" ht="15.75">
      <c r="A57" s="51" t="s">
        <v>132</v>
      </c>
      <c r="B57" s="482">
        <f>inputPrYr!$E$100</f>
        <v>10942645</v>
      </c>
      <c r="C57" s="75"/>
      <c r="D57" s="482">
        <f>inputOth!$E$36</f>
        <v>10813501</v>
      </c>
      <c r="E57" s="75"/>
      <c r="F57" s="482">
        <f>inputOth!$E$7</f>
        <v>10906025</v>
      </c>
      <c r="G57" s="46"/>
      <c r="H57" s="46"/>
      <c r="J57" s="508"/>
      <c r="K57" s="508"/>
      <c r="L57" s="508"/>
      <c r="M57" s="516"/>
    </row>
    <row r="58" spans="1:13" ht="15.75">
      <c r="A58" s="51" t="s">
        <v>133</v>
      </c>
      <c r="B58" s="46"/>
      <c r="C58" s="46"/>
      <c r="D58" s="46"/>
      <c r="E58" s="46"/>
      <c r="F58" s="46"/>
      <c r="G58" s="46"/>
      <c r="H58" s="46"/>
      <c r="J58" s="809" t="s">
        <v>759</v>
      </c>
      <c r="K58" s="814"/>
      <c r="L58" s="814"/>
      <c r="M58" s="815"/>
    </row>
    <row r="59" spans="1:13" ht="15.75">
      <c r="A59" s="51" t="s">
        <v>134</v>
      </c>
      <c r="B59" s="323">
        <f>$H$2-3</f>
        <v>2011</v>
      </c>
      <c r="C59" s="46"/>
      <c r="D59" s="323">
        <f>$H$2-2</f>
        <v>2012</v>
      </c>
      <c r="E59" s="46"/>
      <c r="F59" s="323">
        <f>$H$2-1</f>
        <v>2013</v>
      </c>
      <c r="G59" s="46"/>
      <c r="H59" s="46"/>
      <c r="J59" s="509"/>
      <c r="K59" s="503"/>
      <c r="L59" s="503"/>
      <c r="M59" s="510"/>
    </row>
    <row r="60" spans="1:13" ht="13.5" customHeight="1">
      <c r="A60" s="51" t="s">
        <v>135</v>
      </c>
      <c r="B60" s="240">
        <f>inputPrYr!$D$104</f>
        <v>4015000</v>
      </c>
      <c r="C60" s="171"/>
      <c r="D60" s="240">
        <f>inputPrYr!$E$104</f>
        <v>3705000</v>
      </c>
      <c r="E60" s="171"/>
      <c r="F60" s="240">
        <f>debt!$G$20</f>
        <v>3405000</v>
      </c>
      <c r="G60" s="46"/>
      <c r="H60" s="46"/>
      <c r="J60" s="509" t="str">
        <f>CONCATENATE("Current ",H2," Estimated Mill Rate:")</f>
        <v>Current 2014 Estimated Mill Rate:</v>
      </c>
      <c r="K60" s="503"/>
      <c r="L60" s="503"/>
      <c r="M60" s="511">
        <f>H52</f>
        <v>53.329</v>
      </c>
    </row>
    <row r="61" spans="1:13" ht="15.75">
      <c r="A61" s="51" t="s">
        <v>136</v>
      </c>
      <c r="B61" s="482">
        <f>inputPrYr!$D$105</f>
        <v>0</v>
      </c>
      <c r="C61" s="171"/>
      <c r="D61" s="482">
        <f>inputPrYr!$E$105</f>
        <v>163917</v>
      </c>
      <c r="E61" s="171"/>
      <c r="F61" s="240">
        <f>debt!$G$32</f>
        <v>117571.36</v>
      </c>
      <c r="G61" s="46"/>
      <c r="H61" s="46"/>
      <c r="J61" s="509" t="str">
        <f>CONCATENATE("Desired ",H2," Mill Rate:")</f>
        <v>Desired 2014 Mill Rate:</v>
      </c>
      <c r="K61" s="503"/>
      <c r="L61" s="503"/>
      <c r="M61" s="501">
        <v>53.3</v>
      </c>
    </row>
    <row r="62" spans="1:13" ht="18.75" customHeight="1">
      <c r="A62" s="46" t="s">
        <v>154</v>
      </c>
      <c r="B62" s="482">
        <f>inputPrYr!$D$106</f>
        <v>0</v>
      </c>
      <c r="C62" s="171"/>
      <c r="D62" s="482">
        <f>inputPrYr!$E$106</f>
        <v>0</v>
      </c>
      <c r="E62" s="171"/>
      <c r="F62" s="240">
        <f>debt!$G$42</f>
        <v>0</v>
      </c>
      <c r="G62" s="46"/>
      <c r="H62" s="46"/>
      <c r="J62" s="509" t="str">
        <f>CONCATENATE("",H2," Ad Valorem Tax:")</f>
        <v>2014 Ad Valorem Tax:</v>
      </c>
      <c r="K62" s="503"/>
      <c r="L62" s="503"/>
      <c r="M62" s="517">
        <f>ROUND(F57*M61/1000,0)</f>
        <v>581291</v>
      </c>
    </row>
    <row r="63" spans="1:13" ht="18.75" customHeight="1">
      <c r="A63" s="51" t="s">
        <v>232</v>
      </c>
      <c r="B63" s="482">
        <f>inputPrYr!$D$107</f>
        <v>11249</v>
      </c>
      <c r="C63" s="171"/>
      <c r="D63" s="482">
        <f>inputPrYr!$E$107</f>
        <v>0</v>
      </c>
      <c r="E63" s="171"/>
      <c r="F63" s="240">
        <f>lpform!$G$28</f>
        <v>0</v>
      </c>
      <c r="G63" s="46"/>
      <c r="H63" s="46"/>
      <c r="J63" s="514" t="str">
        <f>CONCATENATE("",H2," Tax Levy Fund Exp. Changed By:")</f>
        <v>2014 Tax Levy Fund Exp. Changed By:</v>
      </c>
      <c r="K63" s="515"/>
      <c r="L63" s="515"/>
      <c r="M63" s="507">
        <f>IF(M61=0,0,(M62-G52))</f>
        <v>-305.54999999993015</v>
      </c>
    </row>
    <row r="64" spans="1:8" ht="18.75" customHeight="1" thickBot="1">
      <c r="A64" s="51" t="s">
        <v>137</v>
      </c>
      <c r="B64" s="558">
        <f>SUM(B60:B63)</f>
        <v>4026249</v>
      </c>
      <c r="C64" s="171"/>
      <c r="D64" s="558">
        <f>SUM(D60:D63)</f>
        <v>3868917</v>
      </c>
      <c r="E64" s="171"/>
      <c r="F64" s="558">
        <f>SUM(F60:F63)</f>
        <v>3522571.36</v>
      </c>
      <c r="G64" s="46"/>
      <c r="H64" s="46"/>
    </row>
    <row r="65" spans="1:8" ht="18.75" customHeight="1" thickTop="1">
      <c r="A65" s="51" t="s">
        <v>138</v>
      </c>
      <c r="B65" s="46"/>
      <c r="C65" s="46"/>
      <c r="D65" s="46"/>
      <c r="E65" s="46"/>
      <c r="F65" s="46"/>
      <c r="G65" s="46"/>
      <c r="H65" s="46"/>
    </row>
    <row r="66" spans="1:8" ht="15.75">
      <c r="A66" s="46"/>
      <c r="B66" s="46"/>
      <c r="C66" s="46"/>
      <c r="D66" s="46"/>
      <c r="E66" s="46"/>
      <c r="F66" s="46"/>
      <c r="G66" s="46"/>
      <c r="H66" s="46"/>
    </row>
    <row r="67" spans="1:8" ht="15.75">
      <c r="A67" s="813" t="str">
        <f>inputBudSum!B3</f>
        <v>Flip Hutfles</v>
      </c>
      <c r="B67" s="813"/>
      <c r="C67" s="75"/>
      <c r="D67" s="46"/>
      <c r="E67" s="46"/>
      <c r="F67" s="46"/>
      <c r="G67" s="46"/>
      <c r="H67" s="46"/>
    </row>
    <row r="68" spans="1:8" ht="15.75">
      <c r="A68" s="168" t="s">
        <v>272</v>
      </c>
      <c r="B68" s="615" t="str">
        <f>inputBudSum!B5</f>
        <v>City Administrator</v>
      </c>
      <c r="C68" s="46"/>
      <c r="D68" s="46"/>
      <c r="E68" s="46"/>
      <c r="F68" s="46"/>
      <c r="G68" s="46"/>
      <c r="H68" s="46"/>
    </row>
    <row r="69" spans="1:8" ht="15.75">
      <c r="A69" s="46"/>
      <c r="B69" s="46"/>
      <c r="C69" s="46"/>
      <c r="D69" s="46"/>
      <c r="E69" s="46"/>
      <c r="F69" s="46"/>
      <c r="G69" s="46"/>
      <c r="H69" s="46"/>
    </row>
    <row r="70" spans="1:8" ht="15.75">
      <c r="A70" s="46"/>
      <c r="B70" s="46"/>
      <c r="C70" s="135" t="s">
        <v>113</v>
      </c>
      <c r="D70" s="280">
        <v>20</v>
      </c>
      <c r="E70" s="46"/>
      <c r="F70" s="46"/>
      <c r="G70" s="46"/>
      <c r="H70" s="46"/>
    </row>
  </sheetData>
  <sheetProtection/>
  <mergeCells count="11">
    <mergeCell ref="A1:H1"/>
    <mergeCell ref="A4:H4"/>
    <mergeCell ref="A6:H6"/>
    <mergeCell ref="A7:H7"/>
    <mergeCell ref="A3:H3"/>
    <mergeCell ref="J41:M41"/>
    <mergeCell ref="A5:H5"/>
    <mergeCell ref="A67:B67"/>
    <mergeCell ref="J58:M58"/>
    <mergeCell ref="J52:M52"/>
    <mergeCell ref="J45:M45"/>
  </mergeCells>
  <printOptions/>
  <pageMargins left="1"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
  <cols>
    <col min="1" max="1" width="10.09765625" style="105" customWidth="1"/>
    <col min="2" max="2" width="16.296875" style="105" customWidth="1"/>
    <col min="3" max="3" width="11.796875" style="105" customWidth="1"/>
    <col min="4" max="4" width="12.796875" style="105" customWidth="1"/>
    <col min="5" max="5" width="11.796875" style="105" customWidth="1"/>
    <col min="6" max="16384" width="8.8984375" style="105" customWidth="1"/>
  </cols>
  <sheetData>
    <row r="1" spans="1:6" ht="15.75">
      <c r="A1" s="196" t="str">
        <f>inputPrYr!D2</f>
        <v>City of Fredonia</v>
      </c>
      <c r="B1" s="46"/>
      <c r="C1" s="46"/>
      <c r="D1" s="46"/>
      <c r="E1" s="46"/>
      <c r="F1" s="46">
        <f>inputPrYr!C5</f>
        <v>2014</v>
      </c>
    </row>
    <row r="2" spans="1:6" ht="15.75">
      <c r="A2" s="46"/>
      <c r="B2" s="46"/>
      <c r="C2" s="46"/>
      <c r="D2" s="46"/>
      <c r="E2" s="46"/>
      <c r="F2" s="46"/>
    </row>
    <row r="3" spans="1:6" ht="15.75">
      <c r="A3" s="46"/>
      <c r="B3" s="775" t="str">
        <f>CONCATENATE("",F1," Neighborhood Revitalization Rebate")</f>
        <v>2014 Neighborhood Revitalization Rebate</v>
      </c>
      <c r="C3" s="820"/>
      <c r="D3" s="820"/>
      <c r="E3" s="820"/>
      <c r="F3" s="46"/>
    </row>
    <row r="4" spans="1:6" ht="15.75">
      <c r="A4" s="46"/>
      <c r="B4" s="46"/>
      <c r="C4" s="46"/>
      <c r="D4" s="46"/>
      <c r="E4" s="46"/>
      <c r="F4" s="46"/>
    </row>
    <row r="5" spans="1:6" ht="51.75" customHeight="1">
      <c r="A5" s="46"/>
      <c r="B5" s="325" t="str">
        <f>CONCATENATE("Budgeted Funds         for ",F1,"")</f>
        <v>Budgeted Funds         for 2014</v>
      </c>
      <c r="C5" s="325" t="str">
        <f>CONCATENATE("",F1-1," Ad Valorem before Rebate**")</f>
        <v>2013 Ad Valorem before Rebate**</v>
      </c>
      <c r="D5" s="326" t="str">
        <f>CONCATENATE("",F1-1," Mil Rate before Rebate")</f>
        <v>2013 Mil Rate before Rebate</v>
      </c>
      <c r="E5" s="327" t="str">
        <f>CONCATENATE("Estimate ",F1," NR Rebate")</f>
        <v>Estimate 2014 NR Rebate</v>
      </c>
      <c r="F5" s="97"/>
    </row>
    <row r="6" spans="1:6" ht="15.75">
      <c r="A6" s="46"/>
      <c r="B6" s="63" t="str">
        <f>inputPrYr!B17</f>
        <v>General</v>
      </c>
      <c r="C6" s="328">
        <v>388984</v>
      </c>
      <c r="D6" s="329">
        <f>IF(C6&gt;0,C6/$D$24,"")</f>
        <v>35.666890549031386</v>
      </c>
      <c r="E6" s="240">
        <f aca="true" t="shared" si="0" ref="E6:E17">IF(C6&gt;0,ROUND(D6*$D$28,0),"")</f>
        <v>935</v>
      </c>
      <c r="F6" s="97"/>
    </row>
    <row r="7" spans="1:6" ht="15.75">
      <c r="A7" s="46"/>
      <c r="B7" s="63" t="str">
        <f>inputPrYr!B18</f>
        <v>Bond &amp; Interest</v>
      </c>
      <c r="C7" s="328">
        <v>83773</v>
      </c>
      <c r="D7" s="329">
        <f aca="true" t="shared" si="1" ref="D7:D17">IF(C7&gt;0,C7/$D$24,"")</f>
        <v>7.6813504461983175</v>
      </c>
      <c r="E7" s="240">
        <f t="shared" si="0"/>
        <v>201</v>
      </c>
      <c r="F7" s="97"/>
    </row>
    <row r="8" spans="1:6" ht="15.75">
      <c r="A8" s="46"/>
      <c r="B8" s="86" t="str">
        <f>inputPrYr!B19</f>
        <v>Library</v>
      </c>
      <c r="C8" s="328">
        <v>73222</v>
      </c>
      <c r="D8" s="329">
        <f t="shared" si="1"/>
        <v>6.713903553311129</v>
      </c>
      <c r="E8" s="240">
        <f t="shared" si="0"/>
        <v>176</v>
      </c>
      <c r="F8" s="97"/>
    </row>
    <row r="9" spans="1:6" ht="15.75">
      <c r="A9" s="46"/>
      <c r="B9" s="86" t="str">
        <f>inputPrYr!B21</f>
        <v>Industrial Development</v>
      </c>
      <c r="C9" s="328">
        <v>34155</v>
      </c>
      <c r="D9" s="329">
        <f t="shared" si="1"/>
        <v>3.1317551536879846</v>
      </c>
      <c r="E9" s="240">
        <f t="shared" si="0"/>
        <v>82</v>
      </c>
      <c r="F9" s="97"/>
    </row>
    <row r="10" spans="1:6" ht="15.75">
      <c r="A10" s="46"/>
      <c r="B10" s="86">
        <f>inputPrYr!B22</f>
        <v>0</v>
      </c>
      <c r="C10" s="328"/>
      <c r="D10" s="329">
        <f t="shared" si="1"/>
      </c>
      <c r="E10" s="240">
        <f t="shared" si="0"/>
      </c>
      <c r="F10" s="97"/>
    </row>
    <row r="11" spans="1:6" ht="15.75">
      <c r="A11" s="46"/>
      <c r="B11" s="86">
        <f>inputPrYr!B23</f>
        <v>0</v>
      </c>
      <c r="C11" s="328"/>
      <c r="D11" s="329">
        <f t="shared" si="1"/>
      </c>
      <c r="E11" s="240">
        <f t="shared" si="0"/>
      </c>
      <c r="F11" s="97"/>
    </row>
    <row r="12" spans="1:6" ht="15.75">
      <c r="A12" s="46"/>
      <c r="B12" s="86">
        <f>inputPrYr!B24</f>
        <v>0</v>
      </c>
      <c r="C12" s="330"/>
      <c r="D12" s="329">
        <f t="shared" si="1"/>
      </c>
      <c r="E12" s="240">
        <f t="shared" si="0"/>
      </c>
      <c r="F12" s="97"/>
    </row>
    <row r="13" spans="1:6" ht="15.75">
      <c r="A13" s="46"/>
      <c r="B13" s="86">
        <f>inputPrYr!B25</f>
        <v>0</v>
      </c>
      <c r="C13" s="330"/>
      <c r="D13" s="329">
        <f t="shared" si="1"/>
      </c>
      <c r="E13" s="240">
        <f t="shared" si="0"/>
      </c>
      <c r="F13" s="97"/>
    </row>
    <row r="14" spans="1:6" ht="15.75">
      <c r="A14" s="46"/>
      <c r="B14" s="86">
        <f>inputPrYr!B26</f>
        <v>0</v>
      </c>
      <c r="C14" s="330"/>
      <c r="D14" s="329">
        <f t="shared" si="1"/>
      </c>
      <c r="E14" s="240">
        <f t="shared" si="0"/>
      </c>
      <c r="F14" s="97"/>
    </row>
    <row r="15" spans="1:6" ht="15.75">
      <c r="A15" s="46"/>
      <c r="B15" s="86">
        <f>inputPrYr!B27</f>
        <v>0</v>
      </c>
      <c r="C15" s="330"/>
      <c r="D15" s="329">
        <f t="shared" si="1"/>
      </c>
      <c r="E15" s="240">
        <f t="shared" si="0"/>
      </c>
      <c r="F15" s="97"/>
    </row>
    <row r="16" spans="1:6" ht="15.75">
      <c r="A16" s="46"/>
      <c r="B16" s="86">
        <f>inputPrYr!B28</f>
        <v>0</v>
      </c>
      <c r="C16" s="330"/>
      <c r="D16" s="329">
        <f t="shared" si="1"/>
      </c>
      <c r="E16" s="240">
        <f t="shared" si="0"/>
      </c>
      <c r="F16" s="97"/>
    </row>
    <row r="17" spans="1:6" ht="15.75">
      <c r="A17" s="46"/>
      <c r="B17" s="86">
        <f>inputPrYr!B29</f>
        <v>0</v>
      </c>
      <c r="C17" s="330"/>
      <c r="D17" s="329">
        <f t="shared" si="1"/>
      </c>
      <c r="E17" s="240">
        <f t="shared" si="0"/>
      </c>
      <c r="F17" s="97"/>
    </row>
    <row r="18" spans="1:6" ht="15.75">
      <c r="A18" s="46"/>
      <c r="B18" s="86">
        <f>inputPrYr!B30</f>
        <v>0</v>
      </c>
      <c r="C18" s="330"/>
      <c r="D18" s="329">
        <f>IF(C18&gt;0,C18/$D$24,"")</f>
      </c>
      <c r="E18" s="240">
        <f>IF(C18&gt;0,ROUND(D18*$D$28,0),"")</f>
      </c>
      <c r="F18" s="97"/>
    </row>
    <row r="19" spans="1:6" ht="16.5" thickBot="1">
      <c r="A19" s="46"/>
      <c r="B19" s="64" t="s">
        <v>98</v>
      </c>
      <c r="C19" s="331">
        <f>SUM(C6:C18)</f>
        <v>580134</v>
      </c>
      <c r="D19" s="332">
        <f>SUM(D6:D17)</f>
        <v>53.19389970222881</v>
      </c>
      <c r="E19" s="331">
        <f>SUM(E6:E17)</f>
        <v>1394</v>
      </c>
      <c r="F19" s="97"/>
    </row>
    <row r="20" spans="1:6" ht="16.5" thickTop="1">
      <c r="A20" s="46"/>
      <c r="B20" s="46"/>
      <c r="C20" s="46"/>
      <c r="D20" s="46"/>
      <c r="E20" s="46"/>
      <c r="F20" s="97"/>
    </row>
    <row r="21" spans="1:6" ht="15.75">
      <c r="A21" s="46"/>
      <c r="B21" s="46"/>
      <c r="C21" s="46"/>
      <c r="D21" s="46"/>
      <c r="E21" s="46"/>
      <c r="F21" s="97"/>
    </row>
    <row r="22" spans="1:6" ht="15.75">
      <c r="A22" s="821" t="str">
        <f>CONCATENATE("",F1-1," July 1 Valuation:")</f>
        <v>2013 July 1 Valuation:</v>
      </c>
      <c r="B22" s="793"/>
      <c r="C22" s="821"/>
      <c r="D22" s="324">
        <f>inputOth!E7</f>
        <v>10906025</v>
      </c>
      <c r="E22" s="46"/>
      <c r="F22" s="97"/>
    </row>
    <row r="23" spans="1:6" ht="15.75">
      <c r="A23" s="46"/>
      <c r="B23" s="46"/>
      <c r="C23" s="46"/>
      <c r="D23" s="46"/>
      <c r="E23" s="46"/>
      <c r="F23" s="97"/>
    </row>
    <row r="24" spans="1:6" ht="15.75">
      <c r="A24" s="46"/>
      <c r="B24" s="821" t="s">
        <v>351</v>
      </c>
      <c r="C24" s="821"/>
      <c r="D24" s="333">
        <f>IF(D22&gt;0,(D22*0.001),"")</f>
        <v>10906.025</v>
      </c>
      <c r="E24" s="46"/>
      <c r="F24" s="97"/>
    </row>
    <row r="25" spans="1:6" ht="15.75">
      <c r="A25" s="46"/>
      <c r="B25" s="135"/>
      <c r="C25" s="135"/>
      <c r="D25" s="334"/>
      <c r="E25" s="46"/>
      <c r="F25" s="97"/>
    </row>
    <row r="26" spans="1:6" ht="15.75">
      <c r="A26" s="819" t="s">
        <v>352</v>
      </c>
      <c r="B26" s="822"/>
      <c r="C26" s="822"/>
      <c r="D26" s="335">
        <f>inputOth!E17</f>
        <v>26218</v>
      </c>
      <c r="E26" s="67"/>
      <c r="F26" s="67"/>
    </row>
    <row r="27" spans="1:6" ht="15">
      <c r="A27" s="67"/>
      <c r="B27" s="67"/>
      <c r="C27" s="67"/>
      <c r="D27" s="336"/>
      <c r="E27" s="67"/>
      <c r="F27" s="67"/>
    </row>
    <row r="28" spans="1:6" ht="15.75">
      <c r="A28" s="67"/>
      <c r="B28" s="819" t="s">
        <v>353</v>
      </c>
      <c r="C28" s="793"/>
      <c r="D28" s="337">
        <f>IF(D26&gt;0,(D26*0.001),"")</f>
        <v>26.218</v>
      </c>
      <c r="E28" s="67"/>
      <c r="F28" s="67"/>
    </row>
    <row r="29" spans="1:6" ht="15">
      <c r="A29" s="67"/>
      <c r="B29" s="67"/>
      <c r="C29" s="67"/>
      <c r="D29" s="67"/>
      <c r="E29" s="67"/>
      <c r="F29" s="67"/>
    </row>
    <row r="30" spans="1:6" ht="15">
      <c r="A30" s="67"/>
      <c r="B30" s="67"/>
      <c r="C30" s="67"/>
      <c r="D30" s="67"/>
      <c r="E30" s="67"/>
      <c r="F30" s="67"/>
    </row>
    <row r="31" spans="1:6" ht="15">
      <c r="A31" s="67"/>
      <c r="B31" s="67"/>
      <c r="C31" s="67"/>
      <c r="D31" s="67"/>
      <c r="E31" s="67"/>
      <c r="F31" s="67"/>
    </row>
    <row r="32" spans="1:6" ht="15.75">
      <c r="A32" s="368" t="str">
        <f>CONCATENATE("**This information comes from the ",F1," Budget Summary page.  See instructions tab #13 for completing")</f>
        <v>**This information comes from the 2014 Budget Summary page.  See instructions tab #13 for completing</v>
      </c>
      <c r="B32" s="67"/>
      <c r="C32" s="67"/>
      <c r="D32" s="67"/>
      <c r="E32" s="67"/>
      <c r="F32" s="67"/>
    </row>
    <row r="33" spans="1:6" ht="15.75">
      <c r="A33" s="368" t="s">
        <v>648</v>
      </c>
      <c r="B33" s="67"/>
      <c r="C33" s="67"/>
      <c r="D33" s="67"/>
      <c r="E33" s="67"/>
      <c r="F33" s="67"/>
    </row>
    <row r="34" spans="1:6" ht="15.75">
      <c r="A34" s="368"/>
      <c r="B34" s="67"/>
      <c r="C34" s="67"/>
      <c r="D34" s="67"/>
      <c r="E34" s="67"/>
      <c r="F34" s="67"/>
    </row>
    <row r="35" spans="1:6" ht="15.75">
      <c r="A35" s="368"/>
      <c r="B35" s="67"/>
      <c r="C35" s="67"/>
      <c r="D35" s="67"/>
      <c r="E35" s="67"/>
      <c r="F35" s="67"/>
    </row>
    <row r="36" spans="1:6" ht="15.75">
      <c r="A36" s="368"/>
      <c r="B36" s="67"/>
      <c r="C36" s="67"/>
      <c r="D36" s="67"/>
      <c r="E36" s="67"/>
      <c r="F36" s="67"/>
    </row>
    <row r="37" spans="1:6" ht="15.75">
      <c r="A37" s="368"/>
      <c r="B37" s="67"/>
      <c r="C37" s="67"/>
      <c r="D37" s="67"/>
      <c r="E37" s="67"/>
      <c r="F37" s="67"/>
    </row>
    <row r="38" spans="1:6" ht="15">
      <c r="A38" s="67"/>
      <c r="B38" s="67"/>
      <c r="C38" s="67"/>
      <c r="D38" s="67"/>
      <c r="E38" s="67"/>
      <c r="F38" s="67"/>
    </row>
    <row r="39" spans="1:6" ht="15.75">
      <c r="A39" s="67"/>
      <c r="B39" s="186" t="s">
        <v>121</v>
      </c>
      <c r="C39" s="280">
        <v>21</v>
      </c>
      <c r="D39" s="67"/>
      <c r="E39" s="67"/>
      <c r="F39" s="67"/>
    </row>
    <row r="40" spans="1:6" ht="15.75">
      <c r="A40" s="97"/>
      <c r="B40" s="46"/>
      <c r="C40" s="46"/>
      <c r="D40" s="338"/>
      <c r="E40" s="97"/>
      <c r="F40" s="97"/>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dimension ref="A1:N40"/>
  <sheetViews>
    <sheetView zoomScalePageLayoutView="0" workbookViewId="0" topLeftCell="A12">
      <selection activeCell="H10" sqref="H10"/>
    </sheetView>
  </sheetViews>
  <sheetFormatPr defaultColWidth="8.796875" defaultRowHeight="15"/>
  <cols>
    <col min="1" max="16384" width="8.8984375" style="1" customWidth="1"/>
  </cols>
  <sheetData>
    <row r="1" spans="1:7" ht="16.5" customHeight="1">
      <c r="A1" s="826" t="s">
        <v>234</v>
      </c>
      <c r="B1" s="826"/>
      <c r="C1" s="826"/>
      <c r="D1" s="826"/>
      <c r="E1" s="826"/>
      <c r="F1" s="826"/>
      <c r="G1" s="826"/>
    </row>
    <row r="2" spans="1:7" ht="16.5" customHeight="1">
      <c r="A2" s="826"/>
      <c r="B2" s="826"/>
      <c r="C2" s="826"/>
      <c r="D2" s="826"/>
      <c r="E2" s="826"/>
      <c r="F2" s="826"/>
      <c r="G2" s="826"/>
    </row>
    <row r="3" spans="1:7" ht="16.5" customHeight="1">
      <c r="A3" s="827"/>
      <c r="B3" s="827"/>
      <c r="C3" s="827"/>
      <c r="D3" s="827"/>
      <c r="E3" s="827"/>
      <c r="F3" s="827"/>
      <c r="G3" s="827"/>
    </row>
    <row r="4" spans="1:7" ht="16.5" customHeight="1">
      <c r="A4" s="824" t="str">
        <f>CONCATENATE("AN ORDINANCE ATTESTING TO AN INCREASE IN TAX REVENUES FOR BUDGET YEAR ",inputPrYr!C5," FOR THE ",(inputPrYr!$D$2))</f>
        <v>AN ORDINANCE ATTESTING TO AN INCREASE IN TAX REVENUES FOR BUDGET YEAR 2014 FOR THE City of Fredonia</v>
      </c>
      <c r="B4" s="824"/>
      <c r="C4" s="824"/>
      <c r="D4" s="824"/>
      <c r="E4" s="824"/>
      <c r="F4" s="824"/>
      <c r="G4" s="824"/>
    </row>
    <row r="5" spans="1:7" ht="16.5" customHeight="1">
      <c r="A5" s="824"/>
      <c r="B5" s="824"/>
      <c r="C5" s="824"/>
      <c r="D5" s="824"/>
      <c r="E5" s="824"/>
      <c r="F5" s="824"/>
      <c r="G5" s="824"/>
    </row>
    <row r="6" spans="1:7" ht="16.5" customHeight="1">
      <c r="A6" s="826"/>
      <c r="B6" s="826"/>
      <c r="C6" s="826"/>
      <c r="D6" s="826"/>
      <c r="E6" s="826"/>
      <c r="F6" s="826"/>
      <c r="G6" s="826"/>
    </row>
    <row r="7" spans="1:14" ht="16.5" customHeight="1">
      <c r="A7" s="824" t="str">
        <f>CONCATENATE("WHEREAS, the ",(inputPrYr!$D$2)," must continue to provide services to protect the health, safety, and welfare of the citizens of this community; and")</f>
        <v>WHEREAS, the City of Fredonia must continue to provide services to protect the health, safety, and welfare of the citizens of this community; and</v>
      </c>
      <c r="B7" s="824"/>
      <c r="C7" s="824"/>
      <c r="D7" s="824"/>
      <c r="E7" s="824"/>
      <c r="F7" s="824"/>
      <c r="G7" s="824"/>
      <c r="H7" s="24"/>
      <c r="I7" s="24"/>
      <c r="J7" s="24"/>
      <c r="K7" s="24"/>
      <c r="L7" s="24"/>
      <c r="M7" s="24"/>
      <c r="N7" s="24"/>
    </row>
    <row r="8" spans="1:14" ht="16.5" customHeight="1">
      <c r="A8" s="824"/>
      <c r="B8" s="824"/>
      <c r="C8" s="824"/>
      <c r="D8" s="824"/>
      <c r="E8" s="824"/>
      <c r="F8" s="824"/>
      <c r="G8" s="824"/>
      <c r="H8" s="24"/>
      <c r="I8" s="24"/>
      <c r="J8" s="24"/>
      <c r="K8" s="24"/>
      <c r="L8" s="24"/>
      <c r="M8" s="24"/>
      <c r="N8" s="24"/>
    </row>
    <row r="9" spans="1:7" ht="16.5" customHeight="1">
      <c r="A9" s="25"/>
      <c r="B9" s="25"/>
      <c r="C9" s="25"/>
      <c r="D9" s="25"/>
      <c r="E9" s="25"/>
      <c r="F9" s="25"/>
      <c r="G9" s="25"/>
    </row>
    <row r="10" spans="1:7" ht="16.5" customHeight="1">
      <c r="A10" s="824" t="s">
        <v>235</v>
      </c>
      <c r="B10" s="824"/>
      <c r="C10" s="824"/>
      <c r="D10" s="824"/>
      <c r="E10" s="824"/>
      <c r="F10" s="824"/>
      <c r="G10" s="824"/>
    </row>
    <row r="11" spans="1:7" ht="16.5" customHeight="1">
      <c r="A11" s="824"/>
      <c r="B11" s="824"/>
      <c r="C11" s="824"/>
      <c r="D11" s="824"/>
      <c r="E11" s="824"/>
      <c r="F11" s="824"/>
      <c r="G11" s="824"/>
    </row>
    <row r="12" spans="1:7" ht="16.5" customHeight="1">
      <c r="A12" s="25"/>
      <c r="B12" s="25"/>
      <c r="C12" s="25"/>
      <c r="D12" s="25"/>
      <c r="E12" s="25"/>
      <c r="F12" s="25"/>
      <c r="G12" s="25"/>
    </row>
    <row r="13" spans="1:14" ht="16.5" customHeight="1">
      <c r="A13" s="824" t="str">
        <f>CONCATENATE("NOW THEREFORE, be it ordained by the Governing Body of the ",(inputPrYr!$D$2),":")</f>
        <v>NOW THEREFORE, be it ordained by the Governing Body of the City of Fredonia:</v>
      </c>
      <c r="B13" s="824"/>
      <c r="C13" s="824"/>
      <c r="D13" s="824"/>
      <c r="E13" s="824"/>
      <c r="F13" s="824"/>
      <c r="G13" s="824"/>
      <c r="H13" s="24"/>
      <c r="I13" s="24"/>
      <c r="J13" s="24"/>
      <c r="K13" s="24"/>
      <c r="L13" s="24"/>
      <c r="M13" s="24"/>
      <c r="N13" s="24"/>
    </row>
    <row r="14" spans="1:14" ht="16.5" customHeight="1">
      <c r="A14" s="824"/>
      <c r="B14" s="824"/>
      <c r="C14" s="824"/>
      <c r="D14" s="824"/>
      <c r="E14" s="824"/>
      <c r="F14" s="824"/>
      <c r="G14" s="824"/>
      <c r="H14" s="24"/>
      <c r="I14" s="24"/>
      <c r="J14" s="24"/>
      <c r="K14" s="24"/>
      <c r="L14" s="24"/>
      <c r="M14" s="24"/>
      <c r="N14" s="24"/>
    </row>
    <row r="15" spans="1:14" ht="16.5" customHeight="1">
      <c r="A15" s="82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Fredonia  has scheduled a public hearing and has prepared the proposed budget necessary to fund city services from January 1, 2014 until December 31, 2014.</v>
      </c>
      <c r="B15" s="824"/>
      <c r="C15" s="824"/>
      <c r="D15" s="824"/>
      <c r="E15" s="824"/>
      <c r="F15" s="824"/>
      <c r="G15" s="824"/>
      <c r="H15" s="24"/>
      <c r="I15" s="24"/>
      <c r="J15" s="24"/>
      <c r="K15" s="24"/>
      <c r="L15" s="24"/>
      <c r="M15" s="24"/>
      <c r="N15" s="24"/>
    </row>
    <row r="16" spans="1:14" ht="16.5" customHeight="1">
      <c r="A16" s="824"/>
      <c r="B16" s="824"/>
      <c r="C16" s="824"/>
      <c r="D16" s="824"/>
      <c r="E16" s="824"/>
      <c r="F16" s="824"/>
      <c r="G16" s="824"/>
      <c r="H16" s="24"/>
      <c r="I16" s="24"/>
      <c r="J16" s="24"/>
      <c r="K16" s="24"/>
      <c r="L16" s="24"/>
      <c r="M16" s="24"/>
      <c r="N16" s="24"/>
    </row>
    <row r="17" spans="1:14" ht="16.5" customHeight="1">
      <c r="A17" s="824"/>
      <c r="B17" s="824"/>
      <c r="C17" s="824"/>
      <c r="D17" s="824"/>
      <c r="E17" s="824"/>
      <c r="F17" s="824"/>
      <c r="G17" s="824"/>
      <c r="H17" s="24"/>
      <c r="I17" s="24"/>
      <c r="J17" s="24"/>
      <c r="K17" s="24"/>
      <c r="L17" s="24"/>
      <c r="M17" s="24"/>
      <c r="N17" s="24"/>
    </row>
    <row r="18" spans="1:7" ht="16.5" customHeight="1">
      <c r="A18" s="24"/>
      <c r="B18" s="24"/>
      <c r="C18" s="24"/>
      <c r="D18" s="24"/>
      <c r="E18" s="24"/>
      <c r="F18" s="24"/>
      <c r="G18" s="24"/>
    </row>
    <row r="19" spans="1:7" ht="16.5" customHeight="1">
      <c r="A19" s="825" t="s">
        <v>297</v>
      </c>
      <c r="B19" s="825"/>
      <c r="C19" s="825"/>
      <c r="D19" s="825"/>
      <c r="E19" s="825"/>
      <c r="F19" s="825"/>
      <c r="G19" s="825"/>
    </row>
    <row r="20" spans="1:7" ht="16.5" customHeight="1">
      <c r="A20" s="825" t="s">
        <v>298</v>
      </c>
      <c r="B20" s="825"/>
      <c r="C20" s="825"/>
      <c r="D20" s="825"/>
      <c r="E20" s="825"/>
      <c r="F20" s="825"/>
      <c r="G20" s="825"/>
    </row>
    <row r="21" spans="1:7" ht="16.5" customHeight="1">
      <c r="A21" s="825" t="str">
        <f>CONCATENATE("necessary to budget property tax revenues in an amount exceeding the levy in the ",inputPrYr!C5-1,"")</f>
        <v>necessary to budget property tax revenues in an amount exceeding the levy in the 2013</v>
      </c>
      <c r="B21" s="825"/>
      <c r="C21" s="825"/>
      <c r="D21" s="825"/>
      <c r="E21" s="825"/>
      <c r="F21" s="825"/>
      <c r="G21" s="825"/>
    </row>
    <row r="22" spans="1:7" ht="16.5" customHeight="1">
      <c r="A22" s="26" t="s">
        <v>299</v>
      </c>
      <c r="B22" s="26"/>
      <c r="C22" s="26"/>
      <c r="D22" s="26"/>
      <c r="E22" s="26"/>
      <c r="F22" s="26"/>
      <c r="G22" s="26"/>
    </row>
    <row r="23" spans="1:7" ht="16.5" customHeight="1">
      <c r="A23" s="24"/>
      <c r="B23" s="24"/>
      <c r="C23" s="24"/>
      <c r="D23" s="24"/>
      <c r="E23" s="24"/>
      <c r="F23" s="24"/>
      <c r="G23" s="24"/>
    </row>
    <row r="24" spans="1:7" ht="16.5" customHeight="1">
      <c r="A24" s="824" t="s">
        <v>236</v>
      </c>
      <c r="B24" s="824"/>
      <c r="C24" s="824"/>
      <c r="D24" s="824"/>
      <c r="E24" s="824"/>
      <c r="F24" s="824"/>
      <c r="G24" s="824"/>
    </row>
    <row r="25" spans="1:7" ht="16.5" customHeight="1">
      <c r="A25" s="824"/>
      <c r="B25" s="824"/>
      <c r="C25" s="824"/>
      <c r="D25" s="824"/>
      <c r="E25" s="824"/>
      <c r="F25" s="824"/>
      <c r="G25" s="824"/>
    </row>
    <row r="26" spans="1:7" ht="16.5" customHeight="1">
      <c r="A26" s="24"/>
      <c r="B26" s="24"/>
      <c r="C26" s="24"/>
      <c r="D26" s="24"/>
      <c r="E26" s="24"/>
      <c r="F26" s="24"/>
      <c r="G26" s="24"/>
    </row>
    <row r="27" spans="1:7" ht="16.5" customHeight="1">
      <c r="A27" s="824" t="str">
        <f>CONCATENATE("Passed and approved by the Governing Body on this ______ day of __________, ",inputPrYr!C5-1,".")</f>
        <v>Passed and approved by the Governing Body on this ______ day of __________, 2013.</v>
      </c>
      <c r="B27" s="824"/>
      <c r="C27" s="824"/>
      <c r="D27" s="824"/>
      <c r="E27" s="824"/>
      <c r="F27" s="824"/>
      <c r="G27" s="824"/>
    </row>
    <row r="28" spans="1:7" ht="16.5" customHeight="1">
      <c r="A28" s="824"/>
      <c r="B28" s="824"/>
      <c r="C28" s="824"/>
      <c r="D28" s="824"/>
      <c r="E28" s="824"/>
      <c r="F28" s="824"/>
      <c r="G28" s="824"/>
    </row>
    <row r="29" ht="16.5" customHeight="1"/>
    <row r="30" spans="1:7" ht="16.5" customHeight="1">
      <c r="A30" s="823" t="s">
        <v>237</v>
      </c>
      <c r="B30" s="823"/>
      <c r="C30" s="823"/>
      <c r="D30" s="823"/>
      <c r="E30" s="823"/>
      <c r="F30" s="823"/>
      <c r="G30" s="823"/>
    </row>
    <row r="31" spans="1:7" ht="16.5" customHeight="1">
      <c r="A31" s="823" t="s">
        <v>242</v>
      </c>
      <c r="B31" s="823"/>
      <c r="C31" s="823"/>
      <c r="D31" s="823"/>
      <c r="E31" s="823"/>
      <c r="F31" s="823"/>
      <c r="G31" s="823"/>
    </row>
    <row r="32" ht="16.5" customHeight="1">
      <c r="A32" s="1" t="s">
        <v>238</v>
      </c>
    </row>
    <row r="33" ht="16.5" customHeight="1">
      <c r="B33" s="1" t="s">
        <v>239</v>
      </c>
    </row>
    <row r="34" ht="16.5" customHeight="1"/>
    <row r="35" ht="16.5" customHeight="1"/>
    <row r="36" ht="16.5" customHeight="1">
      <c r="A36" s="1" t="s">
        <v>240</v>
      </c>
    </row>
    <row r="37" ht="16.5" customHeight="1"/>
    <row r="38" ht="16.5" customHeight="1"/>
    <row r="39" ht="16.5" customHeight="1"/>
    <row r="40" ht="16.5" customHeight="1">
      <c r="A40" s="1" t="s">
        <v>241</v>
      </c>
    </row>
  </sheetData>
  <sheetProtection sheet="1" objects="1" scenarios="1"/>
  <mergeCells count="16">
    <mergeCell ref="A1:G1"/>
    <mergeCell ref="A2:G2"/>
    <mergeCell ref="A3:G3"/>
    <mergeCell ref="A7:G8"/>
    <mergeCell ref="A4:G5"/>
    <mergeCell ref="A6:G6"/>
    <mergeCell ref="A30:G30"/>
    <mergeCell ref="A31:G31"/>
    <mergeCell ref="A27:G28"/>
    <mergeCell ref="A10:G11"/>
    <mergeCell ref="A13:G14"/>
    <mergeCell ref="A24:G25"/>
    <mergeCell ref="A15:G17"/>
    <mergeCell ref="A19:G19"/>
    <mergeCell ref="A20:G20"/>
    <mergeCell ref="A21:G21"/>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92"/>
  <sheetViews>
    <sheetView zoomScalePageLayoutView="0" workbookViewId="0" topLeftCell="A34">
      <selection activeCell="B55" sqref="B55"/>
    </sheetView>
  </sheetViews>
  <sheetFormatPr defaultColWidth="8.796875" defaultRowHeight="15"/>
  <cols>
    <col min="1" max="1" width="15.796875" style="105" customWidth="1"/>
    <col min="2" max="2" width="20.796875" style="105" customWidth="1"/>
    <col min="3" max="3" width="9.796875" style="105" customWidth="1"/>
    <col min="4" max="4" width="15.09765625" style="105" customWidth="1"/>
    <col min="5" max="5" width="15.796875" style="105" customWidth="1"/>
    <col min="6" max="16384" width="8.8984375" style="105" customWidth="1"/>
  </cols>
  <sheetData>
    <row r="1" spans="1:5" ht="15.75">
      <c r="A1" s="173" t="str">
        <f>inputPrYr!$D$2</f>
        <v>City of Fredonia</v>
      </c>
      <c r="B1" s="67"/>
      <c r="C1" s="67"/>
      <c r="D1" s="67"/>
      <c r="E1" s="172">
        <f>inputPrYr!C5</f>
        <v>2014</v>
      </c>
    </row>
    <row r="2" spans="1:5" ht="15">
      <c r="A2" s="67"/>
      <c r="B2" s="67"/>
      <c r="C2" s="67"/>
      <c r="D2" s="67"/>
      <c r="E2" s="67"/>
    </row>
    <row r="3" spans="1:5" ht="15.75">
      <c r="A3" s="744" t="s">
        <v>327</v>
      </c>
      <c r="B3" s="745"/>
      <c r="C3" s="745"/>
      <c r="D3" s="745"/>
      <c r="E3" s="745"/>
    </row>
    <row r="4" spans="1:5" ht="15">
      <c r="A4" s="67"/>
      <c r="B4" s="67"/>
      <c r="C4" s="67"/>
      <c r="D4" s="67"/>
      <c r="E4" s="67"/>
    </row>
    <row r="5" spans="1:5" ht="15">
      <c r="A5" s="67"/>
      <c r="B5" s="67"/>
      <c r="C5" s="67"/>
      <c r="D5" s="67"/>
      <c r="E5" s="67"/>
    </row>
    <row r="6" spans="1:5" ht="15.75">
      <c r="A6" s="58" t="str">
        <f>CONCATENATE("From the County Clerks ",E1," Budget Information:")</f>
        <v>From the County Clerks 2014 Budget Information:</v>
      </c>
      <c r="B6" s="59"/>
      <c r="C6" s="46"/>
      <c r="D6" s="46"/>
      <c r="E6" s="96"/>
    </row>
    <row r="7" spans="1:5" ht="15.75">
      <c r="A7" s="106" t="str">
        <f>CONCATENATE("Total Assessed Valuation for ",E1-1,"")</f>
        <v>Total Assessed Valuation for 2013</v>
      </c>
      <c r="B7" s="71"/>
      <c r="C7" s="71"/>
      <c r="D7" s="71"/>
      <c r="E7" s="66">
        <v>10906025</v>
      </c>
    </row>
    <row r="8" spans="1:5" ht="15.75">
      <c r="A8" s="106" t="str">
        <f>CONCATENATE("New Improvements for ",E1-1,"")</f>
        <v>New Improvements for 2013</v>
      </c>
      <c r="B8" s="71"/>
      <c r="C8" s="71"/>
      <c r="D8" s="71"/>
      <c r="E8" s="107">
        <v>26656</v>
      </c>
    </row>
    <row r="9" spans="1:5" ht="15.75">
      <c r="A9" s="106" t="str">
        <f>CONCATENATE("Personal Property excluding oil, gas, mobile homes - ",E1-1,"")</f>
        <v>Personal Property excluding oil, gas, mobile homes - 2013</v>
      </c>
      <c r="B9" s="71"/>
      <c r="C9" s="71"/>
      <c r="D9" s="71"/>
      <c r="E9" s="107">
        <v>545430</v>
      </c>
    </row>
    <row r="10" spans="1:5" ht="15.75">
      <c r="A10" s="108" t="s">
        <v>259</v>
      </c>
      <c r="B10" s="71"/>
      <c r="C10" s="71"/>
      <c r="D10" s="71"/>
      <c r="E10" s="86"/>
    </row>
    <row r="11" spans="1:5" ht="15.75">
      <c r="A11" s="106" t="s">
        <v>217</v>
      </c>
      <c r="B11" s="71"/>
      <c r="C11" s="71"/>
      <c r="D11" s="71"/>
      <c r="E11" s="107">
        <v>0</v>
      </c>
    </row>
    <row r="12" spans="1:5" ht="15.75">
      <c r="A12" s="106" t="s">
        <v>218</v>
      </c>
      <c r="B12" s="71"/>
      <c r="C12" s="71"/>
      <c r="D12" s="71"/>
      <c r="E12" s="107">
        <v>0</v>
      </c>
    </row>
    <row r="13" spans="1:5" ht="15.75">
      <c r="A13" s="106" t="s">
        <v>219</v>
      </c>
      <c r="B13" s="71"/>
      <c r="C13" s="71"/>
      <c r="D13" s="71"/>
      <c r="E13" s="107">
        <v>0</v>
      </c>
    </row>
    <row r="14" spans="1:5" ht="15.75">
      <c r="A14" s="106" t="str">
        <f>CONCATENATE("Property that has changed in use for ",E1-1,"")</f>
        <v>Property that has changed in use for 2013</v>
      </c>
      <c r="B14" s="71"/>
      <c r="C14" s="71"/>
      <c r="D14" s="71"/>
      <c r="E14" s="107">
        <v>9277</v>
      </c>
    </row>
    <row r="15" spans="1:5" ht="15.75">
      <c r="A15" s="106" t="str">
        <f>CONCATENATE("Personal Property  excluding oil, gas, mobile homes- ",E1-2,"")</f>
        <v>Personal Property  excluding oil, gas, mobile homes- 2012</v>
      </c>
      <c r="B15" s="71"/>
      <c r="C15" s="71"/>
      <c r="D15" s="71"/>
      <c r="E15" s="107">
        <v>545430</v>
      </c>
    </row>
    <row r="16" spans="1:5" ht="15.75">
      <c r="A16" s="106" t="str">
        <f>CONCATENATE("Gross earnings (intangible) tax estimate for ",E1,"")</f>
        <v>Gross earnings (intangible) tax estimate for 2014</v>
      </c>
      <c r="B16" s="71"/>
      <c r="C16" s="71"/>
      <c r="D16" s="92"/>
      <c r="E16" s="66">
        <v>0</v>
      </c>
    </row>
    <row r="17" spans="1:5" ht="15.75">
      <c r="A17" s="106" t="s">
        <v>260</v>
      </c>
      <c r="B17" s="71"/>
      <c r="C17" s="71"/>
      <c r="D17" s="71"/>
      <c r="E17" s="102">
        <v>26218</v>
      </c>
    </row>
    <row r="18" spans="1:5" ht="15.75">
      <c r="A18" s="74"/>
      <c r="B18" s="75"/>
      <c r="C18" s="75"/>
      <c r="D18" s="75"/>
      <c r="E18" s="83"/>
    </row>
    <row r="19" spans="1:5" ht="15.75">
      <c r="A19" s="74" t="str">
        <f>CONCATENATE("Actual Tax Rates for the ",E1-1," Budget:")</f>
        <v>Actual Tax Rates for the 2013 Budget:</v>
      </c>
      <c r="B19" s="75"/>
      <c r="C19" s="75"/>
      <c r="D19" s="75"/>
      <c r="E19" s="83"/>
    </row>
    <row r="20" spans="1:5" ht="15.75">
      <c r="A20" s="753" t="s">
        <v>90</v>
      </c>
      <c r="B20" s="754"/>
      <c r="C20" s="67"/>
      <c r="D20" s="109" t="s">
        <v>142</v>
      </c>
      <c r="E20" s="83"/>
    </row>
    <row r="21" spans="1:5" ht="15.75">
      <c r="A21" s="69" t="s">
        <v>74</v>
      </c>
      <c r="B21" s="70"/>
      <c r="C21" s="75"/>
      <c r="D21" s="110">
        <v>35.389</v>
      </c>
      <c r="E21" s="83"/>
    </row>
    <row r="22" spans="1:5" ht="15.75">
      <c r="A22" s="106" t="s">
        <v>45</v>
      </c>
      <c r="B22" s="71"/>
      <c r="C22" s="75"/>
      <c r="D22" s="111">
        <v>7.692</v>
      </c>
      <c r="E22" s="83"/>
    </row>
    <row r="23" spans="1:5" ht="15.75">
      <c r="A23" s="106" t="str">
        <f>IF(inputPrYr!B19&gt;" ",(inputPrYr!B19)," ")</f>
        <v>Library</v>
      </c>
      <c r="B23" s="71"/>
      <c r="C23" s="75"/>
      <c r="D23" s="111">
        <v>6.731</v>
      </c>
      <c r="E23" s="83"/>
    </row>
    <row r="24" spans="1:5" ht="15.75">
      <c r="A24" s="106" t="str">
        <f>IF(inputPrYr!B21&gt;" ",(inputPrYr!B21)," ")</f>
        <v>Industrial Development</v>
      </c>
      <c r="B24" s="71"/>
      <c r="C24" s="75"/>
      <c r="D24" s="111">
        <v>3.525</v>
      </c>
      <c r="E24" s="83"/>
    </row>
    <row r="25" spans="1:5" ht="15.75">
      <c r="A25" s="106" t="str">
        <f>IF(inputPrYr!B22&gt;" ",(inputPrYr!B22)," ")</f>
        <v> </v>
      </c>
      <c r="B25" s="71"/>
      <c r="C25" s="75"/>
      <c r="D25" s="111"/>
      <c r="E25" s="83"/>
    </row>
    <row r="26" spans="1:5" ht="15.75">
      <c r="A26" s="106" t="str">
        <f>IF(inputPrYr!B23&gt;" ",(inputPrYr!B23)," ")</f>
        <v> </v>
      </c>
      <c r="B26" s="112"/>
      <c r="C26" s="75"/>
      <c r="D26" s="113"/>
      <c r="E26" s="83"/>
    </row>
    <row r="27" spans="1:5" ht="15.75">
      <c r="A27" s="106" t="str">
        <f>IF(inputPrYr!B24&gt;" ",(inputPrYr!B24)," ")</f>
        <v> </v>
      </c>
      <c r="B27" s="112"/>
      <c r="C27" s="75"/>
      <c r="D27" s="113"/>
      <c r="E27" s="83"/>
    </row>
    <row r="28" spans="1:5" ht="15.75">
      <c r="A28" s="106" t="str">
        <f>IF(inputPrYr!B25&gt;" ",(inputPrYr!B25)," ")</f>
        <v> </v>
      </c>
      <c r="B28" s="112"/>
      <c r="C28" s="75"/>
      <c r="D28" s="113"/>
      <c r="E28" s="83"/>
    </row>
    <row r="29" spans="1:5" ht="15.75">
      <c r="A29" s="106" t="str">
        <f>IF(inputPrYr!B26&gt;" ",(inputPrYr!B26)," ")</f>
        <v> </v>
      </c>
      <c r="B29" s="112"/>
      <c r="C29" s="75"/>
      <c r="D29" s="113"/>
      <c r="E29" s="83"/>
    </row>
    <row r="30" spans="1:5" ht="15.75">
      <c r="A30" s="106" t="str">
        <f>IF(inputPrYr!B27&gt;" ",(inputPrYr!B27)," ")</f>
        <v> </v>
      </c>
      <c r="B30" s="112"/>
      <c r="C30" s="75"/>
      <c r="D30" s="113"/>
      <c r="E30" s="83"/>
    </row>
    <row r="31" spans="1:5" ht="15.75">
      <c r="A31" s="106" t="str">
        <f>IF(inputPrYr!B28&gt;" ",(inputPrYr!B28)," ")</f>
        <v> </v>
      </c>
      <c r="B31" s="112"/>
      <c r="C31" s="75"/>
      <c r="D31" s="113"/>
      <c r="E31" s="83"/>
    </row>
    <row r="32" spans="1:5" ht="15.75">
      <c r="A32" s="106" t="str">
        <f>IF(inputPrYr!B29&gt;" ",(inputPrYr!B29)," ")</f>
        <v> </v>
      </c>
      <c r="B32" s="112"/>
      <c r="C32" s="75"/>
      <c r="D32" s="113"/>
      <c r="E32" s="83"/>
    </row>
    <row r="33" spans="1:5" ht="15.75">
      <c r="A33" s="106" t="str">
        <f>IF(inputPrYr!B30&gt;" ",(inputPrYr!B30)," ")</f>
        <v> </v>
      </c>
      <c r="B33" s="71"/>
      <c r="C33" s="75"/>
      <c r="D33" s="113"/>
      <c r="E33" s="83"/>
    </row>
    <row r="34" spans="1:5" ht="15.75">
      <c r="A34" s="114"/>
      <c r="B34" s="75"/>
      <c r="C34" s="272" t="s">
        <v>76</v>
      </c>
      <c r="D34" s="604">
        <f>SUM(D21:D33)</f>
        <v>53.337</v>
      </c>
      <c r="E34" s="114"/>
    </row>
    <row r="35" spans="1:5" ht="15">
      <c r="A35" s="114"/>
      <c r="B35" s="114"/>
      <c r="C35" s="114"/>
      <c r="D35" s="114"/>
      <c r="E35" s="114"/>
    </row>
    <row r="36" spans="1:5" ht="15.75">
      <c r="A36" s="70" t="str">
        <f>CONCATENATE("Final Assessed Valuation from the November 1, ",E1-2," Abstract")</f>
        <v>Final Assessed Valuation from the November 1, 2012 Abstract</v>
      </c>
      <c r="B36" s="115"/>
      <c r="C36" s="115"/>
      <c r="D36" s="115"/>
      <c r="E36" s="102">
        <v>10813501</v>
      </c>
    </row>
    <row r="37" spans="1:5" ht="15">
      <c r="A37" s="114"/>
      <c r="B37" s="114"/>
      <c r="C37" s="114"/>
      <c r="D37" s="114"/>
      <c r="E37" s="114"/>
    </row>
    <row r="38" spans="1:5" ht="15.75">
      <c r="A38" s="116" t="str">
        <f>CONCATENATE("From the County Treasurer's Budget Information - ",E1," Budget Year Estimates:")</f>
        <v>From the County Treasurer's Budget Information - 2014 Budget Year Estimates:</v>
      </c>
      <c r="B38" s="57"/>
      <c r="C38" s="57"/>
      <c r="D38" s="117"/>
      <c r="E38" s="96"/>
    </row>
    <row r="39" spans="1:5" ht="15.75">
      <c r="A39" s="69" t="s">
        <v>77</v>
      </c>
      <c r="B39" s="70"/>
      <c r="C39" s="70"/>
      <c r="D39" s="118"/>
      <c r="E39" s="66">
        <v>95526.81</v>
      </c>
    </row>
    <row r="40" spans="1:5" ht="15.75">
      <c r="A40" s="106" t="s">
        <v>78</v>
      </c>
      <c r="B40" s="71"/>
      <c r="C40" s="71"/>
      <c r="D40" s="119"/>
      <c r="E40" s="66">
        <v>1154.21</v>
      </c>
    </row>
    <row r="41" spans="1:5" ht="15.75">
      <c r="A41" s="106" t="s">
        <v>261</v>
      </c>
      <c r="B41" s="71"/>
      <c r="C41" s="71"/>
      <c r="D41" s="119"/>
      <c r="E41" s="66">
        <v>2079.04</v>
      </c>
    </row>
    <row r="42" spans="1:5" ht="15.75">
      <c r="A42" s="106" t="s">
        <v>262</v>
      </c>
      <c r="B42" s="71"/>
      <c r="C42" s="71"/>
      <c r="D42" s="119"/>
      <c r="E42" s="66">
        <v>0</v>
      </c>
    </row>
    <row r="43" spans="1:5" ht="15.75">
      <c r="A43" s="106" t="s">
        <v>263</v>
      </c>
      <c r="B43" s="71"/>
      <c r="C43" s="71"/>
      <c r="D43" s="119"/>
      <c r="E43" s="66">
        <v>0</v>
      </c>
    </row>
    <row r="44" spans="1:5" ht="15.75">
      <c r="A44" s="46" t="s">
        <v>264</v>
      </c>
      <c r="B44" s="46"/>
      <c r="C44" s="46"/>
      <c r="D44" s="46"/>
      <c r="E44" s="46"/>
    </row>
    <row r="45" spans="1:5" ht="15.75">
      <c r="A45" s="45" t="s">
        <v>97</v>
      </c>
      <c r="B45" s="55"/>
      <c r="C45" s="55"/>
      <c r="D45" s="46"/>
      <c r="E45" s="46"/>
    </row>
    <row r="46" spans="1:5" ht="15.75">
      <c r="A46" s="69" t="str">
        <f>CONCATENATE("Actual Delinquency for ",E1-3," Tax - (rate .01213 = 1.213%, key in 1.2)")</f>
        <v>Actual Delinquency for 2011 Tax - (rate .01213 = 1.213%, key in 1.2)</v>
      </c>
      <c r="B46" s="70"/>
      <c r="C46" s="70"/>
      <c r="D46" s="80"/>
      <c r="E46" s="603">
        <v>0.04874</v>
      </c>
    </row>
    <row r="47" spans="1:5" ht="15.75">
      <c r="A47" s="106" t="s">
        <v>864</v>
      </c>
      <c r="B47" s="106"/>
      <c r="C47" s="71"/>
      <c r="D47" s="71"/>
      <c r="E47" s="603">
        <v>0.049</v>
      </c>
    </row>
    <row r="48" spans="1:5" ht="15.75">
      <c r="A48" s="46"/>
      <c r="B48" s="46"/>
      <c r="C48" s="46"/>
      <c r="D48" s="46"/>
      <c r="E48" s="46"/>
    </row>
    <row r="49" spans="1:5" ht="15.75">
      <c r="A49" s="120" t="s">
        <v>4</v>
      </c>
      <c r="B49" s="121"/>
      <c r="C49" s="122"/>
      <c r="D49" s="122"/>
      <c r="E49" s="122"/>
    </row>
    <row r="50" spans="1:5" ht="15.75">
      <c r="A50" s="123" t="str">
        <f>CONCATENATE("",E1," State Distribution for Kansas Gas Tax")</f>
        <v>2014 State Distribution for Kansas Gas Tax</v>
      </c>
      <c r="B50" s="124"/>
      <c r="C50" s="124"/>
      <c r="D50" s="125"/>
      <c r="E50" s="102">
        <v>63950</v>
      </c>
    </row>
    <row r="51" spans="1:5" ht="15.75">
      <c r="A51" s="126" t="str">
        <f>CONCATENATE("",E1," County Transfers for Gas**")</f>
        <v>2014 County Transfers for Gas**</v>
      </c>
      <c r="B51" s="127"/>
      <c r="C51" s="127"/>
      <c r="D51" s="128"/>
      <c r="E51" s="102"/>
    </row>
    <row r="52" spans="1:5" ht="15.75">
      <c r="A52" s="126" t="str">
        <f>CONCATENATE("Adjusted ",E1-1," State Distribution for Kansas Gas Tax")</f>
        <v>Adjusted 2013 State Distribution for Kansas Gas Tax</v>
      </c>
      <c r="B52" s="127"/>
      <c r="C52" s="127"/>
      <c r="D52" s="128"/>
      <c r="E52" s="102">
        <v>61740</v>
      </c>
    </row>
    <row r="53" spans="1:5" ht="15.75">
      <c r="A53" s="126" t="str">
        <f>CONCATENATE("Adjusted ",E1-1," County Transfers for Gas**")</f>
        <v>Adjusted 2013 County Transfers for Gas**</v>
      </c>
      <c r="B53" s="127"/>
      <c r="C53" s="127"/>
      <c r="D53" s="128"/>
      <c r="E53" s="102"/>
    </row>
    <row r="54" spans="1:5" ht="15">
      <c r="A54" s="755" t="s">
        <v>322</v>
      </c>
      <c r="B54" s="756"/>
      <c r="C54" s="756"/>
      <c r="D54" s="756"/>
      <c r="E54" s="756"/>
    </row>
    <row r="55" spans="1:5" ht="15">
      <c r="A55" s="129" t="s">
        <v>323</v>
      </c>
      <c r="B55" s="129"/>
      <c r="C55" s="129"/>
      <c r="D55" s="129"/>
      <c r="E55" s="129"/>
    </row>
    <row r="56" spans="1:5" ht="15">
      <c r="A56" s="67"/>
      <c r="B56" s="67"/>
      <c r="C56" s="67"/>
      <c r="D56" s="67"/>
      <c r="E56" s="67"/>
    </row>
    <row r="57" spans="1:5" ht="15.75">
      <c r="A57" s="757" t="str">
        <f>CONCATENATE("From the ",E1-2," Budget Certificate Page")</f>
        <v>From the 2012 Budget Certificate Page</v>
      </c>
      <c r="B57" s="758"/>
      <c r="C57" s="67"/>
      <c r="D57" s="67"/>
      <c r="E57" s="67"/>
    </row>
    <row r="58" spans="1:5" ht="15.75">
      <c r="A58" s="130"/>
      <c r="B58" s="130" t="str">
        <f>CONCATENATE("",E1-2," Expenditure Amounts")</f>
        <v>2012 Expenditure Amounts</v>
      </c>
      <c r="C58" s="751" t="str">
        <f>CONCATENATE("Note: If the ",E1-2," budget was amended, then the")</f>
        <v>Note: If the 2012 budget was amended, then the</v>
      </c>
      <c r="D58" s="752"/>
      <c r="E58" s="752"/>
    </row>
    <row r="59" spans="1:5" ht="15.75">
      <c r="A59" s="131" t="s">
        <v>9</v>
      </c>
      <c r="B59" s="131" t="s">
        <v>10</v>
      </c>
      <c r="C59" s="132" t="s">
        <v>11</v>
      </c>
      <c r="D59" s="133"/>
      <c r="E59" s="133"/>
    </row>
    <row r="60" spans="1:5" ht="15.75">
      <c r="A60" s="134" t="str">
        <f>inputPrYr!B17</f>
        <v>General</v>
      </c>
      <c r="B60" s="102">
        <v>3876011</v>
      </c>
      <c r="C60" s="132" t="s">
        <v>12</v>
      </c>
      <c r="D60" s="133"/>
      <c r="E60" s="133"/>
    </row>
    <row r="61" spans="1:5" ht="15.75">
      <c r="A61" s="134" t="str">
        <f>inputPrYr!B18</f>
        <v>Bond &amp; Interest</v>
      </c>
      <c r="B61" s="102">
        <v>458336</v>
      </c>
      <c r="C61" s="132"/>
      <c r="D61" s="133"/>
      <c r="E61" s="133"/>
    </row>
    <row r="62" spans="1:5" ht="15.75">
      <c r="A62" s="134" t="str">
        <f>inputPrYr!B19</f>
        <v>Library</v>
      </c>
      <c r="B62" s="102">
        <v>85111</v>
      </c>
      <c r="C62" s="67"/>
      <c r="D62" s="67"/>
      <c r="E62" s="67"/>
    </row>
    <row r="63" spans="1:5" ht="15.75">
      <c r="A63" s="134" t="str">
        <f>inputPrYr!B21</f>
        <v>Industrial Development</v>
      </c>
      <c r="B63" s="102">
        <v>60392</v>
      </c>
      <c r="C63" s="67"/>
      <c r="D63" s="67"/>
      <c r="E63" s="67"/>
    </row>
    <row r="64" spans="1:5" ht="15.75">
      <c r="A64" s="134">
        <f>inputPrYr!B22</f>
        <v>0</v>
      </c>
      <c r="B64" s="102"/>
      <c r="C64" s="67"/>
      <c r="D64" s="67"/>
      <c r="E64" s="67"/>
    </row>
    <row r="65" spans="1:5" ht="15.75">
      <c r="A65" s="134">
        <f>inputPrYr!B23</f>
        <v>0</v>
      </c>
      <c r="B65" s="102"/>
      <c r="C65" s="67"/>
      <c r="D65" s="67"/>
      <c r="E65" s="67"/>
    </row>
    <row r="66" spans="1:5" ht="15.75">
      <c r="A66" s="134">
        <f>inputPrYr!B24</f>
        <v>0</v>
      </c>
      <c r="B66" s="102"/>
      <c r="C66" s="67"/>
      <c r="D66" s="67"/>
      <c r="E66" s="67"/>
    </row>
    <row r="67" spans="1:5" ht="15.75">
      <c r="A67" s="134">
        <f>inputPrYr!B25</f>
        <v>0</v>
      </c>
      <c r="B67" s="102"/>
      <c r="C67" s="67"/>
      <c r="D67" s="67"/>
      <c r="E67" s="67"/>
    </row>
    <row r="68" spans="1:5" ht="15.75">
      <c r="A68" s="134">
        <f>inputPrYr!B26</f>
        <v>0</v>
      </c>
      <c r="B68" s="102"/>
      <c r="C68" s="67"/>
      <c r="D68" s="67"/>
      <c r="E68" s="67"/>
    </row>
    <row r="69" spans="1:5" ht="15.75">
      <c r="A69" s="134">
        <f>inputPrYr!B27</f>
        <v>0</v>
      </c>
      <c r="B69" s="102"/>
      <c r="C69" s="67"/>
      <c r="D69" s="67"/>
      <c r="E69" s="67"/>
    </row>
    <row r="70" spans="1:5" ht="15.75">
      <c r="A70" s="134">
        <f>inputPrYr!B28</f>
        <v>0</v>
      </c>
      <c r="B70" s="102"/>
      <c r="C70" s="67"/>
      <c r="D70" s="67"/>
      <c r="E70" s="67"/>
    </row>
    <row r="71" spans="1:5" ht="15.75">
      <c r="A71" s="134">
        <f>inputPrYr!B29</f>
        <v>0</v>
      </c>
      <c r="B71" s="102"/>
      <c r="C71" s="67"/>
      <c r="D71" s="67"/>
      <c r="E71" s="67"/>
    </row>
    <row r="72" spans="1:5" ht="15.75">
      <c r="A72" s="134">
        <f>inputPrYr!B30</f>
        <v>0</v>
      </c>
      <c r="B72" s="102"/>
      <c r="C72" s="67"/>
      <c r="D72" s="67"/>
      <c r="E72" s="67"/>
    </row>
    <row r="73" spans="1:5" ht="15.75">
      <c r="A73" s="134" t="str">
        <f>inputPrYr!B34</f>
        <v>Special Highway</v>
      </c>
      <c r="B73" s="102">
        <v>65400</v>
      </c>
      <c r="C73" s="67"/>
      <c r="D73" s="67"/>
      <c r="E73" s="67"/>
    </row>
    <row r="74" spans="1:5" ht="15.75">
      <c r="A74" s="134" t="str">
        <f>inputPrYr!B35</f>
        <v>Special Park</v>
      </c>
      <c r="B74" s="102">
        <v>8500</v>
      </c>
      <c r="C74" s="67"/>
      <c r="D74" s="67"/>
      <c r="E74" s="67"/>
    </row>
    <row r="75" spans="1:5" ht="15.75">
      <c r="A75" s="134" t="str">
        <f>inputPrYr!B36</f>
        <v>Water</v>
      </c>
      <c r="B75" s="102">
        <v>848929</v>
      </c>
      <c r="C75" s="67"/>
      <c r="D75" s="67"/>
      <c r="E75" s="67"/>
    </row>
    <row r="76" spans="1:5" ht="15.75">
      <c r="A76" s="134" t="str">
        <f>inputPrYr!B37</f>
        <v>Electric</v>
      </c>
      <c r="B76" s="102">
        <v>2985102</v>
      </c>
      <c r="C76" s="67"/>
      <c r="D76" s="67"/>
      <c r="E76" s="67"/>
    </row>
    <row r="77" spans="1:5" ht="15.75">
      <c r="A77" s="134" t="str">
        <f>inputPrYr!B38</f>
        <v>Sewer</v>
      </c>
      <c r="B77" s="102">
        <v>193269</v>
      </c>
      <c r="C77" s="67"/>
      <c r="D77" s="67"/>
      <c r="E77" s="67"/>
    </row>
    <row r="78" spans="1:5" ht="15.75">
      <c r="A78" s="134" t="str">
        <f>inputPrYr!B39</f>
        <v>Solid Waste</v>
      </c>
      <c r="B78" s="102">
        <v>242428</v>
      </c>
      <c r="C78" s="67"/>
      <c r="D78" s="67"/>
      <c r="E78" s="67"/>
    </row>
    <row r="79" spans="1:5" ht="15.75">
      <c r="A79" s="134" t="str">
        <f>inputPrYr!B40</f>
        <v>1/2% Capital Sales Tax</v>
      </c>
      <c r="B79" s="102">
        <v>1306630</v>
      </c>
      <c r="C79" s="67"/>
      <c r="D79" s="67"/>
      <c r="E79" s="67"/>
    </row>
    <row r="80" spans="1:5" ht="15.75">
      <c r="A80" s="134" t="str">
        <f>inputPrYr!B41</f>
        <v>Tourism</v>
      </c>
      <c r="B80" s="102">
        <v>15700</v>
      </c>
      <c r="C80" s="67"/>
      <c r="D80" s="67"/>
      <c r="E80" s="67"/>
    </row>
    <row r="81" spans="1:5" ht="15.75">
      <c r="A81" s="134" t="str">
        <f>inputPrYr!B42</f>
        <v>1/2% Infrastructure Sales Tax</v>
      </c>
      <c r="B81" s="102">
        <v>191000</v>
      </c>
      <c r="C81" s="67"/>
      <c r="D81" s="67"/>
      <c r="E81" s="67"/>
    </row>
    <row r="82" spans="1:5" ht="15.75">
      <c r="A82" s="134" t="str">
        <f>inputPrYr!B43</f>
        <v>1% Swimming Pool Sales Tax</v>
      </c>
      <c r="B82" s="102">
        <v>0</v>
      </c>
      <c r="C82" s="67"/>
      <c r="D82" s="67"/>
      <c r="E82" s="67"/>
    </row>
    <row r="83" spans="1:5" ht="15.75">
      <c r="A83" s="134">
        <f>inputPrYr!B44</f>
        <v>0</v>
      </c>
      <c r="B83" s="102"/>
      <c r="C83" s="67"/>
      <c r="D83" s="67"/>
      <c r="E83" s="67"/>
    </row>
    <row r="84" spans="1:5" ht="15.75">
      <c r="A84" s="134">
        <f>inputPrYr!B45</f>
        <v>0</v>
      </c>
      <c r="B84" s="102"/>
      <c r="C84" s="67"/>
      <c r="D84" s="67"/>
      <c r="E84" s="67"/>
    </row>
    <row r="85" spans="1:5" ht="15.75">
      <c r="A85" s="134">
        <f>inputPrYr!B46</f>
        <v>0</v>
      </c>
      <c r="B85" s="102"/>
      <c r="C85" s="67"/>
      <c r="D85" s="67"/>
      <c r="E85" s="67"/>
    </row>
    <row r="86" spans="1:5" ht="15.75">
      <c r="A86" s="134">
        <f>inputPrYr!B47</f>
        <v>0</v>
      </c>
      <c r="B86" s="102"/>
      <c r="C86" s="67"/>
      <c r="D86" s="67"/>
      <c r="E86" s="67"/>
    </row>
    <row r="87" spans="1:5" ht="15.75">
      <c r="A87" s="134">
        <f>inputPrYr!B48</f>
        <v>0</v>
      </c>
      <c r="B87" s="102"/>
      <c r="C87" s="67"/>
      <c r="D87" s="67"/>
      <c r="E87" s="67"/>
    </row>
    <row r="88" spans="1:5" ht="15.75">
      <c r="A88" s="134">
        <f>inputPrYr!B49</f>
        <v>0</v>
      </c>
      <c r="B88" s="102"/>
      <c r="C88" s="67"/>
      <c r="D88" s="67"/>
      <c r="E88" s="67"/>
    </row>
    <row r="89" spans="1:5" ht="15.75">
      <c r="A89" s="134">
        <f>inputPrYr!B51</f>
        <v>0</v>
      </c>
      <c r="B89" s="102"/>
      <c r="C89" s="67"/>
      <c r="D89" s="67"/>
      <c r="E89" s="67"/>
    </row>
    <row r="90" spans="1:5" ht="15.75">
      <c r="A90" s="134">
        <f>inputPrYr!B52</f>
        <v>0</v>
      </c>
      <c r="B90" s="102"/>
      <c r="C90" s="67"/>
      <c r="D90" s="67"/>
      <c r="E90" s="67"/>
    </row>
    <row r="91" spans="1:5" ht="15.75">
      <c r="A91" s="134">
        <f>inputPrYr!B53</f>
        <v>0</v>
      </c>
      <c r="B91" s="102"/>
      <c r="C91" s="67"/>
      <c r="D91" s="67"/>
      <c r="E91" s="67"/>
    </row>
    <row r="92" spans="1:5" ht="15.75">
      <c r="A92" s="134">
        <f>inputPrYr!B54</f>
        <v>0</v>
      </c>
      <c r="B92" s="102"/>
      <c r="C92" s="67"/>
      <c r="D92" s="67"/>
      <c r="E92" s="67"/>
    </row>
  </sheetData>
  <sheetProtection sheet="1"/>
  <mergeCells count="5">
    <mergeCell ref="C58:E58"/>
    <mergeCell ref="A20:B20"/>
    <mergeCell ref="A54:E54"/>
    <mergeCell ref="A3:E3"/>
    <mergeCell ref="A57:B57"/>
  </mergeCells>
  <printOptions/>
  <pageMargins left="0.75" right="0.75" top="1" bottom="1" header="0.5" footer="0.5"/>
  <pageSetup blackAndWhite="1" fitToHeight="1" fitToWidth="1" horizontalDpi="600" verticalDpi="600" orientation="portrait" scale="48" r:id="rId1"/>
</worksheet>
</file>

<file path=xl/worksheets/sheet3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58">
      <selection activeCell="A90" sqref="A90:IV90"/>
    </sheetView>
  </sheetViews>
  <sheetFormatPr defaultColWidth="8.796875" defaultRowHeight="15"/>
  <cols>
    <col min="1" max="1" width="71.296875" style="0" customWidth="1"/>
  </cols>
  <sheetData>
    <row r="3" spans="1:12" ht="15">
      <c r="A3" s="355" t="s">
        <v>428</v>
      </c>
      <c r="B3" s="355"/>
      <c r="C3" s="355"/>
      <c r="D3" s="355"/>
      <c r="E3" s="355"/>
      <c r="F3" s="355"/>
      <c r="G3" s="355"/>
      <c r="H3" s="355"/>
      <c r="I3" s="355"/>
      <c r="J3" s="355"/>
      <c r="K3" s="355"/>
      <c r="L3" s="355"/>
    </row>
    <row r="5" ht="15">
      <c r="A5" s="356" t="s">
        <v>429</v>
      </c>
    </row>
    <row r="6" ht="15">
      <c r="A6" s="356" t="str">
        <f>CONCATENATE(inputPrYr!C5-2," 'total expenditures' exceed your ",inputPrYr!C5-2," 'budget authority.'")</f>
        <v>2012 'total expenditures' exceed your 2012 'budget authority.'</v>
      </c>
    </row>
    <row r="7" ht="15">
      <c r="A7" s="356"/>
    </row>
    <row r="8" ht="15">
      <c r="A8" s="356" t="s">
        <v>430</v>
      </c>
    </row>
    <row r="9" ht="15">
      <c r="A9" s="356" t="s">
        <v>431</v>
      </c>
    </row>
    <row r="10" ht="15">
      <c r="A10" s="356" t="s">
        <v>432</v>
      </c>
    </row>
    <row r="11" ht="15">
      <c r="A11" s="356"/>
    </row>
    <row r="12" ht="15">
      <c r="A12" s="356"/>
    </row>
    <row r="13" ht="15">
      <c r="A13" s="357" t="s">
        <v>433</v>
      </c>
    </row>
    <row r="15" ht="15">
      <c r="A15" s="356" t="s">
        <v>434</v>
      </c>
    </row>
    <row r="16" ht="15">
      <c r="A16" s="356" t="str">
        <f>CONCATENATE("(i.e. an audit has not been completed, or the ",inputPrYr!C5," adopted")</f>
        <v>(i.e. an audit has not been completed, or the 2014 adopted</v>
      </c>
    </row>
    <row r="17" ht="15">
      <c r="A17" s="356" t="s">
        <v>435</v>
      </c>
    </row>
    <row r="18" ht="15">
      <c r="A18" s="356" t="s">
        <v>436</v>
      </c>
    </row>
    <row r="19" ht="15">
      <c r="A19" s="356" t="s">
        <v>437</v>
      </c>
    </row>
    <row r="21" ht="15">
      <c r="A21" s="357" t="s">
        <v>438</v>
      </c>
    </row>
    <row r="22" ht="15">
      <c r="A22" s="357"/>
    </row>
    <row r="23" ht="15">
      <c r="A23" s="356" t="s">
        <v>439</v>
      </c>
    </row>
    <row r="24" ht="15">
      <c r="A24" s="356" t="s">
        <v>440</v>
      </c>
    </row>
    <row r="25" ht="15">
      <c r="A25" s="356" t="str">
        <f>CONCATENATE("particular fund.  If your ",inputPrYr!C5-2," budget was amended, did you")</f>
        <v>particular fund.  If your 2012 budget was amended, did you</v>
      </c>
    </row>
    <row r="26" ht="15">
      <c r="A26" s="356" t="s">
        <v>441</v>
      </c>
    </row>
    <row r="27" ht="15">
      <c r="A27" s="356"/>
    </row>
    <row r="28" ht="15">
      <c r="A28" s="356" t="str">
        <f>CONCATENATE("Next, look to see if any of your ",inputPrYr!C5-2," expenditures can be")</f>
        <v>Next, look to see if any of your 2012 expenditures can be</v>
      </c>
    </row>
    <row r="29" ht="15">
      <c r="A29" s="356" t="s">
        <v>442</v>
      </c>
    </row>
    <row r="30" ht="15">
      <c r="A30" s="356" t="s">
        <v>443</v>
      </c>
    </row>
    <row r="31" ht="15">
      <c r="A31" s="356" t="s">
        <v>444</v>
      </c>
    </row>
    <row r="32" ht="15">
      <c r="A32" s="356"/>
    </row>
    <row r="33" ht="15">
      <c r="A33" s="356" t="str">
        <f>CONCATENATE("Additionally, do your ",inputPrYr!C5-2," receipts contain a reimbursement")</f>
        <v>Additionally, do your 2012 receipts contain a reimbursement</v>
      </c>
    </row>
    <row r="34" ht="15">
      <c r="A34" s="356" t="s">
        <v>445</v>
      </c>
    </row>
    <row r="35" ht="15">
      <c r="A35" s="356" t="s">
        <v>446</v>
      </c>
    </row>
    <row r="36" ht="15">
      <c r="A36" s="356"/>
    </row>
    <row r="37" ht="15">
      <c r="A37" s="356" t="s">
        <v>447</v>
      </c>
    </row>
    <row r="38" ht="15">
      <c r="A38" s="356" t="s">
        <v>448</v>
      </c>
    </row>
    <row r="39" ht="15">
      <c r="A39" s="356" t="s">
        <v>449</v>
      </c>
    </row>
    <row r="40" ht="15">
      <c r="A40" s="356" t="s">
        <v>450</v>
      </c>
    </row>
    <row r="41" ht="15">
      <c r="A41" s="356" t="s">
        <v>451</v>
      </c>
    </row>
    <row r="42" ht="15">
      <c r="A42" s="356" t="s">
        <v>452</v>
      </c>
    </row>
    <row r="43" ht="15">
      <c r="A43" s="356" t="s">
        <v>453</v>
      </c>
    </row>
    <row r="44" ht="15">
      <c r="A44" s="356" t="s">
        <v>454</v>
      </c>
    </row>
    <row r="45" ht="15">
      <c r="A45" s="356"/>
    </row>
    <row r="46" ht="15">
      <c r="A46" s="356" t="s">
        <v>455</v>
      </c>
    </row>
    <row r="47" ht="15">
      <c r="A47" s="356" t="s">
        <v>456</v>
      </c>
    </row>
    <row r="48" ht="15">
      <c r="A48" s="356" t="s">
        <v>457</v>
      </c>
    </row>
    <row r="49" ht="15">
      <c r="A49" s="356"/>
    </row>
    <row r="50" ht="15">
      <c r="A50" s="356" t="s">
        <v>458</v>
      </c>
    </row>
    <row r="51" ht="15">
      <c r="A51" s="356" t="s">
        <v>459</v>
      </c>
    </row>
    <row r="52" ht="15">
      <c r="A52" s="356" t="s">
        <v>460</v>
      </c>
    </row>
    <row r="53" ht="15">
      <c r="A53" s="356"/>
    </row>
    <row r="54" ht="15">
      <c r="A54" s="357" t="s">
        <v>461</v>
      </c>
    </row>
    <row r="55" ht="15">
      <c r="A55" s="356"/>
    </row>
    <row r="56" ht="15">
      <c r="A56" s="356" t="s">
        <v>462</v>
      </c>
    </row>
    <row r="57" ht="15">
      <c r="A57" s="356" t="s">
        <v>463</v>
      </c>
    </row>
    <row r="58" ht="15">
      <c r="A58" s="356" t="s">
        <v>464</v>
      </c>
    </row>
    <row r="59" ht="15">
      <c r="A59" s="356" t="s">
        <v>465</v>
      </c>
    </row>
    <row r="60" ht="15">
      <c r="A60" s="356" t="s">
        <v>466</v>
      </c>
    </row>
    <row r="61" ht="15">
      <c r="A61" s="356" t="s">
        <v>467</v>
      </c>
    </row>
    <row r="62" ht="15">
      <c r="A62" s="356" t="s">
        <v>468</v>
      </c>
    </row>
    <row r="63" ht="15">
      <c r="A63" s="356" t="s">
        <v>469</v>
      </c>
    </row>
    <row r="64" ht="15">
      <c r="A64" s="356" t="s">
        <v>470</v>
      </c>
    </row>
    <row r="65" ht="15">
      <c r="A65" s="356" t="s">
        <v>471</v>
      </c>
    </row>
    <row r="66" ht="15">
      <c r="A66" s="356" t="s">
        <v>472</v>
      </c>
    </row>
    <row r="67" ht="15">
      <c r="A67" s="356" t="s">
        <v>473</v>
      </c>
    </row>
    <row r="68" ht="15">
      <c r="A68" s="356" t="s">
        <v>474</v>
      </c>
    </row>
    <row r="69" ht="15">
      <c r="A69" s="356"/>
    </row>
    <row r="70" ht="15">
      <c r="A70" s="356" t="s">
        <v>475</v>
      </c>
    </row>
    <row r="71" ht="15">
      <c r="A71" s="356" t="s">
        <v>476</v>
      </c>
    </row>
    <row r="72" ht="15">
      <c r="A72" s="356" t="s">
        <v>477</v>
      </c>
    </row>
    <row r="73" ht="15">
      <c r="A73" s="356"/>
    </row>
    <row r="74" ht="15">
      <c r="A74" s="357" t="str">
        <f>CONCATENATE("What if the ",inputPrYr!C5-2," financial records have been closed?")</f>
        <v>What if the 2012 financial records have been closed?</v>
      </c>
    </row>
    <row r="76" ht="15">
      <c r="A76" s="356" t="s">
        <v>478</v>
      </c>
    </row>
    <row r="77" ht="15">
      <c r="A77" s="356" t="str">
        <f>CONCATENATE("(i.e. an audit for ",inputPrYr!C5-2," has been completed, or the ",inputPrYr!C5)</f>
        <v>(i.e. an audit for 2012 has been completed, or the 2014</v>
      </c>
    </row>
    <row r="78" ht="15">
      <c r="A78" s="356" t="s">
        <v>479</v>
      </c>
    </row>
    <row r="79" ht="15">
      <c r="A79" s="356" t="s">
        <v>480</v>
      </c>
    </row>
    <row r="80" ht="15">
      <c r="A80" s="356"/>
    </row>
    <row r="81" ht="15">
      <c r="A81" s="356" t="s">
        <v>481</v>
      </c>
    </row>
    <row r="82" ht="15">
      <c r="A82" s="356" t="s">
        <v>482</v>
      </c>
    </row>
    <row r="83" ht="15">
      <c r="A83" s="356" t="s">
        <v>483</v>
      </c>
    </row>
    <row r="84" ht="15">
      <c r="A84" s="356"/>
    </row>
    <row r="85" ht="15">
      <c r="A85" s="356" t="s">
        <v>484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5">
      <c r="A3" s="355" t="s">
        <v>485</v>
      </c>
      <c r="B3" s="355"/>
      <c r="C3" s="355"/>
      <c r="D3" s="355"/>
      <c r="E3" s="355"/>
      <c r="F3" s="355"/>
      <c r="G3" s="355"/>
      <c r="H3" s="358"/>
      <c r="I3" s="358"/>
      <c r="J3" s="358"/>
    </row>
    <row r="5" ht="15">
      <c r="A5" s="356" t="s">
        <v>486</v>
      </c>
    </row>
    <row r="6" ht="15">
      <c r="A6" t="str">
        <f>CONCATENATE(inputPrYr!C5-2," expenditures show that you finished the year with a ")</f>
        <v>2012 expenditures show that you finished the year with a </v>
      </c>
    </row>
    <row r="7" ht="15">
      <c r="A7" t="s">
        <v>487</v>
      </c>
    </row>
    <row r="9" ht="15">
      <c r="A9" t="s">
        <v>488</v>
      </c>
    </row>
    <row r="10" ht="15">
      <c r="A10" t="s">
        <v>489</v>
      </c>
    </row>
    <row r="11" ht="15">
      <c r="A11" t="s">
        <v>490</v>
      </c>
    </row>
    <row r="13" ht="15">
      <c r="A13" s="357" t="s">
        <v>491</v>
      </c>
    </row>
    <row r="14" ht="15">
      <c r="A14" s="357"/>
    </row>
    <row r="15" ht="15">
      <c r="A15" s="356" t="s">
        <v>492</v>
      </c>
    </row>
    <row r="16" ht="15">
      <c r="A16" s="356" t="s">
        <v>493</v>
      </c>
    </row>
    <row r="17" ht="15">
      <c r="A17" s="356" t="s">
        <v>494</v>
      </c>
    </row>
    <row r="18" ht="15">
      <c r="A18" s="356"/>
    </row>
    <row r="19" ht="15">
      <c r="A19" s="357" t="s">
        <v>495</v>
      </c>
    </row>
    <row r="20" ht="15">
      <c r="A20" s="357"/>
    </row>
    <row r="21" ht="15">
      <c r="A21" s="356" t="s">
        <v>496</v>
      </c>
    </row>
    <row r="22" ht="15">
      <c r="A22" s="356" t="s">
        <v>497</v>
      </c>
    </row>
    <row r="23" ht="15">
      <c r="A23" s="356" t="s">
        <v>498</v>
      </c>
    </row>
    <row r="24" ht="15">
      <c r="A24" s="356"/>
    </row>
    <row r="25" ht="15">
      <c r="A25" s="357" t="s">
        <v>499</v>
      </c>
    </row>
    <row r="26" ht="15">
      <c r="A26" s="357"/>
    </row>
    <row r="27" ht="15">
      <c r="A27" s="356" t="s">
        <v>500</v>
      </c>
    </row>
    <row r="28" ht="15">
      <c r="A28" s="356" t="s">
        <v>501</v>
      </c>
    </row>
    <row r="29" ht="15">
      <c r="A29" s="356" t="s">
        <v>502</v>
      </c>
    </row>
    <row r="30" ht="15">
      <c r="A30" s="356"/>
    </row>
    <row r="31" ht="15">
      <c r="A31" s="357" t="s">
        <v>503</v>
      </c>
    </row>
    <row r="32" ht="15">
      <c r="A32" s="357"/>
    </row>
    <row r="33" spans="1:8" ht="15">
      <c r="A33" s="356" t="str">
        <f>CONCATENATE("If your financial records for ",inputPrYr!C5-2," are not closed")</f>
        <v>If your financial records for 2012 are not closed</v>
      </c>
      <c r="B33" s="356"/>
      <c r="C33" s="356"/>
      <c r="D33" s="356"/>
      <c r="E33" s="356"/>
      <c r="F33" s="356"/>
      <c r="G33" s="356"/>
      <c r="H33" s="356"/>
    </row>
    <row r="34" spans="1:8" ht="15">
      <c r="A34" s="356" t="str">
        <f>CONCATENATE("(i.e. an audit has not been completed, or the ",inputPrYr!C5," adopted ")</f>
        <v>(i.e. an audit has not been completed, or the 2014 adopted </v>
      </c>
      <c r="B34" s="356"/>
      <c r="C34" s="356"/>
      <c r="D34" s="356"/>
      <c r="E34" s="356"/>
      <c r="F34" s="356"/>
      <c r="G34" s="356"/>
      <c r="H34" s="356"/>
    </row>
    <row r="35" spans="1:8" ht="15">
      <c r="A35" s="356" t="s">
        <v>504</v>
      </c>
      <c r="B35" s="356"/>
      <c r="C35" s="356"/>
      <c r="D35" s="356"/>
      <c r="E35" s="356"/>
      <c r="F35" s="356"/>
      <c r="G35" s="356"/>
      <c r="H35" s="356"/>
    </row>
    <row r="36" spans="1:8" ht="15">
      <c r="A36" s="356" t="s">
        <v>505</v>
      </c>
      <c r="B36" s="356"/>
      <c r="C36" s="356"/>
      <c r="D36" s="356"/>
      <c r="E36" s="356"/>
      <c r="F36" s="356"/>
      <c r="G36" s="356"/>
      <c r="H36" s="356"/>
    </row>
    <row r="37" spans="1:8" ht="15">
      <c r="A37" s="356" t="s">
        <v>506</v>
      </c>
      <c r="B37" s="356"/>
      <c r="C37" s="356"/>
      <c r="D37" s="356"/>
      <c r="E37" s="356"/>
      <c r="F37" s="356"/>
      <c r="G37" s="356"/>
      <c r="H37" s="356"/>
    </row>
    <row r="38" spans="1:8" ht="15">
      <c r="A38" s="356" t="s">
        <v>507</v>
      </c>
      <c r="B38" s="356"/>
      <c r="C38" s="356"/>
      <c r="D38" s="356"/>
      <c r="E38" s="356"/>
      <c r="F38" s="356"/>
      <c r="G38" s="356"/>
      <c r="H38" s="356"/>
    </row>
    <row r="39" spans="1:8" ht="15">
      <c r="A39" s="356" t="s">
        <v>508</v>
      </c>
      <c r="B39" s="356"/>
      <c r="C39" s="356"/>
      <c r="D39" s="356"/>
      <c r="E39" s="356"/>
      <c r="F39" s="356"/>
      <c r="G39" s="356"/>
      <c r="H39" s="356"/>
    </row>
    <row r="40" spans="1:8" ht="15">
      <c r="A40" s="356"/>
      <c r="B40" s="356"/>
      <c r="C40" s="356"/>
      <c r="D40" s="356"/>
      <c r="E40" s="356"/>
      <c r="F40" s="356"/>
      <c r="G40" s="356"/>
      <c r="H40" s="356"/>
    </row>
    <row r="41" spans="1:8" ht="15">
      <c r="A41" s="356" t="s">
        <v>509</v>
      </c>
      <c r="B41" s="356"/>
      <c r="C41" s="356"/>
      <c r="D41" s="356"/>
      <c r="E41" s="356"/>
      <c r="F41" s="356"/>
      <c r="G41" s="356"/>
      <c r="H41" s="356"/>
    </row>
    <row r="42" spans="1:8" ht="15">
      <c r="A42" s="356" t="s">
        <v>510</v>
      </c>
      <c r="B42" s="356"/>
      <c r="C42" s="356"/>
      <c r="D42" s="356"/>
      <c r="E42" s="356"/>
      <c r="F42" s="356"/>
      <c r="G42" s="356"/>
      <c r="H42" s="356"/>
    </row>
    <row r="43" spans="1:8" ht="15">
      <c r="A43" s="356" t="s">
        <v>511</v>
      </c>
      <c r="B43" s="356"/>
      <c r="C43" s="356"/>
      <c r="D43" s="356"/>
      <c r="E43" s="356"/>
      <c r="F43" s="356"/>
      <c r="G43" s="356"/>
      <c r="H43" s="356"/>
    </row>
    <row r="44" spans="1:8" ht="15">
      <c r="A44" s="356" t="s">
        <v>512</v>
      </c>
      <c r="B44" s="356"/>
      <c r="C44" s="356"/>
      <c r="D44" s="356"/>
      <c r="E44" s="356"/>
      <c r="F44" s="356"/>
      <c r="G44" s="356"/>
      <c r="H44" s="356"/>
    </row>
    <row r="45" spans="1:8" ht="15">
      <c r="A45" s="356"/>
      <c r="B45" s="356"/>
      <c r="C45" s="356"/>
      <c r="D45" s="356"/>
      <c r="E45" s="356"/>
      <c r="F45" s="356"/>
      <c r="G45" s="356"/>
      <c r="H45" s="356"/>
    </row>
    <row r="46" spans="1:8" ht="15">
      <c r="A46" s="356" t="s">
        <v>513</v>
      </c>
      <c r="B46" s="356"/>
      <c r="C46" s="356"/>
      <c r="D46" s="356"/>
      <c r="E46" s="356"/>
      <c r="F46" s="356"/>
      <c r="G46" s="356"/>
      <c r="H46" s="356"/>
    </row>
    <row r="47" spans="1:8" ht="15">
      <c r="A47" s="356" t="s">
        <v>514</v>
      </c>
      <c r="B47" s="356"/>
      <c r="C47" s="356"/>
      <c r="D47" s="356"/>
      <c r="E47" s="356"/>
      <c r="F47" s="356"/>
      <c r="G47" s="356"/>
      <c r="H47" s="356"/>
    </row>
    <row r="48" spans="1:8" ht="15">
      <c r="A48" s="356" t="s">
        <v>515</v>
      </c>
      <c r="B48" s="356"/>
      <c r="C48" s="356"/>
      <c r="D48" s="356"/>
      <c r="E48" s="356"/>
      <c r="F48" s="356"/>
      <c r="G48" s="356"/>
      <c r="H48" s="356"/>
    </row>
    <row r="49" spans="1:8" ht="15">
      <c r="A49" s="356" t="s">
        <v>516</v>
      </c>
      <c r="B49" s="356"/>
      <c r="C49" s="356"/>
      <c r="D49" s="356"/>
      <c r="E49" s="356"/>
      <c r="F49" s="356"/>
      <c r="G49" s="356"/>
      <c r="H49" s="356"/>
    </row>
    <row r="50" spans="1:8" ht="15">
      <c r="A50" s="356" t="s">
        <v>517</v>
      </c>
      <c r="B50" s="356"/>
      <c r="C50" s="356"/>
      <c r="D50" s="356"/>
      <c r="E50" s="356"/>
      <c r="F50" s="356"/>
      <c r="G50" s="356"/>
      <c r="H50" s="356"/>
    </row>
    <row r="51" spans="1:8" ht="15">
      <c r="A51" s="356"/>
      <c r="B51" s="356"/>
      <c r="C51" s="356"/>
      <c r="D51" s="356"/>
      <c r="E51" s="356"/>
      <c r="F51" s="356"/>
      <c r="G51" s="356"/>
      <c r="H51" s="356"/>
    </row>
    <row r="52" spans="1:8" ht="15">
      <c r="A52" s="357" t="s">
        <v>518</v>
      </c>
      <c r="B52" s="357"/>
      <c r="C52" s="357"/>
      <c r="D52" s="357"/>
      <c r="E52" s="357"/>
      <c r="F52" s="357"/>
      <c r="G52" s="357"/>
      <c r="H52" s="356"/>
    </row>
    <row r="53" spans="1:8" ht="15">
      <c r="A53" s="357" t="s">
        <v>519</v>
      </c>
      <c r="B53" s="357"/>
      <c r="C53" s="357"/>
      <c r="D53" s="357"/>
      <c r="E53" s="357"/>
      <c r="F53" s="357"/>
      <c r="G53" s="357"/>
      <c r="H53" s="356"/>
    </row>
    <row r="54" spans="1:8" ht="15">
      <c r="A54" s="356"/>
      <c r="B54" s="356"/>
      <c r="C54" s="356"/>
      <c r="D54" s="356"/>
      <c r="E54" s="356"/>
      <c r="F54" s="356"/>
      <c r="G54" s="356"/>
      <c r="H54" s="356"/>
    </row>
    <row r="55" spans="1:8" ht="15">
      <c r="A55" s="356" t="s">
        <v>520</v>
      </c>
      <c r="B55" s="356"/>
      <c r="C55" s="356"/>
      <c r="D55" s="356"/>
      <c r="E55" s="356"/>
      <c r="F55" s="356"/>
      <c r="G55" s="356"/>
      <c r="H55" s="356"/>
    </row>
    <row r="56" spans="1:8" ht="15">
      <c r="A56" s="356" t="s">
        <v>521</v>
      </c>
      <c r="B56" s="356"/>
      <c r="C56" s="356"/>
      <c r="D56" s="356"/>
      <c r="E56" s="356"/>
      <c r="F56" s="356"/>
      <c r="G56" s="356"/>
      <c r="H56" s="356"/>
    </row>
    <row r="57" spans="1:8" ht="15">
      <c r="A57" s="356" t="s">
        <v>522</v>
      </c>
      <c r="B57" s="356"/>
      <c r="C57" s="356"/>
      <c r="D57" s="356"/>
      <c r="E57" s="356"/>
      <c r="F57" s="356"/>
      <c r="G57" s="356"/>
      <c r="H57" s="356"/>
    </row>
    <row r="58" spans="1:8" ht="15">
      <c r="A58" s="356" t="s">
        <v>523</v>
      </c>
      <c r="B58" s="356"/>
      <c r="C58" s="356"/>
      <c r="D58" s="356"/>
      <c r="E58" s="356"/>
      <c r="F58" s="356"/>
      <c r="G58" s="356"/>
      <c r="H58" s="356"/>
    </row>
    <row r="59" spans="1:8" ht="15">
      <c r="A59" s="356"/>
      <c r="B59" s="356"/>
      <c r="C59" s="356"/>
      <c r="D59" s="356"/>
      <c r="E59" s="356"/>
      <c r="F59" s="356"/>
      <c r="G59" s="356"/>
      <c r="H59" s="356"/>
    </row>
    <row r="60" spans="1:8" ht="15">
      <c r="A60" s="356" t="s">
        <v>524</v>
      </c>
      <c r="B60" s="356"/>
      <c r="C60" s="356"/>
      <c r="D60" s="356"/>
      <c r="E60" s="356"/>
      <c r="F60" s="356"/>
      <c r="G60" s="356"/>
      <c r="H60" s="356"/>
    </row>
    <row r="61" spans="1:8" ht="15">
      <c r="A61" s="356" t="s">
        <v>525</v>
      </c>
      <c r="B61" s="356"/>
      <c r="C61" s="356"/>
      <c r="D61" s="356"/>
      <c r="E61" s="356"/>
      <c r="F61" s="356"/>
      <c r="G61" s="356"/>
      <c r="H61" s="356"/>
    </row>
    <row r="62" spans="1:8" ht="15">
      <c r="A62" s="356" t="s">
        <v>526</v>
      </c>
      <c r="B62" s="356"/>
      <c r="C62" s="356"/>
      <c r="D62" s="356"/>
      <c r="E62" s="356"/>
      <c r="F62" s="356"/>
      <c r="G62" s="356"/>
      <c r="H62" s="356"/>
    </row>
    <row r="63" spans="1:8" ht="15">
      <c r="A63" s="356" t="s">
        <v>527</v>
      </c>
      <c r="B63" s="356"/>
      <c r="C63" s="356"/>
      <c r="D63" s="356"/>
      <c r="E63" s="356"/>
      <c r="F63" s="356"/>
      <c r="G63" s="356"/>
      <c r="H63" s="356"/>
    </row>
    <row r="64" spans="1:8" ht="15">
      <c r="A64" s="356" t="s">
        <v>528</v>
      </c>
      <c r="B64" s="356"/>
      <c r="C64" s="356"/>
      <c r="D64" s="356"/>
      <c r="E64" s="356"/>
      <c r="F64" s="356"/>
      <c r="G64" s="356"/>
      <c r="H64" s="356"/>
    </row>
    <row r="65" spans="1:8" ht="15">
      <c r="A65" s="356" t="s">
        <v>529</v>
      </c>
      <c r="B65" s="356"/>
      <c r="C65" s="356"/>
      <c r="D65" s="356"/>
      <c r="E65" s="356"/>
      <c r="F65" s="356"/>
      <c r="G65" s="356"/>
      <c r="H65" s="356"/>
    </row>
    <row r="66" spans="1:8" ht="15">
      <c r="A66" s="356"/>
      <c r="B66" s="356"/>
      <c r="C66" s="356"/>
      <c r="D66" s="356"/>
      <c r="E66" s="356"/>
      <c r="F66" s="356"/>
      <c r="G66" s="356"/>
      <c r="H66" s="356"/>
    </row>
    <row r="67" spans="1:8" ht="15">
      <c r="A67" s="356" t="s">
        <v>530</v>
      </c>
      <c r="B67" s="356"/>
      <c r="C67" s="356"/>
      <c r="D67" s="356"/>
      <c r="E67" s="356"/>
      <c r="F67" s="356"/>
      <c r="G67" s="356"/>
      <c r="H67" s="356"/>
    </row>
    <row r="68" spans="1:8" ht="15">
      <c r="A68" s="356" t="s">
        <v>531</v>
      </c>
      <c r="B68" s="356"/>
      <c r="C68" s="356"/>
      <c r="D68" s="356"/>
      <c r="E68" s="356"/>
      <c r="F68" s="356"/>
      <c r="G68" s="356"/>
      <c r="H68" s="356"/>
    </row>
    <row r="69" spans="1:8" ht="15">
      <c r="A69" s="356" t="s">
        <v>532</v>
      </c>
      <c r="B69" s="356"/>
      <c r="C69" s="356"/>
      <c r="D69" s="356"/>
      <c r="E69" s="356"/>
      <c r="F69" s="356"/>
      <c r="G69" s="356"/>
      <c r="H69" s="356"/>
    </row>
    <row r="70" spans="1:8" ht="15">
      <c r="A70" s="356" t="s">
        <v>533</v>
      </c>
      <c r="B70" s="356"/>
      <c r="C70" s="356"/>
      <c r="D70" s="356"/>
      <c r="E70" s="356"/>
      <c r="F70" s="356"/>
      <c r="G70" s="356"/>
      <c r="H70" s="356"/>
    </row>
    <row r="71" spans="1:8" ht="15">
      <c r="A71" s="356" t="s">
        <v>534</v>
      </c>
      <c r="B71" s="356"/>
      <c r="C71" s="356"/>
      <c r="D71" s="356"/>
      <c r="E71" s="356"/>
      <c r="F71" s="356"/>
      <c r="G71" s="356"/>
      <c r="H71" s="356"/>
    </row>
    <row r="72" spans="1:8" ht="15">
      <c r="A72" s="356" t="s">
        <v>535</v>
      </c>
      <c r="B72" s="356"/>
      <c r="C72" s="356"/>
      <c r="D72" s="356"/>
      <c r="E72" s="356"/>
      <c r="F72" s="356"/>
      <c r="G72" s="356"/>
      <c r="H72" s="356"/>
    </row>
    <row r="73" spans="1:8" ht="15">
      <c r="A73" s="356" t="s">
        <v>536</v>
      </c>
      <c r="B73" s="356"/>
      <c r="C73" s="356"/>
      <c r="D73" s="356"/>
      <c r="E73" s="356"/>
      <c r="F73" s="356"/>
      <c r="G73" s="356"/>
      <c r="H73" s="356"/>
    </row>
    <row r="74" spans="1:8" ht="15">
      <c r="A74" s="356"/>
      <c r="B74" s="356"/>
      <c r="C74" s="356"/>
      <c r="D74" s="356"/>
      <c r="E74" s="356"/>
      <c r="F74" s="356"/>
      <c r="G74" s="356"/>
      <c r="H74" s="356"/>
    </row>
    <row r="75" spans="1:8" ht="15">
      <c r="A75" s="356" t="s">
        <v>537</v>
      </c>
      <c r="B75" s="356"/>
      <c r="C75" s="356"/>
      <c r="D75" s="356"/>
      <c r="E75" s="356"/>
      <c r="F75" s="356"/>
      <c r="G75" s="356"/>
      <c r="H75" s="356"/>
    </row>
    <row r="76" spans="1:8" ht="15">
      <c r="A76" s="356" t="s">
        <v>538</v>
      </c>
      <c r="B76" s="356"/>
      <c r="C76" s="356"/>
      <c r="D76" s="356"/>
      <c r="E76" s="356"/>
      <c r="F76" s="356"/>
      <c r="G76" s="356"/>
      <c r="H76" s="356"/>
    </row>
    <row r="77" spans="1:8" ht="15">
      <c r="A77" s="356" t="s">
        <v>539</v>
      </c>
      <c r="B77" s="356"/>
      <c r="C77" s="356"/>
      <c r="D77" s="356"/>
      <c r="E77" s="356"/>
      <c r="F77" s="356"/>
      <c r="G77" s="356"/>
      <c r="H77" s="356"/>
    </row>
    <row r="78" spans="1:8" ht="15">
      <c r="A78" s="356"/>
      <c r="B78" s="356"/>
      <c r="C78" s="356"/>
      <c r="D78" s="356"/>
      <c r="E78" s="356"/>
      <c r="F78" s="356"/>
      <c r="G78" s="356"/>
      <c r="H78" s="356"/>
    </row>
    <row r="79" ht="15">
      <c r="A79" s="356" t="s">
        <v>484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55" t="s">
        <v>540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429</v>
      </c>
      <c r="I5" s="355"/>
      <c r="J5" s="355"/>
      <c r="K5" s="355"/>
      <c r="L5" s="355"/>
    </row>
    <row r="6" spans="1:12" ht="15">
      <c r="A6" s="356" t="str">
        <f>CONCATENATE("estimated ",inputPrYr!C5-1," 'total expenditures' exceed your ",inputPrYr!C5-1,"")</f>
        <v>estimated 2013 'total expenditures' exceed your 2013</v>
      </c>
      <c r="I6" s="355"/>
      <c r="J6" s="355"/>
      <c r="K6" s="355"/>
      <c r="L6" s="355"/>
    </row>
    <row r="7" spans="1:12" ht="15">
      <c r="A7" s="359" t="s">
        <v>541</v>
      </c>
      <c r="I7" s="355"/>
      <c r="J7" s="355"/>
      <c r="K7" s="355"/>
      <c r="L7" s="355"/>
    </row>
    <row r="8" spans="1:12" ht="15">
      <c r="A8" s="356"/>
      <c r="I8" s="355"/>
      <c r="J8" s="355"/>
      <c r="K8" s="355"/>
      <c r="L8" s="355"/>
    </row>
    <row r="9" spans="1:12" ht="15">
      <c r="A9" s="356" t="s">
        <v>542</v>
      </c>
      <c r="I9" s="355"/>
      <c r="J9" s="355"/>
      <c r="K9" s="355"/>
      <c r="L9" s="355"/>
    </row>
    <row r="10" spans="1:12" ht="15">
      <c r="A10" s="356" t="s">
        <v>543</v>
      </c>
      <c r="I10" s="355"/>
      <c r="J10" s="355"/>
      <c r="K10" s="355"/>
      <c r="L10" s="355"/>
    </row>
    <row r="11" spans="1:12" ht="15">
      <c r="A11" s="356" t="s">
        <v>544</v>
      </c>
      <c r="I11" s="355"/>
      <c r="J11" s="355"/>
      <c r="K11" s="355"/>
      <c r="L11" s="355"/>
    </row>
    <row r="12" spans="1:12" ht="15">
      <c r="A12" s="356" t="s">
        <v>545</v>
      </c>
      <c r="I12" s="355"/>
      <c r="J12" s="355"/>
      <c r="K12" s="355"/>
      <c r="L12" s="355"/>
    </row>
    <row r="13" spans="1:12" ht="15">
      <c r="A13" s="356" t="s">
        <v>546</v>
      </c>
      <c r="I13" s="355"/>
      <c r="J13" s="355"/>
      <c r="K13" s="355"/>
      <c r="L13" s="355"/>
    </row>
    <row r="14" spans="1:12" ht="15">
      <c r="A14" s="355"/>
      <c r="B14" s="355"/>
      <c r="C14" s="355"/>
      <c r="D14" s="355"/>
      <c r="E14" s="355"/>
      <c r="F14" s="355"/>
      <c r="G14" s="355"/>
      <c r="H14" s="355"/>
      <c r="I14" s="355"/>
      <c r="J14" s="355"/>
      <c r="K14" s="355"/>
      <c r="L14" s="355"/>
    </row>
    <row r="15" ht="15">
      <c r="A15" s="357" t="s">
        <v>547</v>
      </c>
    </row>
    <row r="16" ht="15">
      <c r="A16" s="357" t="s">
        <v>548</v>
      </c>
    </row>
    <row r="17" ht="15">
      <c r="A17" s="357"/>
    </row>
    <row r="18" spans="1:7" ht="15">
      <c r="A18" s="356" t="s">
        <v>549</v>
      </c>
      <c r="B18" s="356"/>
      <c r="C18" s="356"/>
      <c r="D18" s="356"/>
      <c r="E18" s="356"/>
      <c r="F18" s="356"/>
      <c r="G18" s="356"/>
    </row>
    <row r="19" spans="1:7" ht="15">
      <c r="A19" s="356" t="str">
        <f>CONCATENATE("your ",inputPrYr!C5-1," numbers to see what steps might be necessary to")</f>
        <v>your 2013 numbers to see what steps might be necessary to</v>
      </c>
      <c r="B19" s="356"/>
      <c r="C19" s="356"/>
      <c r="D19" s="356"/>
      <c r="E19" s="356"/>
      <c r="F19" s="356"/>
      <c r="G19" s="356"/>
    </row>
    <row r="20" spans="1:7" ht="15">
      <c r="A20" s="356" t="s">
        <v>550</v>
      </c>
      <c r="B20" s="356"/>
      <c r="C20" s="356"/>
      <c r="D20" s="356"/>
      <c r="E20" s="356"/>
      <c r="F20" s="356"/>
      <c r="G20" s="356"/>
    </row>
    <row r="21" spans="1:7" ht="15">
      <c r="A21" s="356" t="s">
        <v>551</v>
      </c>
      <c r="B21" s="356"/>
      <c r="C21" s="356"/>
      <c r="D21" s="356"/>
      <c r="E21" s="356"/>
      <c r="F21" s="356"/>
      <c r="G21" s="356"/>
    </row>
    <row r="22" ht="15">
      <c r="A22" s="356"/>
    </row>
    <row r="23" ht="15">
      <c r="A23" s="357" t="s">
        <v>552</v>
      </c>
    </row>
    <row r="24" ht="15">
      <c r="A24" s="357"/>
    </row>
    <row r="25" ht="15">
      <c r="A25" s="356" t="s">
        <v>553</v>
      </c>
    </row>
    <row r="26" spans="1:6" ht="15">
      <c r="A26" s="356" t="s">
        <v>554</v>
      </c>
      <c r="B26" s="356"/>
      <c r="C26" s="356"/>
      <c r="D26" s="356"/>
      <c r="E26" s="356"/>
      <c r="F26" s="356"/>
    </row>
    <row r="27" spans="1:6" ht="15">
      <c r="A27" s="356" t="s">
        <v>555</v>
      </c>
      <c r="B27" s="356"/>
      <c r="C27" s="356"/>
      <c r="D27" s="356"/>
      <c r="E27" s="356"/>
      <c r="F27" s="356"/>
    </row>
    <row r="28" spans="1:6" ht="15">
      <c r="A28" s="356" t="s">
        <v>556</v>
      </c>
      <c r="B28" s="356"/>
      <c r="C28" s="356"/>
      <c r="D28" s="356"/>
      <c r="E28" s="356"/>
      <c r="F28" s="356"/>
    </row>
    <row r="29" spans="1:6" ht="15">
      <c r="A29" s="356"/>
      <c r="B29" s="356"/>
      <c r="C29" s="356"/>
      <c r="D29" s="356"/>
      <c r="E29" s="356"/>
      <c r="F29" s="356"/>
    </row>
    <row r="30" spans="1:7" ht="15">
      <c r="A30" s="357" t="s">
        <v>557</v>
      </c>
      <c r="B30" s="357"/>
      <c r="C30" s="357"/>
      <c r="D30" s="357"/>
      <c r="E30" s="357"/>
      <c r="F30" s="357"/>
      <c r="G30" s="357"/>
    </row>
    <row r="31" spans="1:7" ht="15">
      <c r="A31" s="357" t="s">
        <v>558</v>
      </c>
      <c r="B31" s="357"/>
      <c r="C31" s="357"/>
      <c r="D31" s="357"/>
      <c r="E31" s="357"/>
      <c r="F31" s="357"/>
      <c r="G31" s="357"/>
    </row>
    <row r="32" spans="1:6" ht="15">
      <c r="A32" s="356"/>
      <c r="B32" s="356"/>
      <c r="C32" s="356"/>
      <c r="D32" s="356"/>
      <c r="E32" s="356"/>
      <c r="F32" s="356"/>
    </row>
    <row r="33" spans="1:6" ht="15">
      <c r="A33" s="354" t="str">
        <f>CONCATENATE("Well, let's look to see if any of your ",inputPrYr!C5-1," expenditures can")</f>
        <v>Well, let's look to see if any of your 2013 expenditures can</v>
      </c>
      <c r="B33" s="356"/>
      <c r="C33" s="356"/>
      <c r="D33" s="356"/>
      <c r="E33" s="356"/>
      <c r="F33" s="356"/>
    </row>
    <row r="34" spans="1:6" ht="15">
      <c r="A34" s="354" t="s">
        <v>559</v>
      </c>
      <c r="B34" s="356"/>
      <c r="C34" s="356"/>
      <c r="D34" s="356"/>
      <c r="E34" s="356"/>
      <c r="F34" s="356"/>
    </row>
    <row r="35" spans="1:6" ht="15">
      <c r="A35" s="354" t="s">
        <v>443</v>
      </c>
      <c r="B35" s="356"/>
      <c r="C35" s="356"/>
      <c r="D35" s="356"/>
      <c r="E35" s="356"/>
      <c r="F35" s="356"/>
    </row>
    <row r="36" spans="1:6" ht="15">
      <c r="A36" s="354" t="s">
        <v>444</v>
      </c>
      <c r="B36" s="356"/>
      <c r="C36" s="356"/>
      <c r="D36" s="356"/>
      <c r="E36" s="356"/>
      <c r="F36" s="356"/>
    </row>
    <row r="37" spans="1:6" ht="15">
      <c r="A37" s="354"/>
      <c r="B37" s="356"/>
      <c r="C37" s="356"/>
      <c r="D37" s="356"/>
      <c r="E37" s="356"/>
      <c r="F37" s="356"/>
    </row>
    <row r="38" spans="1:6" ht="15">
      <c r="A38" s="354" t="str">
        <f>CONCATENATE("Additionally, do your ",inputPrYr!C5-1," receipts contain a reimbursement")</f>
        <v>Additionally, do your 2013 receipts contain a reimbursement</v>
      </c>
      <c r="B38" s="356"/>
      <c r="C38" s="356"/>
      <c r="D38" s="356"/>
      <c r="E38" s="356"/>
      <c r="F38" s="356"/>
    </row>
    <row r="39" spans="1:6" ht="15">
      <c r="A39" s="354" t="s">
        <v>445</v>
      </c>
      <c r="B39" s="356"/>
      <c r="C39" s="356"/>
      <c r="D39" s="356"/>
      <c r="E39" s="356"/>
      <c r="F39" s="356"/>
    </row>
    <row r="40" spans="1:6" ht="15">
      <c r="A40" s="354" t="s">
        <v>446</v>
      </c>
      <c r="B40" s="356"/>
      <c r="C40" s="356"/>
      <c r="D40" s="356"/>
      <c r="E40" s="356"/>
      <c r="F40" s="356"/>
    </row>
    <row r="41" spans="1:6" ht="15">
      <c r="A41" s="354"/>
      <c r="B41" s="356"/>
      <c r="C41" s="356"/>
      <c r="D41" s="356"/>
      <c r="E41" s="356"/>
      <c r="F41" s="356"/>
    </row>
    <row r="42" spans="1:6" ht="15">
      <c r="A42" s="354" t="s">
        <v>447</v>
      </c>
      <c r="B42" s="356"/>
      <c r="C42" s="356"/>
      <c r="D42" s="356"/>
      <c r="E42" s="356"/>
      <c r="F42" s="356"/>
    </row>
    <row r="43" spans="1:6" ht="15">
      <c r="A43" s="354" t="s">
        <v>448</v>
      </c>
      <c r="B43" s="356"/>
      <c r="C43" s="356"/>
      <c r="D43" s="356"/>
      <c r="E43" s="356"/>
      <c r="F43" s="356"/>
    </row>
    <row r="44" spans="1:6" ht="15">
      <c r="A44" s="354" t="s">
        <v>449</v>
      </c>
      <c r="B44" s="356"/>
      <c r="C44" s="356"/>
      <c r="D44" s="356"/>
      <c r="E44" s="356"/>
      <c r="F44" s="356"/>
    </row>
    <row r="45" spans="1:6" ht="15">
      <c r="A45" s="354" t="s">
        <v>560</v>
      </c>
      <c r="B45" s="356"/>
      <c r="C45" s="356"/>
      <c r="D45" s="356"/>
      <c r="E45" s="356"/>
      <c r="F45" s="356"/>
    </row>
    <row r="46" spans="1:6" ht="15">
      <c r="A46" s="354" t="s">
        <v>451</v>
      </c>
      <c r="B46" s="356"/>
      <c r="C46" s="356"/>
      <c r="D46" s="356"/>
      <c r="E46" s="356"/>
      <c r="F46" s="356"/>
    </row>
    <row r="47" spans="1:6" ht="15">
      <c r="A47" s="354" t="s">
        <v>561</v>
      </c>
      <c r="B47" s="356"/>
      <c r="C47" s="356"/>
      <c r="D47" s="356"/>
      <c r="E47" s="356"/>
      <c r="F47" s="356"/>
    </row>
    <row r="48" spans="1:6" ht="15">
      <c r="A48" s="354" t="s">
        <v>562</v>
      </c>
      <c r="B48" s="356"/>
      <c r="C48" s="356"/>
      <c r="D48" s="356"/>
      <c r="E48" s="356"/>
      <c r="F48" s="356"/>
    </row>
    <row r="49" spans="1:6" ht="15">
      <c r="A49" s="354" t="s">
        <v>454</v>
      </c>
      <c r="B49" s="356"/>
      <c r="C49" s="356"/>
      <c r="D49" s="356"/>
      <c r="E49" s="356"/>
      <c r="F49" s="356"/>
    </row>
    <row r="50" spans="1:6" ht="15">
      <c r="A50" s="354"/>
      <c r="B50" s="356"/>
      <c r="C50" s="356"/>
      <c r="D50" s="356"/>
      <c r="E50" s="356"/>
      <c r="F50" s="356"/>
    </row>
    <row r="51" spans="1:6" ht="15">
      <c r="A51" s="354" t="s">
        <v>455</v>
      </c>
      <c r="B51" s="356"/>
      <c r="C51" s="356"/>
      <c r="D51" s="356"/>
      <c r="E51" s="356"/>
      <c r="F51" s="356"/>
    </row>
    <row r="52" spans="1:6" ht="15">
      <c r="A52" s="354" t="s">
        <v>456</v>
      </c>
      <c r="B52" s="356"/>
      <c r="C52" s="356"/>
      <c r="D52" s="356"/>
      <c r="E52" s="356"/>
      <c r="F52" s="356"/>
    </row>
    <row r="53" spans="1:6" ht="15">
      <c r="A53" s="354" t="s">
        <v>457</v>
      </c>
      <c r="B53" s="356"/>
      <c r="C53" s="356"/>
      <c r="D53" s="356"/>
      <c r="E53" s="356"/>
      <c r="F53" s="356"/>
    </row>
    <row r="54" spans="1:6" ht="15">
      <c r="A54" s="354"/>
      <c r="B54" s="356"/>
      <c r="C54" s="356"/>
      <c r="D54" s="356"/>
      <c r="E54" s="356"/>
      <c r="F54" s="356"/>
    </row>
    <row r="55" spans="1:6" ht="15">
      <c r="A55" s="354" t="s">
        <v>563</v>
      </c>
      <c r="B55" s="356"/>
      <c r="C55" s="356"/>
      <c r="D55" s="356"/>
      <c r="E55" s="356"/>
      <c r="F55" s="356"/>
    </row>
    <row r="56" spans="1:6" ht="15">
      <c r="A56" s="354" t="s">
        <v>564</v>
      </c>
      <c r="B56" s="356"/>
      <c r="C56" s="356"/>
      <c r="D56" s="356"/>
      <c r="E56" s="356"/>
      <c r="F56" s="356"/>
    </row>
    <row r="57" spans="1:6" ht="15">
      <c r="A57" s="354" t="s">
        <v>565</v>
      </c>
      <c r="B57" s="356"/>
      <c r="C57" s="356"/>
      <c r="D57" s="356"/>
      <c r="E57" s="356"/>
      <c r="F57" s="356"/>
    </row>
    <row r="58" spans="1:6" ht="15">
      <c r="A58" s="354" t="s">
        <v>566</v>
      </c>
      <c r="B58" s="356"/>
      <c r="C58" s="356"/>
      <c r="D58" s="356"/>
      <c r="E58" s="356"/>
      <c r="F58" s="356"/>
    </row>
    <row r="59" spans="1:6" ht="15">
      <c r="A59" s="354" t="s">
        <v>567</v>
      </c>
      <c r="B59" s="356"/>
      <c r="C59" s="356"/>
      <c r="D59" s="356"/>
      <c r="E59" s="356"/>
      <c r="F59" s="356"/>
    </row>
    <row r="60" spans="1:6" ht="15">
      <c r="A60" s="354"/>
      <c r="B60" s="356"/>
      <c r="C60" s="356"/>
      <c r="D60" s="356"/>
      <c r="E60" s="356"/>
      <c r="F60" s="356"/>
    </row>
    <row r="61" spans="1:6" ht="15">
      <c r="A61" s="353" t="s">
        <v>568</v>
      </c>
      <c r="B61" s="356"/>
      <c r="C61" s="356"/>
      <c r="D61" s="356"/>
      <c r="E61" s="356"/>
      <c r="F61" s="356"/>
    </row>
    <row r="62" spans="1:6" ht="15">
      <c r="A62" s="353" t="s">
        <v>569</v>
      </c>
      <c r="B62" s="356"/>
      <c r="C62" s="356"/>
      <c r="D62" s="356"/>
      <c r="E62" s="356"/>
      <c r="F62" s="356"/>
    </row>
    <row r="63" spans="1:6" ht="15">
      <c r="A63" s="353" t="s">
        <v>570</v>
      </c>
      <c r="B63" s="356"/>
      <c r="C63" s="356"/>
      <c r="D63" s="356"/>
      <c r="E63" s="356"/>
      <c r="F63" s="356"/>
    </row>
    <row r="64" ht="15">
      <c r="A64" s="353" t="s">
        <v>571</v>
      </c>
    </row>
    <row r="65" ht="15">
      <c r="A65" s="353" t="s">
        <v>572</v>
      </c>
    </row>
    <row r="66" ht="15">
      <c r="A66" s="353" t="s">
        <v>573</v>
      </c>
    </row>
    <row r="68" ht="15">
      <c r="A68" s="356" t="s">
        <v>574</v>
      </c>
    </row>
    <row r="69" ht="15">
      <c r="A69" s="356" t="s">
        <v>575</v>
      </c>
    </row>
    <row r="70" ht="15">
      <c r="A70" s="356" t="s">
        <v>576</v>
      </c>
    </row>
    <row r="71" ht="15">
      <c r="A71" s="356" t="s">
        <v>577</v>
      </c>
    </row>
    <row r="72" ht="15">
      <c r="A72" s="356" t="s">
        <v>578</v>
      </c>
    </row>
    <row r="73" ht="15">
      <c r="A73" s="356" t="s">
        <v>579</v>
      </c>
    </row>
    <row r="75" ht="15">
      <c r="A75" s="356" t="s">
        <v>484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55" t="s">
        <v>580</v>
      </c>
      <c r="B3" s="355"/>
      <c r="C3" s="355"/>
      <c r="D3" s="355"/>
      <c r="E3" s="355"/>
      <c r="F3" s="355"/>
      <c r="G3" s="355"/>
    </row>
    <row r="4" spans="1:7" ht="15">
      <c r="A4" s="355"/>
      <c r="B4" s="355"/>
      <c r="C4" s="355"/>
      <c r="D4" s="355"/>
      <c r="E4" s="355"/>
      <c r="F4" s="355"/>
      <c r="G4" s="355"/>
    </row>
    <row r="5" ht="15">
      <c r="A5" s="356" t="s">
        <v>486</v>
      </c>
    </row>
    <row r="6" ht="15">
      <c r="A6" s="356" t="str">
        <f>CONCATENATE(inputPrYr!C5," estimated expenditures show that at the end of this year")</f>
        <v>2014 estimated expenditures show that at the end of this year</v>
      </c>
    </row>
    <row r="7" ht="15">
      <c r="A7" s="356" t="s">
        <v>581</v>
      </c>
    </row>
    <row r="8" ht="15">
      <c r="A8" s="356" t="s">
        <v>582</v>
      </c>
    </row>
    <row r="10" ht="15">
      <c r="A10" t="s">
        <v>488</v>
      </c>
    </row>
    <row r="11" ht="15">
      <c r="A11" t="s">
        <v>489</v>
      </c>
    </row>
    <row r="12" ht="15">
      <c r="A12" t="s">
        <v>490</v>
      </c>
    </row>
    <row r="13" spans="1:7" ht="15">
      <c r="A13" s="355"/>
      <c r="B13" s="355"/>
      <c r="C13" s="355"/>
      <c r="D13" s="355"/>
      <c r="E13" s="355"/>
      <c r="F13" s="355"/>
      <c r="G13" s="355"/>
    </row>
    <row r="14" ht="15">
      <c r="A14" s="357" t="s">
        <v>583</v>
      </c>
    </row>
    <row r="15" ht="15">
      <c r="A15" s="356"/>
    </row>
    <row r="16" ht="15">
      <c r="A16" s="356" t="s">
        <v>584</v>
      </c>
    </row>
    <row r="17" ht="15">
      <c r="A17" s="356" t="s">
        <v>585</v>
      </c>
    </row>
    <row r="18" ht="15">
      <c r="A18" s="356" t="s">
        <v>586</v>
      </c>
    </row>
    <row r="19" ht="15">
      <c r="A19" s="356"/>
    </row>
    <row r="20" ht="15">
      <c r="A20" s="356" t="s">
        <v>587</v>
      </c>
    </row>
    <row r="21" ht="15">
      <c r="A21" s="356" t="s">
        <v>588</v>
      </c>
    </row>
    <row r="22" ht="15">
      <c r="A22" s="356" t="s">
        <v>589</v>
      </c>
    </row>
    <row r="23" ht="15">
      <c r="A23" s="356" t="s">
        <v>590</v>
      </c>
    </row>
    <row r="24" ht="15">
      <c r="A24" s="356"/>
    </row>
    <row r="25" ht="15">
      <c r="A25" s="357" t="s">
        <v>552</v>
      </c>
    </row>
    <row r="26" ht="15">
      <c r="A26" s="357"/>
    </row>
    <row r="27" ht="15">
      <c r="A27" s="356" t="s">
        <v>553</v>
      </c>
    </row>
    <row r="28" spans="1:6" ht="15">
      <c r="A28" s="356" t="s">
        <v>554</v>
      </c>
      <c r="B28" s="356"/>
      <c r="C28" s="356"/>
      <c r="D28" s="356"/>
      <c r="E28" s="356"/>
      <c r="F28" s="356"/>
    </row>
    <row r="29" spans="1:6" ht="15">
      <c r="A29" s="356" t="s">
        <v>555</v>
      </c>
      <c r="B29" s="356"/>
      <c r="C29" s="356"/>
      <c r="D29" s="356"/>
      <c r="E29" s="356"/>
      <c r="F29" s="356"/>
    </row>
    <row r="30" spans="1:6" ht="15">
      <c r="A30" s="356" t="s">
        <v>556</v>
      </c>
      <c r="B30" s="356"/>
      <c r="C30" s="356"/>
      <c r="D30" s="356"/>
      <c r="E30" s="356"/>
      <c r="F30" s="356"/>
    </row>
    <row r="31" ht="15">
      <c r="A31" s="356"/>
    </row>
    <row r="32" spans="1:7" ht="15">
      <c r="A32" s="357" t="s">
        <v>557</v>
      </c>
      <c r="B32" s="357"/>
      <c r="C32" s="357"/>
      <c r="D32" s="357"/>
      <c r="E32" s="357"/>
      <c r="F32" s="357"/>
      <c r="G32" s="357"/>
    </row>
    <row r="33" spans="1:7" ht="15">
      <c r="A33" s="357" t="s">
        <v>558</v>
      </c>
      <c r="B33" s="357"/>
      <c r="C33" s="357"/>
      <c r="D33" s="357"/>
      <c r="E33" s="357"/>
      <c r="F33" s="357"/>
      <c r="G33" s="357"/>
    </row>
    <row r="34" spans="1:7" ht="15">
      <c r="A34" s="357"/>
      <c r="B34" s="357"/>
      <c r="C34" s="357"/>
      <c r="D34" s="357"/>
      <c r="E34" s="357"/>
      <c r="F34" s="357"/>
      <c r="G34" s="357"/>
    </row>
    <row r="35" spans="1:7" ht="15">
      <c r="A35" s="356" t="s">
        <v>591</v>
      </c>
      <c r="B35" s="356"/>
      <c r="C35" s="356"/>
      <c r="D35" s="356"/>
      <c r="E35" s="356"/>
      <c r="F35" s="356"/>
      <c r="G35" s="356"/>
    </row>
    <row r="36" spans="1:7" ht="15">
      <c r="A36" s="356" t="s">
        <v>592</v>
      </c>
      <c r="B36" s="356"/>
      <c r="C36" s="356"/>
      <c r="D36" s="356"/>
      <c r="E36" s="356"/>
      <c r="F36" s="356"/>
      <c r="G36" s="356"/>
    </row>
    <row r="37" spans="1:7" ht="15">
      <c r="A37" s="356" t="s">
        <v>593</v>
      </c>
      <c r="B37" s="356"/>
      <c r="C37" s="356"/>
      <c r="D37" s="356"/>
      <c r="E37" s="356"/>
      <c r="F37" s="356"/>
      <c r="G37" s="356"/>
    </row>
    <row r="38" spans="1:7" ht="15">
      <c r="A38" s="356" t="s">
        <v>594</v>
      </c>
      <c r="B38" s="356"/>
      <c r="C38" s="356"/>
      <c r="D38" s="356"/>
      <c r="E38" s="356"/>
      <c r="F38" s="356"/>
      <c r="G38" s="356"/>
    </row>
    <row r="39" spans="1:7" ht="15">
      <c r="A39" s="356" t="s">
        <v>595</v>
      </c>
      <c r="B39" s="356"/>
      <c r="C39" s="356"/>
      <c r="D39" s="356"/>
      <c r="E39" s="356"/>
      <c r="F39" s="356"/>
      <c r="G39" s="356"/>
    </row>
    <row r="40" spans="1:7" ht="15">
      <c r="A40" s="357"/>
      <c r="B40" s="357"/>
      <c r="C40" s="357"/>
      <c r="D40" s="357"/>
      <c r="E40" s="357"/>
      <c r="F40" s="357"/>
      <c r="G40" s="357"/>
    </row>
    <row r="41" spans="1:6" ht="15">
      <c r="A41" s="354" t="str">
        <f>CONCATENATE("So, let's look to see if any of your ",inputPrYr!C5-1," expenditures can")</f>
        <v>So, let's look to see if any of your 2013 expenditures can</v>
      </c>
      <c r="B41" s="356"/>
      <c r="C41" s="356"/>
      <c r="D41" s="356"/>
      <c r="E41" s="356"/>
      <c r="F41" s="356"/>
    </row>
    <row r="42" spans="1:6" ht="15">
      <c r="A42" s="354" t="s">
        <v>559</v>
      </c>
      <c r="B42" s="356"/>
      <c r="C42" s="356"/>
      <c r="D42" s="356"/>
      <c r="E42" s="356"/>
      <c r="F42" s="356"/>
    </row>
    <row r="43" spans="1:6" ht="15">
      <c r="A43" s="354" t="s">
        <v>443</v>
      </c>
      <c r="B43" s="356"/>
      <c r="C43" s="356"/>
      <c r="D43" s="356"/>
      <c r="E43" s="356"/>
      <c r="F43" s="356"/>
    </row>
    <row r="44" spans="1:6" ht="15">
      <c r="A44" s="354" t="s">
        <v>444</v>
      </c>
      <c r="B44" s="356"/>
      <c r="C44" s="356"/>
      <c r="D44" s="356"/>
      <c r="E44" s="356"/>
      <c r="F44" s="356"/>
    </row>
    <row r="45" ht="15">
      <c r="A45" s="356"/>
    </row>
    <row r="46" spans="1:6" ht="15">
      <c r="A46" s="354" t="str">
        <f>CONCATENATE("Additionally, do your ",inputPrYr!C5-1," receipts contain a reimbursement")</f>
        <v>Additionally, do your 2013 receipts contain a reimbursement</v>
      </c>
      <c r="B46" s="356"/>
      <c r="C46" s="356"/>
      <c r="D46" s="356"/>
      <c r="E46" s="356"/>
      <c r="F46" s="356"/>
    </row>
    <row r="47" spans="1:6" ht="15">
      <c r="A47" s="354" t="s">
        <v>445</v>
      </c>
      <c r="B47" s="356"/>
      <c r="C47" s="356"/>
      <c r="D47" s="356"/>
      <c r="E47" s="356"/>
      <c r="F47" s="356"/>
    </row>
    <row r="48" spans="1:6" ht="15">
      <c r="A48" s="354" t="s">
        <v>446</v>
      </c>
      <c r="B48" s="356"/>
      <c r="C48" s="356"/>
      <c r="D48" s="356"/>
      <c r="E48" s="356"/>
      <c r="F48" s="356"/>
    </row>
    <row r="49" spans="1:7" ht="15">
      <c r="A49" s="356"/>
      <c r="B49" s="356"/>
      <c r="C49" s="356"/>
      <c r="D49" s="356"/>
      <c r="E49" s="356"/>
      <c r="F49" s="356"/>
      <c r="G49" s="356"/>
    </row>
    <row r="50" spans="1:7" ht="15">
      <c r="A50" s="356" t="s">
        <v>513</v>
      </c>
      <c r="B50" s="356"/>
      <c r="C50" s="356"/>
      <c r="D50" s="356"/>
      <c r="E50" s="356"/>
      <c r="F50" s="356"/>
      <c r="G50" s="356"/>
    </row>
    <row r="51" spans="1:7" ht="15">
      <c r="A51" s="356" t="s">
        <v>514</v>
      </c>
      <c r="B51" s="356"/>
      <c r="C51" s="356"/>
      <c r="D51" s="356"/>
      <c r="E51" s="356"/>
      <c r="F51" s="356"/>
      <c r="G51" s="356"/>
    </row>
    <row r="52" spans="1:7" ht="15">
      <c r="A52" s="356" t="s">
        <v>515</v>
      </c>
      <c r="B52" s="356"/>
      <c r="C52" s="356"/>
      <c r="D52" s="356"/>
      <c r="E52" s="356"/>
      <c r="F52" s="356"/>
      <c r="G52" s="356"/>
    </row>
    <row r="53" spans="1:7" ht="15">
      <c r="A53" s="356" t="s">
        <v>516</v>
      </c>
      <c r="B53" s="356"/>
      <c r="C53" s="356"/>
      <c r="D53" s="356"/>
      <c r="E53" s="356"/>
      <c r="F53" s="356"/>
      <c r="G53" s="356"/>
    </row>
    <row r="54" spans="1:7" ht="15">
      <c r="A54" s="356" t="s">
        <v>517</v>
      </c>
      <c r="B54" s="356"/>
      <c r="C54" s="356"/>
      <c r="D54" s="356"/>
      <c r="E54" s="356"/>
      <c r="F54" s="356"/>
      <c r="G54" s="356"/>
    </row>
    <row r="55" spans="1:7" ht="15">
      <c r="A55" s="356"/>
      <c r="B55" s="356"/>
      <c r="C55" s="356"/>
      <c r="D55" s="356"/>
      <c r="E55" s="356"/>
      <c r="F55" s="356"/>
      <c r="G55" s="356"/>
    </row>
    <row r="56" spans="1:6" ht="15">
      <c r="A56" s="354" t="s">
        <v>455</v>
      </c>
      <c r="B56" s="356"/>
      <c r="C56" s="356"/>
      <c r="D56" s="356"/>
      <c r="E56" s="356"/>
      <c r="F56" s="356"/>
    </row>
    <row r="57" spans="1:6" ht="15">
      <c r="A57" s="354" t="s">
        <v>456</v>
      </c>
      <c r="B57" s="356"/>
      <c r="C57" s="356"/>
      <c r="D57" s="356"/>
      <c r="E57" s="356"/>
      <c r="F57" s="356"/>
    </row>
    <row r="58" spans="1:6" ht="15">
      <c r="A58" s="354" t="s">
        <v>457</v>
      </c>
      <c r="B58" s="356"/>
      <c r="C58" s="356"/>
      <c r="D58" s="356"/>
      <c r="E58" s="356"/>
      <c r="F58" s="356"/>
    </row>
    <row r="59" spans="1:6" ht="15">
      <c r="A59" s="354"/>
      <c r="B59" s="356"/>
      <c r="C59" s="356"/>
      <c r="D59" s="356"/>
      <c r="E59" s="356"/>
      <c r="F59" s="356"/>
    </row>
    <row r="60" spans="1:7" ht="15">
      <c r="A60" s="356" t="s">
        <v>596</v>
      </c>
      <c r="B60" s="356"/>
      <c r="C60" s="356"/>
      <c r="D60" s="356"/>
      <c r="E60" s="356"/>
      <c r="F60" s="356"/>
      <c r="G60" s="356"/>
    </row>
    <row r="61" spans="1:7" ht="15">
      <c r="A61" s="356" t="s">
        <v>597</v>
      </c>
      <c r="B61" s="356"/>
      <c r="C61" s="356"/>
      <c r="D61" s="356"/>
      <c r="E61" s="356"/>
      <c r="F61" s="356"/>
      <c r="G61" s="356"/>
    </row>
    <row r="62" spans="1:7" ht="15">
      <c r="A62" s="356" t="s">
        <v>598</v>
      </c>
      <c r="B62" s="356"/>
      <c r="C62" s="356"/>
      <c r="D62" s="356"/>
      <c r="E62" s="356"/>
      <c r="F62" s="356"/>
      <c r="G62" s="356"/>
    </row>
    <row r="63" spans="1:7" ht="15">
      <c r="A63" s="356" t="s">
        <v>599</v>
      </c>
      <c r="B63" s="356"/>
      <c r="C63" s="356"/>
      <c r="D63" s="356"/>
      <c r="E63" s="356"/>
      <c r="F63" s="356"/>
      <c r="G63" s="356"/>
    </row>
    <row r="64" spans="1:7" ht="15">
      <c r="A64" s="356" t="s">
        <v>600</v>
      </c>
      <c r="B64" s="356"/>
      <c r="C64" s="356"/>
      <c r="D64" s="356"/>
      <c r="E64" s="356"/>
      <c r="F64" s="356"/>
      <c r="G64" s="356"/>
    </row>
    <row r="66" spans="1:6" ht="15">
      <c r="A66" s="354" t="s">
        <v>563</v>
      </c>
      <c r="B66" s="356"/>
      <c r="C66" s="356"/>
      <c r="D66" s="356"/>
      <c r="E66" s="356"/>
      <c r="F66" s="356"/>
    </row>
    <row r="67" spans="1:6" ht="15">
      <c r="A67" s="354" t="s">
        <v>564</v>
      </c>
      <c r="B67" s="356"/>
      <c r="C67" s="356"/>
      <c r="D67" s="356"/>
      <c r="E67" s="356"/>
      <c r="F67" s="356"/>
    </row>
    <row r="68" spans="1:6" ht="15">
      <c r="A68" s="354" t="s">
        <v>565</v>
      </c>
      <c r="B68" s="356"/>
      <c r="C68" s="356"/>
      <c r="D68" s="356"/>
      <c r="E68" s="356"/>
      <c r="F68" s="356"/>
    </row>
    <row r="69" spans="1:6" ht="15">
      <c r="A69" s="354" t="s">
        <v>566</v>
      </c>
      <c r="B69" s="356"/>
      <c r="C69" s="356"/>
      <c r="D69" s="356"/>
      <c r="E69" s="356"/>
      <c r="F69" s="356"/>
    </row>
    <row r="70" spans="1:6" ht="15">
      <c r="A70" s="354" t="s">
        <v>567</v>
      </c>
      <c r="B70" s="356"/>
      <c r="C70" s="356"/>
      <c r="D70" s="356"/>
      <c r="E70" s="356"/>
      <c r="F70" s="356"/>
    </row>
    <row r="71" ht="15">
      <c r="A71" s="356"/>
    </row>
    <row r="72" ht="15">
      <c r="A72" s="356" t="s">
        <v>484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55" t="s">
        <v>601</v>
      </c>
      <c r="B3" s="355"/>
      <c r="C3" s="355"/>
      <c r="D3" s="355"/>
      <c r="E3" s="355"/>
      <c r="F3" s="355"/>
      <c r="G3" s="355"/>
    </row>
    <row r="4" spans="1:7" ht="15">
      <c r="A4" s="355" t="s">
        <v>602</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429</v>
      </c>
    </row>
    <row r="8" ht="15">
      <c r="A8" s="356" t="str">
        <f>CONCATENATE("estimated ",inputPrYr!C5," 'total expenditures' exceed your ",inputPrYr!C5,"")</f>
        <v>estimated 2014 'total expenditures' exceed your 2014</v>
      </c>
    </row>
    <row r="9" ht="15">
      <c r="A9" s="359" t="s">
        <v>603</v>
      </c>
    </row>
    <row r="10" ht="15">
      <c r="A10" s="356"/>
    </row>
    <row r="11" ht="15">
      <c r="A11" s="356" t="s">
        <v>604</v>
      </c>
    </row>
    <row r="12" ht="15">
      <c r="A12" s="356" t="s">
        <v>605</v>
      </c>
    </row>
    <row r="13" ht="15">
      <c r="A13" s="356" t="s">
        <v>606</v>
      </c>
    </row>
    <row r="14" ht="15">
      <c r="A14" s="356"/>
    </row>
    <row r="15" ht="15">
      <c r="A15" s="357" t="s">
        <v>607</v>
      </c>
    </row>
    <row r="16" spans="1:7" ht="15">
      <c r="A16" s="355"/>
      <c r="B16" s="355"/>
      <c r="C16" s="355"/>
      <c r="D16" s="355"/>
      <c r="E16" s="355"/>
      <c r="F16" s="355"/>
      <c r="G16" s="355"/>
    </row>
    <row r="17" spans="1:8" ht="15">
      <c r="A17" s="360" t="s">
        <v>608</v>
      </c>
      <c r="B17" s="361"/>
      <c r="C17" s="361"/>
      <c r="D17" s="361"/>
      <c r="E17" s="361"/>
      <c r="F17" s="361"/>
      <c r="G17" s="361"/>
      <c r="H17" s="361"/>
    </row>
    <row r="18" spans="1:7" ht="15">
      <c r="A18" s="356" t="s">
        <v>609</v>
      </c>
      <c r="B18" s="362"/>
      <c r="C18" s="362"/>
      <c r="D18" s="362"/>
      <c r="E18" s="362"/>
      <c r="F18" s="362"/>
      <c r="G18" s="362"/>
    </row>
    <row r="19" ht="15">
      <c r="A19" s="356" t="s">
        <v>610</v>
      </c>
    </row>
    <row r="20" ht="15">
      <c r="A20" s="356" t="s">
        <v>611</v>
      </c>
    </row>
    <row r="22" ht="15">
      <c r="A22" s="357" t="s">
        <v>612</v>
      </c>
    </row>
    <row r="24" ht="15">
      <c r="A24" s="356" t="s">
        <v>613</v>
      </c>
    </row>
    <row r="25" ht="15">
      <c r="A25" s="356" t="s">
        <v>614</v>
      </c>
    </row>
    <row r="26" ht="15">
      <c r="A26" s="356" t="s">
        <v>615</v>
      </c>
    </row>
    <row r="28" ht="15">
      <c r="A28" s="357" t="s">
        <v>616</v>
      </c>
    </row>
    <row r="30" ht="15">
      <c r="A30" t="s">
        <v>617</v>
      </c>
    </row>
    <row r="31" ht="15">
      <c r="A31" t="s">
        <v>618</v>
      </c>
    </row>
    <row r="32" ht="15">
      <c r="A32" t="s">
        <v>619</v>
      </c>
    </row>
    <row r="33" ht="15">
      <c r="A33" s="356" t="s">
        <v>620</v>
      </c>
    </row>
    <row r="35" ht="15">
      <c r="A35" t="s">
        <v>621</v>
      </c>
    </row>
    <row r="36" ht="15">
      <c r="A36" t="s">
        <v>622</v>
      </c>
    </row>
    <row r="37" ht="15">
      <c r="A37" t="s">
        <v>623</v>
      </c>
    </row>
    <row r="38" ht="15">
      <c r="A38" t="s">
        <v>624</v>
      </c>
    </row>
    <row r="40" ht="15">
      <c r="A40" t="s">
        <v>625</v>
      </c>
    </row>
    <row r="41" ht="15">
      <c r="A41" t="s">
        <v>626</v>
      </c>
    </row>
    <row r="42" ht="15">
      <c r="A42" t="s">
        <v>627</v>
      </c>
    </row>
    <row r="43" ht="15">
      <c r="A43" t="s">
        <v>628</v>
      </c>
    </row>
    <row r="44" ht="15">
      <c r="A44" t="s">
        <v>629</v>
      </c>
    </row>
    <row r="45" ht="15">
      <c r="A45" t="s">
        <v>630</v>
      </c>
    </row>
    <row r="47" ht="15">
      <c r="A47" t="s">
        <v>631</v>
      </c>
    </row>
    <row r="48" ht="15">
      <c r="A48" t="s">
        <v>632</v>
      </c>
    </row>
    <row r="49" ht="15">
      <c r="A49" s="356" t="s">
        <v>633</v>
      </c>
    </row>
    <row r="50" ht="15">
      <c r="A50" s="356" t="s">
        <v>634</v>
      </c>
    </row>
    <row r="52" ht="15">
      <c r="A52" t="s">
        <v>484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5.xml><?xml version="1.0" encoding="utf-8"?>
<worksheet xmlns="http://schemas.openxmlformats.org/spreadsheetml/2006/main" xmlns:r="http://schemas.openxmlformats.org/officeDocument/2006/relationships">
  <dimension ref="A1:X354"/>
  <sheetViews>
    <sheetView zoomScaleSheetLayoutView="100" workbookViewId="0" topLeftCell="A124">
      <selection activeCell="F138" sqref="F138"/>
    </sheetView>
  </sheetViews>
  <sheetFormatPr defaultColWidth="8.796875" defaultRowHeight="15"/>
  <cols>
    <col min="1" max="1" width="7.59765625" style="430" customWidth="1"/>
    <col min="2" max="2" width="11.19921875" style="432" customWidth="1"/>
    <col min="3" max="3" width="7.3984375" style="432" customWidth="1"/>
    <col min="4" max="4" width="8.8984375" style="432" customWidth="1"/>
    <col min="5" max="5" width="1.59765625" style="432" customWidth="1"/>
    <col min="6" max="6" width="14.296875" style="432" customWidth="1"/>
    <col min="7" max="7" width="2.59765625" style="432" customWidth="1"/>
    <col min="8" max="8" width="9.796875" style="432" customWidth="1"/>
    <col min="9" max="9" width="2" style="432" customWidth="1"/>
    <col min="10" max="10" width="8.59765625" style="432" customWidth="1"/>
    <col min="11" max="11" width="11.69921875" style="432" customWidth="1"/>
    <col min="12" max="12" width="7.59765625" style="430" customWidth="1"/>
    <col min="13" max="14" width="8.8984375" style="430" customWidth="1"/>
    <col min="15" max="15" width="9.8984375" style="430" bestFit="1" customWidth="1"/>
    <col min="16" max="16384" width="8.8984375" style="430" customWidth="1"/>
  </cols>
  <sheetData>
    <row r="1" spans="1:12" ht="14.25">
      <c r="A1" s="431"/>
      <c r="B1" s="431"/>
      <c r="C1" s="431"/>
      <c r="D1" s="431"/>
      <c r="E1" s="431"/>
      <c r="F1" s="431"/>
      <c r="G1" s="431"/>
      <c r="H1" s="431"/>
      <c r="I1" s="431"/>
      <c r="J1" s="431"/>
      <c r="K1" s="431"/>
      <c r="L1" s="431"/>
    </row>
    <row r="2" spans="1:12" ht="14.25">
      <c r="A2" s="431"/>
      <c r="B2" s="431"/>
      <c r="C2" s="431"/>
      <c r="D2" s="431"/>
      <c r="E2" s="431"/>
      <c r="F2" s="431"/>
      <c r="G2" s="431"/>
      <c r="H2" s="431"/>
      <c r="I2" s="431"/>
      <c r="J2" s="431"/>
      <c r="K2" s="431"/>
      <c r="L2" s="431"/>
    </row>
    <row r="3" spans="1:12" ht="14.25">
      <c r="A3" s="431"/>
      <c r="B3" s="431"/>
      <c r="C3" s="431"/>
      <c r="D3" s="431"/>
      <c r="E3" s="431"/>
      <c r="F3" s="431"/>
      <c r="G3" s="431"/>
      <c r="H3" s="431"/>
      <c r="I3" s="431"/>
      <c r="J3" s="431"/>
      <c r="K3" s="431"/>
      <c r="L3" s="431"/>
    </row>
    <row r="4" spans="1:12" ht="14.25">
      <c r="A4" s="431"/>
      <c r="L4" s="431"/>
    </row>
    <row r="5" spans="1:12" ht="15" customHeight="1">
      <c r="A5" s="431"/>
      <c r="L5" s="431"/>
    </row>
    <row r="6" spans="1:12" ht="33" customHeight="1">
      <c r="A6" s="431"/>
      <c r="B6" s="837" t="s">
        <v>670</v>
      </c>
      <c r="C6" s="841"/>
      <c r="D6" s="841"/>
      <c r="E6" s="841"/>
      <c r="F6" s="841"/>
      <c r="G6" s="841"/>
      <c r="H6" s="841"/>
      <c r="I6" s="841"/>
      <c r="J6" s="841"/>
      <c r="K6" s="841"/>
      <c r="L6" s="433"/>
    </row>
    <row r="7" spans="1:12" ht="40.5" customHeight="1">
      <c r="A7" s="431"/>
      <c r="B7" s="854" t="s">
        <v>671</v>
      </c>
      <c r="C7" s="855"/>
      <c r="D7" s="855"/>
      <c r="E7" s="855"/>
      <c r="F7" s="855"/>
      <c r="G7" s="855"/>
      <c r="H7" s="855"/>
      <c r="I7" s="855"/>
      <c r="J7" s="855"/>
      <c r="K7" s="855"/>
      <c r="L7" s="431"/>
    </row>
    <row r="8" spans="1:12" ht="14.25">
      <c r="A8" s="431"/>
      <c r="B8" s="847" t="s">
        <v>672</v>
      </c>
      <c r="C8" s="847"/>
      <c r="D8" s="847"/>
      <c r="E8" s="847"/>
      <c r="F8" s="847"/>
      <c r="G8" s="847"/>
      <c r="H8" s="847"/>
      <c r="I8" s="847"/>
      <c r="J8" s="847"/>
      <c r="K8" s="847"/>
      <c r="L8" s="431"/>
    </row>
    <row r="9" spans="1:12" ht="14.25">
      <c r="A9" s="431"/>
      <c r="L9" s="431"/>
    </row>
    <row r="10" spans="1:12" ht="14.25">
      <c r="A10" s="431"/>
      <c r="B10" s="847" t="s">
        <v>673</v>
      </c>
      <c r="C10" s="847"/>
      <c r="D10" s="847"/>
      <c r="E10" s="847"/>
      <c r="F10" s="847"/>
      <c r="G10" s="847"/>
      <c r="H10" s="847"/>
      <c r="I10" s="847"/>
      <c r="J10" s="847"/>
      <c r="K10" s="847"/>
      <c r="L10" s="431"/>
    </row>
    <row r="11" spans="1:12" ht="14.25">
      <c r="A11" s="431"/>
      <c r="B11" s="593"/>
      <c r="C11" s="593"/>
      <c r="D11" s="593"/>
      <c r="E11" s="593"/>
      <c r="F11" s="593"/>
      <c r="G11" s="593"/>
      <c r="H11" s="593"/>
      <c r="I11" s="593"/>
      <c r="J11" s="593"/>
      <c r="K11" s="593"/>
      <c r="L11" s="431"/>
    </row>
    <row r="12" spans="1:12" ht="32.25" customHeight="1">
      <c r="A12" s="431"/>
      <c r="B12" s="839" t="s">
        <v>674</v>
      </c>
      <c r="C12" s="839"/>
      <c r="D12" s="839"/>
      <c r="E12" s="839"/>
      <c r="F12" s="839"/>
      <c r="G12" s="839"/>
      <c r="H12" s="839"/>
      <c r="I12" s="839"/>
      <c r="J12" s="839"/>
      <c r="K12" s="839"/>
      <c r="L12" s="431"/>
    </row>
    <row r="13" spans="1:12" ht="14.25">
      <c r="A13" s="431"/>
      <c r="L13" s="431"/>
    </row>
    <row r="14" spans="1:12" ht="14.25">
      <c r="A14" s="431"/>
      <c r="B14" s="434" t="s">
        <v>675</v>
      </c>
      <c r="L14" s="431"/>
    </row>
    <row r="15" spans="1:12" ht="14.25">
      <c r="A15" s="431"/>
      <c r="L15" s="431"/>
    </row>
    <row r="16" spans="1:12" ht="14.25">
      <c r="A16" s="431"/>
      <c r="B16" s="432" t="s">
        <v>676</v>
      </c>
      <c r="L16" s="431"/>
    </row>
    <row r="17" spans="1:12" ht="14.25">
      <c r="A17" s="431"/>
      <c r="B17" s="432" t="s">
        <v>677</v>
      </c>
      <c r="L17" s="431"/>
    </row>
    <row r="18" spans="1:12" ht="14.25">
      <c r="A18" s="431"/>
      <c r="L18" s="431"/>
    </row>
    <row r="19" spans="1:12" ht="14.25">
      <c r="A19" s="431"/>
      <c r="B19" s="434" t="s">
        <v>850</v>
      </c>
      <c r="L19" s="431"/>
    </row>
    <row r="20" spans="1:12" ht="14.25">
      <c r="A20" s="431"/>
      <c r="B20" s="434"/>
      <c r="L20" s="431"/>
    </row>
    <row r="21" spans="1:12" ht="14.25">
      <c r="A21" s="431"/>
      <c r="B21" s="432" t="s">
        <v>851</v>
      </c>
      <c r="L21" s="431"/>
    </row>
    <row r="22" spans="1:12" ht="14.25">
      <c r="A22" s="431"/>
      <c r="L22" s="431"/>
    </row>
    <row r="23" spans="1:12" ht="14.25">
      <c r="A23" s="431"/>
      <c r="B23" s="432" t="s">
        <v>678</v>
      </c>
      <c r="E23" s="432" t="s">
        <v>679</v>
      </c>
      <c r="F23" s="845">
        <v>10906025</v>
      </c>
      <c r="G23" s="845"/>
      <c r="L23" s="431"/>
    </row>
    <row r="24" spans="1:12" ht="14.25">
      <c r="A24" s="431"/>
      <c r="L24" s="431"/>
    </row>
    <row r="25" spans="1:12" ht="14.25">
      <c r="A25" s="431"/>
      <c r="C25" s="856">
        <f>F23</f>
        <v>10906025</v>
      </c>
      <c r="D25" s="856"/>
      <c r="E25" s="432" t="s">
        <v>680</v>
      </c>
      <c r="F25" s="435">
        <v>1000</v>
      </c>
      <c r="G25" s="435" t="s">
        <v>679</v>
      </c>
      <c r="H25" s="594">
        <f>F23/F25</f>
        <v>10906.025</v>
      </c>
      <c r="L25" s="431"/>
    </row>
    <row r="26" spans="1:12" ht="15" thickBot="1">
      <c r="A26" s="431"/>
      <c r="L26" s="431"/>
    </row>
    <row r="27" spans="1:12" ht="14.25">
      <c r="A27" s="431"/>
      <c r="B27" s="436" t="s">
        <v>675</v>
      </c>
      <c r="C27" s="437"/>
      <c r="D27" s="437"/>
      <c r="E27" s="437"/>
      <c r="F27" s="437"/>
      <c r="G27" s="437"/>
      <c r="H27" s="437"/>
      <c r="I27" s="437"/>
      <c r="J27" s="437"/>
      <c r="K27" s="438"/>
      <c r="L27" s="431"/>
    </row>
    <row r="28" spans="1:12" ht="14.25">
      <c r="A28" s="431"/>
      <c r="B28" s="439">
        <f>F23</f>
        <v>10906025</v>
      </c>
      <c r="C28" s="440" t="s">
        <v>681</v>
      </c>
      <c r="D28" s="440"/>
      <c r="E28" s="440" t="s">
        <v>680</v>
      </c>
      <c r="F28" s="591">
        <v>1000</v>
      </c>
      <c r="G28" s="591" t="s">
        <v>679</v>
      </c>
      <c r="H28" s="441">
        <f>B28/F28</f>
        <v>10906.025</v>
      </c>
      <c r="I28" s="440" t="s">
        <v>682</v>
      </c>
      <c r="J28" s="440"/>
      <c r="K28" s="442"/>
      <c r="L28" s="431"/>
    </row>
    <row r="29" spans="1:12" ht="15" thickBot="1">
      <c r="A29" s="431"/>
      <c r="B29" s="443"/>
      <c r="C29" s="444"/>
      <c r="D29" s="444"/>
      <c r="E29" s="444"/>
      <c r="F29" s="444"/>
      <c r="G29" s="444"/>
      <c r="H29" s="444"/>
      <c r="I29" s="444"/>
      <c r="J29" s="444"/>
      <c r="K29" s="445"/>
      <c r="L29" s="431"/>
    </row>
    <row r="30" spans="1:12" ht="40.5" customHeight="1">
      <c r="A30" s="431"/>
      <c r="B30" s="836" t="s">
        <v>671</v>
      </c>
      <c r="C30" s="836"/>
      <c r="D30" s="836"/>
      <c r="E30" s="836"/>
      <c r="F30" s="836"/>
      <c r="G30" s="836"/>
      <c r="H30" s="836"/>
      <c r="I30" s="836"/>
      <c r="J30" s="836"/>
      <c r="K30" s="836"/>
      <c r="L30" s="431"/>
    </row>
    <row r="31" spans="1:12" ht="14.25">
      <c r="A31" s="431"/>
      <c r="B31" s="847" t="s">
        <v>683</v>
      </c>
      <c r="C31" s="847"/>
      <c r="D31" s="847"/>
      <c r="E31" s="847"/>
      <c r="F31" s="847"/>
      <c r="G31" s="847"/>
      <c r="H31" s="847"/>
      <c r="I31" s="847"/>
      <c r="J31" s="847"/>
      <c r="K31" s="847"/>
      <c r="L31" s="431"/>
    </row>
    <row r="32" spans="1:12" ht="14.25">
      <c r="A32" s="431"/>
      <c r="L32" s="431"/>
    </row>
    <row r="33" spans="1:12" ht="14.25">
      <c r="A33" s="431"/>
      <c r="B33" s="847" t="s">
        <v>684</v>
      </c>
      <c r="C33" s="847"/>
      <c r="D33" s="847"/>
      <c r="E33" s="847"/>
      <c r="F33" s="847"/>
      <c r="G33" s="847"/>
      <c r="H33" s="847"/>
      <c r="I33" s="847"/>
      <c r="J33" s="847"/>
      <c r="K33" s="847"/>
      <c r="L33" s="431"/>
    </row>
    <row r="34" spans="1:12" ht="14.25">
      <c r="A34" s="431"/>
      <c r="L34" s="431"/>
    </row>
    <row r="35" spans="1:12" ht="89.25" customHeight="1">
      <c r="A35" s="431"/>
      <c r="B35" s="839" t="s">
        <v>685</v>
      </c>
      <c r="C35" s="844"/>
      <c r="D35" s="844"/>
      <c r="E35" s="844"/>
      <c r="F35" s="844"/>
      <c r="G35" s="844"/>
      <c r="H35" s="844"/>
      <c r="I35" s="844"/>
      <c r="J35" s="844"/>
      <c r="K35" s="844"/>
      <c r="L35" s="431"/>
    </row>
    <row r="36" spans="1:12" ht="14.25">
      <c r="A36" s="431"/>
      <c r="L36" s="431"/>
    </row>
    <row r="37" spans="1:12" ht="14.25">
      <c r="A37" s="431"/>
      <c r="B37" s="434" t="s">
        <v>686</v>
      </c>
      <c r="L37" s="431"/>
    </row>
    <row r="38" spans="1:12" ht="14.25">
      <c r="A38" s="431"/>
      <c r="L38" s="431"/>
    </row>
    <row r="39" spans="1:12" ht="14.25">
      <c r="A39" s="431"/>
      <c r="B39" s="432" t="s">
        <v>687</v>
      </c>
      <c r="L39" s="431"/>
    </row>
    <row r="40" spans="1:12" ht="14.25">
      <c r="A40" s="431"/>
      <c r="L40" s="431"/>
    </row>
    <row r="41" spans="1:12" ht="14.25">
      <c r="A41" s="431"/>
      <c r="C41" s="848">
        <v>312000000</v>
      </c>
      <c r="D41" s="848"/>
      <c r="E41" s="432" t="s">
        <v>680</v>
      </c>
      <c r="F41" s="435">
        <v>1000</v>
      </c>
      <c r="G41" s="435" t="s">
        <v>679</v>
      </c>
      <c r="H41" s="446">
        <f>C41/F41</f>
        <v>312000</v>
      </c>
      <c r="L41" s="431"/>
    </row>
    <row r="42" spans="1:12" ht="14.25">
      <c r="A42" s="431"/>
      <c r="L42" s="431"/>
    </row>
    <row r="43" spans="1:12" ht="14.25">
      <c r="A43" s="431"/>
      <c r="B43" s="432" t="s">
        <v>688</v>
      </c>
      <c r="L43" s="431"/>
    </row>
    <row r="44" spans="1:12" ht="14.25">
      <c r="A44" s="431"/>
      <c r="L44" s="431"/>
    </row>
    <row r="45" spans="1:12" ht="14.25">
      <c r="A45" s="431"/>
      <c r="B45" s="432" t="s">
        <v>689</v>
      </c>
      <c r="L45" s="431"/>
    </row>
    <row r="46" spans="1:12" ht="15" thickBot="1">
      <c r="A46" s="431"/>
      <c r="L46" s="431"/>
    </row>
    <row r="47" spans="1:12" ht="14.25">
      <c r="A47" s="431"/>
      <c r="B47" s="447" t="s">
        <v>675</v>
      </c>
      <c r="C47" s="437"/>
      <c r="D47" s="437"/>
      <c r="E47" s="437"/>
      <c r="F47" s="437"/>
      <c r="G47" s="437"/>
      <c r="H47" s="437"/>
      <c r="I47" s="437"/>
      <c r="J47" s="437"/>
      <c r="K47" s="438"/>
      <c r="L47" s="431"/>
    </row>
    <row r="48" spans="1:12" ht="14.25">
      <c r="A48" s="431"/>
      <c r="B48" s="849">
        <v>312000000</v>
      </c>
      <c r="C48" s="845"/>
      <c r="D48" s="440" t="s">
        <v>690</v>
      </c>
      <c r="E48" s="440" t="s">
        <v>680</v>
      </c>
      <c r="F48" s="591">
        <v>1000</v>
      </c>
      <c r="G48" s="591" t="s">
        <v>679</v>
      </c>
      <c r="H48" s="441">
        <f>B48/F48</f>
        <v>312000</v>
      </c>
      <c r="I48" s="440" t="s">
        <v>691</v>
      </c>
      <c r="J48" s="440"/>
      <c r="K48" s="442"/>
      <c r="L48" s="431"/>
    </row>
    <row r="49" spans="1:12" ht="14.25">
      <c r="A49" s="431"/>
      <c r="B49" s="448"/>
      <c r="C49" s="440"/>
      <c r="D49" s="440"/>
      <c r="E49" s="440"/>
      <c r="F49" s="440"/>
      <c r="G49" s="440"/>
      <c r="H49" s="440"/>
      <c r="I49" s="440"/>
      <c r="J49" s="440"/>
      <c r="K49" s="442"/>
      <c r="L49" s="431"/>
    </row>
    <row r="50" spans="1:12" ht="14.25">
      <c r="A50" s="431"/>
      <c r="B50" s="449">
        <v>50000</v>
      </c>
      <c r="C50" s="440" t="s">
        <v>692</v>
      </c>
      <c r="D50" s="440"/>
      <c r="E50" s="440" t="s">
        <v>680</v>
      </c>
      <c r="F50" s="441">
        <f>H48</f>
        <v>312000</v>
      </c>
      <c r="G50" s="850" t="s">
        <v>693</v>
      </c>
      <c r="H50" s="851"/>
      <c r="I50" s="591" t="s">
        <v>679</v>
      </c>
      <c r="J50" s="450">
        <f>B50/F50</f>
        <v>0.16025641025641027</v>
      </c>
      <c r="K50" s="442"/>
      <c r="L50" s="431"/>
    </row>
    <row r="51" spans="1:15" ht="15" thickBot="1">
      <c r="A51" s="431"/>
      <c r="B51" s="443"/>
      <c r="C51" s="444"/>
      <c r="D51" s="444"/>
      <c r="E51" s="444"/>
      <c r="F51" s="444"/>
      <c r="G51" s="444"/>
      <c r="H51" s="444"/>
      <c r="I51" s="852" t="s">
        <v>694</v>
      </c>
      <c r="J51" s="852"/>
      <c r="K51" s="853"/>
      <c r="L51" s="431"/>
      <c r="O51" s="574"/>
    </row>
    <row r="52" spans="1:12" ht="40.5" customHeight="1">
      <c r="A52" s="431"/>
      <c r="B52" s="836" t="s">
        <v>671</v>
      </c>
      <c r="C52" s="836"/>
      <c r="D52" s="836"/>
      <c r="E52" s="836"/>
      <c r="F52" s="836"/>
      <c r="G52" s="836"/>
      <c r="H52" s="836"/>
      <c r="I52" s="836"/>
      <c r="J52" s="836"/>
      <c r="K52" s="836"/>
      <c r="L52" s="431"/>
    </row>
    <row r="53" spans="1:12" ht="14.25">
      <c r="A53" s="431"/>
      <c r="B53" s="847" t="s">
        <v>695</v>
      </c>
      <c r="C53" s="847"/>
      <c r="D53" s="847"/>
      <c r="E53" s="847"/>
      <c r="F53" s="847"/>
      <c r="G53" s="847"/>
      <c r="H53" s="847"/>
      <c r="I53" s="847"/>
      <c r="J53" s="847"/>
      <c r="K53" s="847"/>
      <c r="L53" s="431"/>
    </row>
    <row r="54" spans="1:12" ht="14.25">
      <c r="A54" s="431"/>
      <c r="B54" s="593"/>
      <c r="C54" s="593"/>
      <c r="D54" s="593"/>
      <c r="E54" s="593"/>
      <c r="F54" s="593"/>
      <c r="G54" s="593"/>
      <c r="H54" s="593"/>
      <c r="I54" s="593"/>
      <c r="J54" s="593"/>
      <c r="K54" s="593"/>
      <c r="L54" s="431"/>
    </row>
    <row r="55" spans="1:12" ht="14.25">
      <c r="A55" s="431"/>
      <c r="B55" s="837" t="s">
        <v>696</v>
      </c>
      <c r="C55" s="837"/>
      <c r="D55" s="837"/>
      <c r="E55" s="837"/>
      <c r="F55" s="837"/>
      <c r="G55" s="837"/>
      <c r="H55" s="837"/>
      <c r="I55" s="837"/>
      <c r="J55" s="837"/>
      <c r="K55" s="837"/>
      <c r="L55" s="431"/>
    </row>
    <row r="56" spans="1:12" ht="15" customHeight="1">
      <c r="A56" s="431"/>
      <c r="L56" s="431"/>
    </row>
    <row r="57" spans="1:24" ht="74.25" customHeight="1">
      <c r="A57" s="431"/>
      <c r="B57" s="839" t="s">
        <v>697</v>
      </c>
      <c r="C57" s="844"/>
      <c r="D57" s="844"/>
      <c r="E57" s="844"/>
      <c r="F57" s="844"/>
      <c r="G57" s="844"/>
      <c r="H57" s="844"/>
      <c r="I57" s="844"/>
      <c r="J57" s="844"/>
      <c r="K57" s="844"/>
      <c r="L57" s="431"/>
      <c r="M57" s="451"/>
      <c r="N57" s="452"/>
      <c r="O57" s="452"/>
      <c r="P57" s="452"/>
      <c r="Q57" s="452"/>
      <c r="R57" s="452"/>
      <c r="S57" s="452"/>
      <c r="T57" s="452"/>
      <c r="U57" s="452"/>
      <c r="V57" s="452"/>
      <c r="W57" s="452"/>
      <c r="X57" s="452"/>
    </row>
    <row r="58" spans="1:24" ht="15" customHeight="1">
      <c r="A58" s="431"/>
      <c r="B58" s="839"/>
      <c r="C58" s="844"/>
      <c r="D58" s="844"/>
      <c r="E58" s="844"/>
      <c r="F58" s="844"/>
      <c r="G58" s="844"/>
      <c r="H58" s="844"/>
      <c r="I58" s="844"/>
      <c r="J58" s="844"/>
      <c r="K58" s="844"/>
      <c r="L58" s="431"/>
      <c r="M58" s="451"/>
      <c r="N58" s="452"/>
      <c r="O58" s="452"/>
      <c r="P58" s="452"/>
      <c r="Q58" s="452"/>
      <c r="R58" s="452"/>
      <c r="S58" s="452"/>
      <c r="T58" s="452"/>
      <c r="U58" s="452"/>
      <c r="V58" s="452"/>
      <c r="W58" s="452"/>
      <c r="X58" s="452"/>
    </row>
    <row r="59" spans="1:24" ht="14.25">
      <c r="A59" s="431"/>
      <c r="B59" s="434" t="s">
        <v>686</v>
      </c>
      <c r="L59" s="431"/>
      <c r="M59" s="452"/>
      <c r="N59" s="452"/>
      <c r="O59" s="452"/>
      <c r="P59" s="452"/>
      <c r="Q59" s="452"/>
      <c r="R59" s="452"/>
      <c r="S59" s="452"/>
      <c r="T59" s="452"/>
      <c r="U59" s="452"/>
      <c r="V59" s="452"/>
      <c r="W59" s="452"/>
      <c r="X59" s="452"/>
    </row>
    <row r="60" spans="1:24" ht="14.25">
      <c r="A60" s="431"/>
      <c r="L60" s="431"/>
      <c r="M60" s="452"/>
      <c r="N60" s="452"/>
      <c r="O60" s="452"/>
      <c r="P60" s="452"/>
      <c r="Q60" s="452"/>
      <c r="R60" s="452"/>
      <c r="S60" s="452"/>
      <c r="T60" s="452"/>
      <c r="U60" s="452"/>
      <c r="V60" s="452"/>
      <c r="W60" s="452"/>
      <c r="X60" s="452"/>
    </row>
    <row r="61" spans="1:24" ht="14.25">
      <c r="A61" s="431"/>
      <c r="B61" s="432" t="s">
        <v>698</v>
      </c>
      <c r="L61" s="431"/>
      <c r="M61" s="452"/>
      <c r="N61" s="452"/>
      <c r="O61" s="452"/>
      <c r="P61" s="452"/>
      <c r="Q61" s="452"/>
      <c r="R61" s="452"/>
      <c r="S61" s="452"/>
      <c r="T61" s="452"/>
      <c r="U61" s="452"/>
      <c r="V61" s="452"/>
      <c r="W61" s="452"/>
      <c r="X61" s="452"/>
    </row>
    <row r="62" spans="1:24" ht="14.25">
      <c r="A62" s="431"/>
      <c r="B62" s="432" t="s">
        <v>852</v>
      </c>
      <c r="L62" s="431"/>
      <c r="M62" s="452"/>
      <c r="N62" s="452"/>
      <c r="O62" s="452"/>
      <c r="P62" s="452"/>
      <c r="Q62" s="452"/>
      <c r="R62" s="452"/>
      <c r="S62" s="452"/>
      <c r="T62" s="452"/>
      <c r="U62" s="452"/>
      <c r="V62" s="452"/>
      <c r="W62" s="452"/>
      <c r="X62" s="452"/>
    </row>
    <row r="63" spans="1:24" ht="14.25">
      <c r="A63" s="431"/>
      <c r="B63" s="432" t="s">
        <v>853</v>
      </c>
      <c r="L63" s="431"/>
      <c r="M63" s="452"/>
      <c r="N63" s="452"/>
      <c r="O63" s="452"/>
      <c r="P63" s="452"/>
      <c r="Q63" s="452"/>
      <c r="R63" s="452"/>
      <c r="S63" s="452"/>
      <c r="T63" s="452"/>
      <c r="U63" s="452"/>
      <c r="V63" s="452"/>
      <c r="W63" s="452"/>
      <c r="X63" s="452"/>
    </row>
    <row r="64" spans="1:24" ht="14.25">
      <c r="A64" s="431"/>
      <c r="L64" s="431"/>
      <c r="M64" s="452"/>
      <c r="N64" s="452"/>
      <c r="O64" s="452"/>
      <c r="P64" s="452"/>
      <c r="Q64" s="452"/>
      <c r="R64" s="452"/>
      <c r="S64" s="452"/>
      <c r="T64" s="452"/>
      <c r="U64" s="452"/>
      <c r="V64" s="452"/>
      <c r="W64" s="452"/>
      <c r="X64" s="452"/>
    </row>
    <row r="65" spans="1:24" ht="14.25">
      <c r="A65" s="431"/>
      <c r="B65" s="432" t="s">
        <v>699</v>
      </c>
      <c r="L65" s="431"/>
      <c r="M65" s="452"/>
      <c r="N65" s="452"/>
      <c r="O65" s="452"/>
      <c r="P65" s="452"/>
      <c r="Q65" s="452"/>
      <c r="R65" s="452"/>
      <c r="S65" s="452"/>
      <c r="T65" s="452"/>
      <c r="U65" s="452"/>
      <c r="V65" s="452"/>
      <c r="W65" s="452"/>
      <c r="X65" s="452"/>
    </row>
    <row r="66" spans="1:24" ht="14.25">
      <c r="A66" s="431"/>
      <c r="B66" s="432" t="s">
        <v>700</v>
      </c>
      <c r="L66" s="431"/>
      <c r="M66" s="452"/>
      <c r="N66" s="452"/>
      <c r="O66" s="452"/>
      <c r="P66" s="452"/>
      <c r="Q66" s="452"/>
      <c r="R66" s="452"/>
      <c r="S66" s="452"/>
      <c r="T66" s="452"/>
      <c r="U66" s="452"/>
      <c r="V66" s="452"/>
      <c r="W66" s="452"/>
      <c r="X66" s="452"/>
    </row>
    <row r="67" spans="1:24" ht="14.25">
      <c r="A67" s="431"/>
      <c r="L67" s="431"/>
      <c r="M67" s="452"/>
      <c r="N67" s="452"/>
      <c r="O67" s="452"/>
      <c r="P67" s="452"/>
      <c r="Q67" s="452"/>
      <c r="R67" s="452"/>
      <c r="S67" s="452"/>
      <c r="T67" s="452"/>
      <c r="U67" s="452"/>
      <c r="V67" s="452"/>
      <c r="W67" s="452"/>
      <c r="X67" s="452"/>
    </row>
    <row r="68" spans="1:24" ht="14.25">
      <c r="A68" s="431"/>
      <c r="B68" s="432" t="s">
        <v>701</v>
      </c>
      <c r="L68" s="431"/>
      <c r="M68" s="453"/>
      <c r="N68" s="454"/>
      <c r="O68" s="454"/>
      <c r="P68" s="454"/>
      <c r="Q68" s="454"/>
      <c r="R68" s="454"/>
      <c r="S68" s="454"/>
      <c r="T68" s="454"/>
      <c r="U68" s="454"/>
      <c r="V68" s="454"/>
      <c r="W68" s="454"/>
      <c r="X68" s="452"/>
    </row>
    <row r="69" spans="1:24" ht="14.25">
      <c r="A69" s="431"/>
      <c r="B69" s="432" t="s">
        <v>854</v>
      </c>
      <c r="L69" s="431"/>
      <c r="M69" s="452"/>
      <c r="N69" s="452"/>
      <c r="O69" s="452"/>
      <c r="P69" s="452"/>
      <c r="Q69" s="452"/>
      <c r="R69" s="452"/>
      <c r="S69" s="452"/>
      <c r="T69" s="452"/>
      <c r="U69" s="452"/>
      <c r="V69" s="452"/>
      <c r="W69" s="452"/>
      <c r="X69" s="452"/>
    </row>
    <row r="70" spans="1:24" ht="14.25">
      <c r="A70" s="431"/>
      <c r="B70" s="432" t="s">
        <v>855</v>
      </c>
      <c r="L70" s="431"/>
      <c r="M70" s="452"/>
      <c r="N70" s="452"/>
      <c r="O70" s="452"/>
      <c r="P70" s="452"/>
      <c r="Q70" s="452"/>
      <c r="R70" s="452"/>
      <c r="S70" s="452"/>
      <c r="T70" s="452"/>
      <c r="U70" s="452"/>
      <c r="V70" s="452"/>
      <c r="W70" s="452"/>
      <c r="X70" s="452"/>
    </row>
    <row r="71" spans="1:12" ht="15" thickBot="1">
      <c r="A71" s="431"/>
      <c r="B71" s="440"/>
      <c r="C71" s="440"/>
      <c r="D71" s="440"/>
      <c r="E71" s="440"/>
      <c r="F71" s="440"/>
      <c r="G71" s="440"/>
      <c r="H71" s="440"/>
      <c r="I71" s="440"/>
      <c r="J71" s="440"/>
      <c r="K71" s="440"/>
      <c r="L71" s="431"/>
    </row>
    <row r="72" spans="1:12" ht="14.25">
      <c r="A72" s="431"/>
      <c r="B72" s="436" t="s">
        <v>675</v>
      </c>
      <c r="C72" s="437"/>
      <c r="D72" s="437"/>
      <c r="E72" s="437"/>
      <c r="F72" s="437"/>
      <c r="G72" s="437"/>
      <c r="H72" s="437"/>
      <c r="I72" s="437"/>
      <c r="J72" s="437"/>
      <c r="K72" s="438"/>
      <c r="L72" s="455"/>
    </row>
    <row r="73" spans="1:12" ht="14.25">
      <c r="A73" s="431"/>
      <c r="B73" s="448"/>
      <c r="C73" s="440" t="s">
        <v>681</v>
      </c>
      <c r="D73" s="440"/>
      <c r="E73" s="440"/>
      <c r="F73" s="440"/>
      <c r="G73" s="440"/>
      <c r="H73" s="440"/>
      <c r="I73" s="440"/>
      <c r="J73" s="440"/>
      <c r="K73" s="442"/>
      <c r="L73" s="455"/>
    </row>
    <row r="74" spans="1:12" ht="14.25">
      <c r="A74" s="431"/>
      <c r="B74" s="448" t="s">
        <v>702</v>
      </c>
      <c r="C74" s="845">
        <v>312000000</v>
      </c>
      <c r="D74" s="845"/>
      <c r="E74" s="591" t="s">
        <v>680</v>
      </c>
      <c r="F74" s="591">
        <v>1000</v>
      </c>
      <c r="G74" s="591" t="s">
        <v>679</v>
      </c>
      <c r="H74" s="588">
        <f>C74/F74</f>
        <v>312000</v>
      </c>
      <c r="I74" s="440" t="s">
        <v>703</v>
      </c>
      <c r="J74" s="440"/>
      <c r="K74" s="442"/>
      <c r="L74" s="455"/>
    </row>
    <row r="75" spans="1:12" ht="14.25">
      <c r="A75" s="431"/>
      <c r="B75" s="448"/>
      <c r="C75" s="440"/>
      <c r="D75" s="440"/>
      <c r="E75" s="591"/>
      <c r="F75" s="440"/>
      <c r="G75" s="440"/>
      <c r="H75" s="440"/>
      <c r="I75" s="440"/>
      <c r="J75" s="440"/>
      <c r="K75" s="442"/>
      <c r="L75" s="455"/>
    </row>
    <row r="76" spans="1:12" ht="14.25">
      <c r="A76" s="431"/>
      <c r="B76" s="448"/>
      <c r="C76" s="440" t="s">
        <v>704</v>
      </c>
      <c r="D76" s="440"/>
      <c r="E76" s="591"/>
      <c r="F76" s="440" t="s">
        <v>703</v>
      </c>
      <c r="G76" s="440"/>
      <c r="H76" s="440"/>
      <c r="I76" s="440"/>
      <c r="J76" s="440"/>
      <c r="K76" s="442"/>
      <c r="L76" s="455"/>
    </row>
    <row r="77" spans="1:12" ht="14.25">
      <c r="A77" s="431"/>
      <c r="B77" s="448" t="s">
        <v>707</v>
      </c>
      <c r="C77" s="845">
        <v>50000</v>
      </c>
      <c r="D77" s="845"/>
      <c r="E77" s="591" t="s">
        <v>680</v>
      </c>
      <c r="F77" s="588">
        <f>H74</f>
        <v>312000</v>
      </c>
      <c r="G77" s="591" t="s">
        <v>679</v>
      </c>
      <c r="H77" s="450">
        <f>C77/F77</f>
        <v>0.16025641025641027</v>
      </c>
      <c r="I77" s="440" t="s">
        <v>705</v>
      </c>
      <c r="J77" s="440"/>
      <c r="K77" s="442"/>
      <c r="L77" s="455"/>
    </row>
    <row r="78" spans="1:12" ht="14.25">
      <c r="A78" s="431"/>
      <c r="B78" s="448"/>
      <c r="C78" s="440"/>
      <c r="D78" s="440"/>
      <c r="E78" s="591"/>
      <c r="F78" s="440"/>
      <c r="G78" s="440"/>
      <c r="H78" s="440"/>
      <c r="I78" s="440"/>
      <c r="J78" s="440"/>
      <c r="K78" s="442"/>
      <c r="L78" s="455"/>
    </row>
    <row r="79" spans="1:12" ht="14.25">
      <c r="A79" s="431"/>
      <c r="B79" s="456"/>
      <c r="C79" s="457" t="s">
        <v>706</v>
      </c>
      <c r="D79" s="457"/>
      <c r="E79" s="597"/>
      <c r="F79" s="457"/>
      <c r="G79" s="457"/>
      <c r="H79" s="457"/>
      <c r="I79" s="457"/>
      <c r="J79" s="457"/>
      <c r="K79" s="458"/>
      <c r="L79" s="455"/>
    </row>
    <row r="80" spans="1:12" ht="14.25">
      <c r="A80" s="431"/>
      <c r="B80" s="448" t="s">
        <v>765</v>
      </c>
      <c r="C80" s="845">
        <v>100000</v>
      </c>
      <c r="D80" s="845"/>
      <c r="E80" s="591" t="s">
        <v>93</v>
      </c>
      <c r="F80" s="591">
        <v>0.115</v>
      </c>
      <c r="G80" s="591" t="s">
        <v>679</v>
      </c>
      <c r="H80" s="588">
        <f>C80*F80</f>
        <v>11500</v>
      </c>
      <c r="I80" s="440" t="s">
        <v>708</v>
      </c>
      <c r="J80" s="440"/>
      <c r="K80" s="442"/>
      <c r="L80" s="455"/>
    </row>
    <row r="81" spans="1:12" ht="14.25">
      <c r="A81" s="431"/>
      <c r="B81" s="448"/>
      <c r="C81" s="440"/>
      <c r="D81" s="440"/>
      <c r="E81" s="591"/>
      <c r="F81" s="440"/>
      <c r="G81" s="440"/>
      <c r="H81" s="440"/>
      <c r="I81" s="440"/>
      <c r="J81" s="440"/>
      <c r="K81" s="442"/>
      <c r="L81" s="455"/>
    </row>
    <row r="82" spans="1:12" ht="14.25">
      <c r="A82" s="431"/>
      <c r="B82" s="456"/>
      <c r="C82" s="457" t="s">
        <v>709</v>
      </c>
      <c r="D82" s="457"/>
      <c r="E82" s="597"/>
      <c r="F82" s="457" t="s">
        <v>705</v>
      </c>
      <c r="G82" s="457"/>
      <c r="H82" s="457"/>
      <c r="I82" s="457"/>
      <c r="J82" s="457" t="s">
        <v>710</v>
      </c>
      <c r="K82" s="458"/>
      <c r="L82" s="455"/>
    </row>
    <row r="83" spans="1:12" ht="14.25">
      <c r="A83" s="431"/>
      <c r="B83" s="448" t="s">
        <v>766</v>
      </c>
      <c r="C83" s="846">
        <f>H80</f>
        <v>11500</v>
      </c>
      <c r="D83" s="846"/>
      <c r="E83" s="591" t="s">
        <v>93</v>
      </c>
      <c r="F83" s="450">
        <f>H77</f>
        <v>0.16025641025641027</v>
      </c>
      <c r="G83" s="591" t="s">
        <v>680</v>
      </c>
      <c r="H83" s="591">
        <v>1000</v>
      </c>
      <c r="I83" s="591" t="s">
        <v>679</v>
      </c>
      <c r="J83" s="589">
        <f>C83*F83/H83</f>
        <v>1.842948717948718</v>
      </c>
      <c r="K83" s="442"/>
      <c r="L83" s="455"/>
    </row>
    <row r="84" spans="1:12" ht="15" thickBot="1">
      <c r="A84" s="431"/>
      <c r="B84" s="443"/>
      <c r="C84" s="459"/>
      <c r="D84" s="459"/>
      <c r="E84" s="460"/>
      <c r="F84" s="461"/>
      <c r="G84" s="460"/>
      <c r="H84" s="460"/>
      <c r="I84" s="460"/>
      <c r="J84" s="462"/>
      <c r="K84" s="445"/>
      <c r="L84" s="455"/>
    </row>
    <row r="85" spans="1:12" ht="40.5" customHeight="1">
      <c r="A85" s="431"/>
      <c r="B85" s="836" t="s">
        <v>671</v>
      </c>
      <c r="C85" s="836"/>
      <c r="D85" s="836"/>
      <c r="E85" s="836"/>
      <c r="F85" s="836"/>
      <c r="G85" s="836"/>
      <c r="H85" s="836"/>
      <c r="I85" s="836"/>
      <c r="J85" s="836"/>
      <c r="K85" s="836"/>
      <c r="L85" s="431"/>
    </row>
    <row r="86" spans="1:12" ht="14.25">
      <c r="A86" s="431"/>
      <c r="B86" s="837" t="s">
        <v>711</v>
      </c>
      <c r="C86" s="837"/>
      <c r="D86" s="837"/>
      <c r="E86" s="837"/>
      <c r="F86" s="837"/>
      <c r="G86" s="837"/>
      <c r="H86" s="837"/>
      <c r="I86" s="837"/>
      <c r="J86" s="837"/>
      <c r="K86" s="837"/>
      <c r="L86" s="431"/>
    </row>
    <row r="87" spans="1:12" ht="14.25">
      <c r="A87" s="431"/>
      <c r="B87" s="463"/>
      <c r="C87" s="463"/>
      <c r="D87" s="463"/>
      <c r="E87" s="463"/>
      <c r="F87" s="463"/>
      <c r="G87" s="463"/>
      <c r="H87" s="463"/>
      <c r="I87" s="463"/>
      <c r="J87" s="463"/>
      <c r="K87" s="463"/>
      <c r="L87" s="431"/>
    </row>
    <row r="88" spans="1:12" ht="14.25">
      <c r="A88" s="431"/>
      <c r="B88" s="837" t="s">
        <v>712</v>
      </c>
      <c r="C88" s="837"/>
      <c r="D88" s="837"/>
      <c r="E88" s="837"/>
      <c r="F88" s="837"/>
      <c r="G88" s="837"/>
      <c r="H88" s="837"/>
      <c r="I88" s="837"/>
      <c r="J88" s="837"/>
      <c r="K88" s="837"/>
      <c r="L88" s="431"/>
    </row>
    <row r="89" spans="1:12" ht="14.25">
      <c r="A89" s="431"/>
      <c r="B89" s="590"/>
      <c r="C89" s="590"/>
      <c r="D89" s="590"/>
      <c r="E89" s="590"/>
      <c r="F89" s="590"/>
      <c r="G89" s="590"/>
      <c r="H89" s="590"/>
      <c r="I89" s="590"/>
      <c r="J89" s="590"/>
      <c r="K89" s="590"/>
      <c r="L89" s="431"/>
    </row>
    <row r="90" spans="1:12" ht="45" customHeight="1">
      <c r="A90" s="431"/>
      <c r="B90" s="839" t="s">
        <v>713</v>
      </c>
      <c r="C90" s="839"/>
      <c r="D90" s="839"/>
      <c r="E90" s="839"/>
      <c r="F90" s="839"/>
      <c r="G90" s="839"/>
      <c r="H90" s="839"/>
      <c r="I90" s="839"/>
      <c r="J90" s="839"/>
      <c r="K90" s="839"/>
      <c r="L90" s="431"/>
    </row>
    <row r="91" spans="1:12" ht="15" customHeight="1" thickBot="1">
      <c r="A91" s="431"/>
      <c r="L91" s="431"/>
    </row>
    <row r="92" spans="1:12" ht="15" customHeight="1">
      <c r="A92" s="431"/>
      <c r="B92" s="464" t="s">
        <v>675</v>
      </c>
      <c r="C92" s="465"/>
      <c r="D92" s="465"/>
      <c r="E92" s="465"/>
      <c r="F92" s="465"/>
      <c r="G92" s="465"/>
      <c r="H92" s="465"/>
      <c r="I92" s="465"/>
      <c r="J92" s="465"/>
      <c r="K92" s="466"/>
      <c r="L92" s="431"/>
    </row>
    <row r="93" spans="1:12" ht="15" customHeight="1">
      <c r="A93" s="431"/>
      <c r="B93" s="467"/>
      <c r="C93" s="595" t="s">
        <v>681</v>
      </c>
      <c r="D93" s="595"/>
      <c r="E93" s="595"/>
      <c r="F93" s="595"/>
      <c r="G93" s="595"/>
      <c r="H93" s="595"/>
      <c r="I93" s="595"/>
      <c r="J93" s="595"/>
      <c r="K93" s="468"/>
      <c r="L93" s="431"/>
    </row>
    <row r="94" spans="1:12" ht="15" customHeight="1">
      <c r="A94" s="431"/>
      <c r="B94" s="467" t="s">
        <v>702</v>
      </c>
      <c r="C94" s="845">
        <v>312000000</v>
      </c>
      <c r="D94" s="845"/>
      <c r="E94" s="591" t="s">
        <v>680</v>
      </c>
      <c r="F94" s="591">
        <v>1000</v>
      </c>
      <c r="G94" s="591" t="s">
        <v>679</v>
      </c>
      <c r="H94" s="588">
        <f>C94/F94</f>
        <v>312000</v>
      </c>
      <c r="I94" s="595" t="s">
        <v>703</v>
      </c>
      <c r="J94" s="595"/>
      <c r="K94" s="468"/>
      <c r="L94" s="431"/>
    </row>
    <row r="95" spans="1:12" ht="15" customHeight="1">
      <c r="A95" s="431"/>
      <c r="B95" s="467"/>
      <c r="C95" s="595"/>
      <c r="D95" s="595"/>
      <c r="E95" s="591"/>
      <c r="F95" s="595"/>
      <c r="G95" s="595"/>
      <c r="H95" s="595"/>
      <c r="I95" s="595"/>
      <c r="J95" s="595"/>
      <c r="K95" s="468"/>
      <c r="L95" s="431"/>
    </row>
    <row r="96" spans="1:12" ht="15" customHeight="1">
      <c r="A96" s="431"/>
      <c r="B96" s="467"/>
      <c r="C96" s="595" t="s">
        <v>704</v>
      </c>
      <c r="D96" s="595"/>
      <c r="E96" s="591"/>
      <c r="F96" s="595" t="s">
        <v>703</v>
      </c>
      <c r="G96" s="595"/>
      <c r="H96" s="595"/>
      <c r="I96" s="595"/>
      <c r="J96" s="595"/>
      <c r="K96" s="468"/>
      <c r="L96" s="431"/>
    </row>
    <row r="97" spans="1:12" ht="15" customHeight="1">
      <c r="A97" s="431"/>
      <c r="B97" s="467" t="s">
        <v>707</v>
      </c>
      <c r="C97" s="845">
        <v>50000</v>
      </c>
      <c r="D97" s="845"/>
      <c r="E97" s="591" t="s">
        <v>680</v>
      </c>
      <c r="F97" s="588">
        <f>H94</f>
        <v>312000</v>
      </c>
      <c r="G97" s="591" t="s">
        <v>679</v>
      </c>
      <c r="H97" s="450">
        <f>C97/F97</f>
        <v>0.16025641025641027</v>
      </c>
      <c r="I97" s="595" t="s">
        <v>705</v>
      </c>
      <c r="J97" s="595"/>
      <c r="K97" s="468"/>
      <c r="L97" s="431"/>
    </row>
    <row r="98" spans="1:12" ht="15" customHeight="1">
      <c r="A98" s="431"/>
      <c r="B98" s="467"/>
      <c r="C98" s="595"/>
      <c r="D98" s="595"/>
      <c r="E98" s="591"/>
      <c r="F98" s="595"/>
      <c r="G98" s="595"/>
      <c r="H98" s="595"/>
      <c r="I98" s="595"/>
      <c r="J98" s="595"/>
      <c r="K98" s="468"/>
      <c r="L98" s="431"/>
    </row>
    <row r="99" spans="1:12" ht="15" customHeight="1">
      <c r="A99" s="431"/>
      <c r="B99" s="469"/>
      <c r="C99" s="470" t="s">
        <v>714</v>
      </c>
      <c r="D99" s="470"/>
      <c r="E99" s="597"/>
      <c r="F99" s="470"/>
      <c r="G99" s="470"/>
      <c r="H99" s="470"/>
      <c r="I99" s="470"/>
      <c r="J99" s="470"/>
      <c r="K99" s="471"/>
      <c r="L99" s="431"/>
    </row>
    <row r="100" spans="1:12" ht="15" customHeight="1">
      <c r="A100" s="431"/>
      <c r="B100" s="467" t="s">
        <v>765</v>
      </c>
      <c r="C100" s="845">
        <v>2500000</v>
      </c>
      <c r="D100" s="845"/>
      <c r="E100" s="591" t="s">
        <v>93</v>
      </c>
      <c r="F100" s="472">
        <v>0.3</v>
      </c>
      <c r="G100" s="591" t="s">
        <v>679</v>
      </c>
      <c r="H100" s="588">
        <f>C100*F100</f>
        <v>750000</v>
      </c>
      <c r="I100" s="595" t="s">
        <v>708</v>
      </c>
      <c r="J100" s="595"/>
      <c r="K100" s="468"/>
      <c r="L100" s="431"/>
    </row>
    <row r="101" spans="1:12" ht="15" customHeight="1">
      <c r="A101" s="431"/>
      <c r="B101" s="467"/>
      <c r="C101" s="595"/>
      <c r="D101" s="595"/>
      <c r="E101" s="591"/>
      <c r="F101" s="595"/>
      <c r="G101" s="595"/>
      <c r="H101" s="595"/>
      <c r="I101" s="595"/>
      <c r="J101" s="595"/>
      <c r="K101" s="468"/>
      <c r="L101" s="431"/>
    </row>
    <row r="102" spans="1:12" ht="15" customHeight="1">
      <c r="A102" s="431"/>
      <c r="B102" s="469"/>
      <c r="C102" s="470" t="s">
        <v>709</v>
      </c>
      <c r="D102" s="470"/>
      <c r="E102" s="597"/>
      <c r="F102" s="470" t="s">
        <v>705</v>
      </c>
      <c r="G102" s="470"/>
      <c r="H102" s="470"/>
      <c r="I102" s="470"/>
      <c r="J102" s="470" t="s">
        <v>710</v>
      </c>
      <c r="K102" s="471"/>
      <c r="L102" s="431"/>
    </row>
    <row r="103" spans="1:12" ht="15" customHeight="1">
      <c r="A103" s="431"/>
      <c r="B103" s="467" t="s">
        <v>766</v>
      </c>
      <c r="C103" s="846">
        <f>H100</f>
        <v>750000</v>
      </c>
      <c r="D103" s="846"/>
      <c r="E103" s="591" t="s">
        <v>93</v>
      </c>
      <c r="F103" s="450">
        <f>H97</f>
        <v>0.16025641025641027</v>
      </c>
      <c r="G103" s="591" t="s">
        <v>680</v>
      </c>
      <c r="H103" s="591">
        <v>1000</v>
      </c>
      <c r="I103" s="591" t="s">
        <v>679</v>
      </c>
      <c r="J103" s="589">
        <f>C103*F103/H103</f>
        <v>120.19230769230771</v>
      </c>
      <c r="K103" s="468"/>
      <c r="L103" s="431"/>
    </row>
    <row r="104" spans="1:12" ht="15" customHeight="1" thickBot="1">
      <c r="A104" s="431"/>
      <c r="B104" s="473"/>
      <c r="C104" s="459"/>
      <c r="D104" s="459"/>
      <c r="E104" s="460"/>
      <c r="F104" s="461"/>
      <c r="G104" s="460"/>
      <c r="H104" s="460"/>
      <c r="I104" s="460"/>
      <c r="J104" s="462"/>
      <c r="K104" s="596"/>
      <c r="L104" s="431"/>
    </row>
    <row r="105" spans="1:12" ht="40.5" customHeight="1">
      <c r="A105" s="431"/>
      <c r="B105" s="836" t="s">
        <v>671</v>
      </c>
      <c r="C105" s="858"/>
      <c r="D105" s="858"/>
      <c r="E105" s="858"/>
      <c r="F105" s="858"/>
      <c r="G105" s="858"/>
      <c r="H105" s="858"/>
      <c r="I105" s="858"/>
      <c r="J105" s="858"/>
      <c r="K105" s="858"/>
      <c r="L105" s="431"/>
    </row>
    <row r="106" spans="1:12" ht="15" customHeight="1">
      <c r="A106" s="431"/>
      <c r="B106" s="840" t="s">
        <v>715</v>
      </c>
      <c r="C106" s="841"/>
      <c r="D106" s="841"/>
      <c r="E106" s="841"/>
      <c r="F106" s="841"/>
      <c r="G106" s="841"/>
      <c r="H106" s="841"/>
      <c r="I106" s="841"/>
      <c r="J106" s="841"/>
      <c r="K106" s="841"/>
      <c r="L106" s="431"/>
    </row>
    <row r="107" spans="1:12" ht="15" customHeight="1">
      <c r="A107" s="431"/>
      <c r="B107" s="595"/>
      <c r="C107" s="474"/>
      <c r="D107" s="474"/>
      <c r="E107" s="591"/>
      <c r="F107" s="450"/>
      <c r="G107" s="591"/>
      <c r="H107" s="591"/>
      <c r="I107" s="591"/>
      <c r="J107" s="589"/>
      <c r="K107" s="595"/>
      <c r="L107" s="431"/>
    </row>
    <row r="108" spans="1:12" ht="15" customHeight="1">
      <c r="A108" s="431"/>
      <c r="B108" s="840" t="s">
        <v>716</v>
      </c>
      <c r="C108" s="842"/>
      <c r="D108" s="842"/>
      <c r="E108" s="842"/>
      <c r="F108" s="842"/>
      <c r="G108" s="842"/>
      <c r="H108" s="842"/>
      <c r="I108" s="842"/>
      <c r="J108" s="842"/>
      <c r="K108" s="842"/>
      <c r="L108" s="431"/>
    </row>
    <row r="109" spans="1:12" ht="15" customHeight="1">
      <c r="A109" s="431"/>
      <c r="B109" s="595"/>
      <c r="C109" s="474"/>
      <c r="D109" s="474"/>
      <c r="E109" s="591"/>
      <c r="F109" s="450"/>
      <c r="G109" s="591"/>
      <c r="H109" s="591"/>
      <c r="I109" s="591"/>
      <c r="J109" s="589"/>
      <c r="K109" s="595"/>
      <c r="L109" s="431"/>
    </row>
    <row r="110" spans="1:12" ht="59.25" customHeight="1">
      <c r="A110" s="431"/>
      <c r="B110" s="843" t="s">
        <v>717</v>
      </c>
      <c r="C110" s="844"/>
      <c r="D110" s="844"/>
      <c r="E110" s="844"/>
      <c r="F110" s="844"/>
      <c r="G110" s="844"/>
      <c r="H110" s="844"/>
      <c r="I110" s="844"/>
      <c r="J110" s="844"/>
      <c r="K110" s="844"/>
      <c r="L110" s="431"/>
    </row>
    <row r="111" spans="1:12" ht="15" thickBot="1">
      <c r="A111" s="431"/>
      <c r="B111" s="593"/>
      <c r="C111" s="593"/>
      <c r="D111" s="593"/>
      <c r="E111" s="593"/>
      <c r="F111" s="593"/>
      <c r="G111" s="593"/>
      <c r="H111" s="593"/>
      <c r="I111" s="593"/>
      <c r="J111" s="593"/>
      <c r="K111" s="593"/>
      <c r="L111" s="475"/>
    </row>
    <row r="112" spans="1:12" ht="14.25">
      <c r="A112" s="431"/>
      <c r="B112" s="436" t="s">
        <v>675</v>
      </c>
      <c r="C112" s="437"/>
      <c r="D112" s="437"/>
      <c r="E112" s="437"/>
      <c r="F112" s="437"/>
      <c r="G112" s="437"/>
      <c r="H112" s="437"/>
      <c r="I112" s="437"/>
      <c r="J112" s="437"/>
      <c r="K112" s="438"/>
      <c r="L112" s="431"/>
    </row>
    <row r="113" spans="1:12" ht="14.25">
      <c r="A113" s="431"/>
      <c r="B113" s="448"/>
      <c r="C113" s="440" t="s">
        <v>681</v>
      </c>
      <c r="D113" s="440"/>
      <c r="E113" s="440"/>
      <c r="F113" s="440"/>
      <c r="G113" s="440"/>
      <c r="H113" s="440"/>
      <c r="I113" s="440"/>
      <c r="J113" s="440"/>
      <c r="K113" s="442"/>
      <c r="L113" s="431"/>
    </row>
    <row r="114" spans="1:12" ht="14.25">
      <c r="A114" s="431"/>
      <c r="B114" s="448" t="s">
        <v>702</v>
      </c>
      <c r="C114" s="845">
        <v>312000000</v>
      </c>
      <c r="D114" s="845"/>
      <c r="E114" s="591" t="s">
        <v>680</v>
      </c>
      <c r="F114" s="591">
        <v>1000</v>
      </c>
      <c r="G114" s="591" t="s">
        <v>679</v>
      </c>
      <c r="H114" s="588">
        <f>C114/F114</f>
        <v>312000</v>
      </c>
      <c r="I114" s="440" t="s">
        <v>703</v>
      </c>
      <c r="J114" s="440"/>
      <c r="K114" s="442"/>
      <c r="L114" s="431"/>
    </row>
    <row r="115" spans="1:12" ht="14.25">
      <c r="A115" s="431"/>
      <c r="B115" s="448"/>
      <c r="C115" s="440"/>
      <c r="D115" s="440"/>
      <c r="E115" s="591"/>
      <c r="F115" s="440"/>
      <c r="G115" s="440"/>
      <c r="H115" s="440"/>
      <c r="I115" s="440"/>
      <c r="J115" s="440"/>
      <c r="K115" s="442"/>
      <c r="L115" s="431"/>
    </row>
    <row r="116" spans="1:12" ht="14.25">
      <c r="A116" s="431"/>
      <c r="B116" s="448"/>
      <c r="C116" s="440" t="s">
        <v>704</v>
      </c>
      <c r="D116" s="440"/>
      <c r="E116" s="591"/>
      <c r="F116" s="440" t="s">
        <v>703</v>
      </c>
      <c r="G116" s="440"/>
      <c r="H116" s="440"/>
      <c r="I116" s="440"/>
      <c r="J116" s="440"/>
      <c r="K116" s="442"/>
      <c r="L116" s="431"/>
    </row>
    <row r="117" spans="1:12" ht="14.25">
      <c r="A117" s="431"/>
      <c r="B117" s="448" t="s">
        <v>707</v>
      </c>
      <c r="C117" s="845">
        <v>50000</v>
      </c>
      <c r="D117" s="845"/>
      <c r="E117" s="591" t="s">
        <v>680</v>
      </c>
      <c r="F117" s="588">
        <f>H114</f>
        <v>312000</v>
      </c>
      <c r="G117" s="591" t="s">
        <v>679</v>
      </c>
      <c r="H117" s="450">
        <f>C117/F117</f>
        <v>0.16025641025641027</v>
      </c>
      <c r="I117" s="440" t="s">
        <v>705</v>
      </c>
      <c r="J117" s="440"/>
      <c r="K117" s="442"/>
      <c r="L117" s="431"/>
    </row>
    <row r="118" spans="1:12" ht="14.25">
      <c r="A118" s="431"/>
      <c r="B118" s="448"/>
      <c r="C118" s="440"/>
      <c r="D118" s="440"/>
      <c r="E118" s="591"/>
      <c r="F118" s="440"/>
      <c r="G118" s="440"/>
      <c r="H118" s="440"/>
      <c r="I118" s="440"/>
      <c r="J118" s="440"/>
      <c r="K118" s="442"/>
      <c r="L118" s="431"/>
    </row>
    <row r="119" spans="1:12" ht="14.25">
      <c r="A119" s="431"/>
      <c r="B119" s="456"/>
      <c r="C119" s="457" t="s">
        <v>714</v>
      </c>
      <c r="D119" s="457"/>
      <c r="E119" s="597"/>
      <c r="F119" s="457"/>
      <c r="G119" s="457"/>
      <c r="H119" s="457"/>
      <c r="I119" s="457"/>
      <c r="J119" s="457"/>
      <c r="K119" s="458"/>
      <c r="L119" s="431"/>
    </row>
    <row r="120" spans="1:12" ht="14.25">
      <c r="A120" s="431"/>
      <c r="B120" s="448" t="s">
        <v>765</v>
      </c>
      <c r="C120" s="845">
        <v>2500000</v>
      </c>
      <c r="D120" s="845"/>
      <c r="E120" s="591" t="s">
        <v>93</v>
      </c>
      <c r="F120" s="472">
        <v>0.25</v>
      </c>
      <c r="G120" s="591" t="s">
        <v>679</v>
      </c>
      <c r="H120" s="588">
        <f>C120*F120</f>
        <v>625000</v>
      </c>
      <c r="I120" s="440" t="s">
        <v>708</v>
      </c>
      <c r="J120" s="440"/>
      <c r="K120" s="442"/>
      <c r="L120" s="431"/>
    </row>
    <row r="121" spans="1:12" ht="14.25">
      <c r="A121" s="431"/>
      <c r="B121" s="448"/>
      <c r="C121" s="440"/>
      <c r="D121" s="440"/>
      <c r="E121" s="591"/>
      <c r="F121" s="440"/>
      <c r="G121" s="440"/>
      <c r="H121" s="440"/>
      <c r="I121" s="440"/>
      <c r="J121" s="440"/>
      <c r="K121" s="442"/>
      <c r="L121" s="431"/>
    </row>
    <row r="122" spans="1:12" ht="14.25">
      <c r="A122" s="431"/>
      <c r="B122" s="456"/>
      <c r="C122" s="457" t="s">
        <v>709</v>
      </c>
      <c r="D122" s="457"/>
      <c r="E122" s="597"/>
      <c r="F122" s="457" t="s">
        <v>705</v>
      </c>
      <c r="G122" s="457"/>
      <c r="H122" s="457"/>
      <c r="I122" s="457"/>
      <c r="J122" s="457" t="s">
        <v>710</v>
      </c>
      <c r="K122" s="458"/>
      <c r="L122" s="431"/>
    </row>
    <row r="123" spans="1:12" ht="14.25">
      <c r="A123" s="431"/>
      <c r="B123" s="448" t="s">
        <v>766</v>
      </c>
      <c r="C123" s="846">
        <f>H120</f>
        <v>625000</v>
      </c>
      <c r="D123" s="846"/>
      <c r="E123" s="591" t="s">
        <v>93</v>
      </c>
      <c r="F123" s="450">
        <f>H117</f>
        <v>0.16025641025641027</v>
      </c>
      <c r="G123" s="591" t="s">
        <v>680</v>
      </c>
      <c r="H123" s="591">
        <v>1000</v>
      </c>
      <c r="I123" s="591" t="s">
        <v>679</v>
      </c>
      <c r="J123" s="589">
        <f>C123*F123/H123</f>
        <v>100.16025641025642</v>
      </c>
      <c r="K123" s="442"/>
      <c r="L123" s="431"/>
    </row>
    <row r="124" spans="1:12" ht="15" thickBot="1">
      <c r="A124" s="431"/>
      <c r="B124" s="443"/>
      <c r="C124" s="459"/>
      <c r="D124" s="459"/>
      <c r="E124" s="460"/>
      <c r="F124" s="461"/>
      <c r="G124" s="460"/>
      <c r="H124" s="460"/>
      <c r="I124" s="460"/>
      <c r="J124" s="462"/>
      <c r="K124" s="445"/>
      <c r="L124" s="431"/>
    </row>
    <row r="125" spans="1:12" ht="40.5" customHeight="1">
      <c r="A125" s="431"/>
      <c r="B125" s="836" t="s">
        <v>671</v>
      </c>
      <c r="C125" s="836"/>
      <c r="D125" s="836"/>
      <c r="E125" s="836"/>
      <c r="F125" s="836"/>
      <c r="G125" s="836"/>
      <c r="H125" s="836"/>
      <c r="I125" s="836"/>
      <c r="J125" s="836"/>
      <c r="K125" s="836"/>
      <c r="L125" s="475"/>
    </row>
    <row r="126" spans="1:12" ht="14.25">
      <c r="A126" s="431"/>
      <c r="B126" s="837" t="s">
        <v>718</v>
      </c>
      <c r="C126" s="837"/>
      <c r="D126" s="837"/>
      <c r="E126" s="837"/>
      <c r="F126" s="837"/>
      <c r="G126" s="837"/>
      <c r="H126" s="837"/>
      <c r="I126" s="837"/>
      <c r="J126" s="837"/>
      <c r="K126" s="837"/>
      <c r="L126" s="475"/>
    </row>
    <row r="127" spans="1:12" ht="14.25">
      <c r="A127" s="431"/>
      <c r="B127" s="593"/>
      <c r="C127" s="593"/>
      <c r="D127" s="593"/>
      <c r="E127" s="593"/>
      <c r="F127" s="593"/>
      <c r="G127" s="593"/>
      <c r="H127" s="593"/>
      <c r="I127" s="593"/>
      <c r="J127" s="593"/>
      <c r="K127" s="593"/>
      <c r="L127" s="475"/>
    </row>
    <row r="128" spans="1:12" ht="14.25">
      <c r="A128" s="431"/>
      <c r="B128" s="837" t="s">
        <v>719</v>
      </c>
      <c r="C128" s="837"/>
      <c r="D128" s="837"/>
      <c r="E128" s="837"/>
      <c r="F128" s="837"/>
      <c r="G128" s="837"/>
      <c r="H128" s="837"/>
      <c r="I128" s="837"/>
      <c r="J128" s="837"/>
      <c r="K128" s="837"/>
      <c r="L128" s="475"/>
    </row>
    <row r="129" spans="1:12" ht="14.25">
      <c r="A129" s="431"/>
      <c r="B129" s="590"/>
      <c r="C129" s="590"/>
      <c r="D129" s="590"/>
      <c r="E129" s="590"/>
      <c r="F129" s="590"/>
      <c r="G129" s="590"/>
      <c r="H129" s="590"/>
      <c r="I129" s="590"/>
      <c r="J129" s="590"/>
      <c r="K129" s="590"/>
      <c r="L129" s="475"/>
    </row>
    <row r="130" spans="1:12" ht="74.25" customHeight="1">
      <c r="A130" s="431"/>
      <c r="B130" s="839" t="s">
        <v>767</v>
      </c>
      <c r="C130" s="839"/>
      <c r="D130" s="839"/>
      <c r="E130" s="839"/>
      <c r="F130" s="839"/>
      <c r="G130" s="839"/>
      <c r="H130" s="839"/>
      <c r="I130" s="839"/>
      <c r="J130" s="839"/>
      <c r="K130" s="839"/>
      <c r="L130" s="475"/>
    </row>
    <row r="131" spans="1:12" ht="15" thickBot="1">
      <c r="A131" s="431"/>
      <c r="L131" s="431"/>
    </row>
    <row r="132" spans="1:12" ht="14.25">
      <c r="A132" s="431"/>
      <c r="B132" s="436" t="s">
        <v>675</v>
      </c>
      <c r="C132" s="437"/>
      <c r="D132" s="437"/>
      <c r="E132" s="437"/>
      <c r="F132" s="437"/>
      <c r="G132" s="437"/>
      <c r="H132" s="437"/>
      <c r="I132" s="437"/>
      <c r="J132" s="437"/>
      <c r="K132" s="438"/>
      <c r="L132" s="431"/>
    </row>
    <row r="133" spans="1:12" ht="14.25">
      <c r="A133" s="431"/>
      <c r="B133" s="448"/>
      <c r="C133" s="838" t="s">
        <v>720</v>
      </c>
      <c r="D133" s="838"/>
      <c r="E133" s="440"/>
      <c r="F133" s="591" t="s">
        <v>721</v>
      </c>
      <c r="G133" s="440"/>
      <c r="H133" s="838" t="s">
        <v>708</v>
      </c>
      <c r="I133" s="838"/>
      <c r="J133" s="440"/>
      <c r="K133" s="442"/>
      <c r="L133" s="431"/>
    </row>
    <row r="134" spans="1:12" ht="14.25">
      <c r="A134" s="431"/>
      <c r="B134" s="448" t="s">
        <v>702</v>
      </c>
      <c r="C134" s="845">
        <v>75000</v>
      </c>
      <c r="D134" s="845"/>
      <c r="E134" s="591" t="s">
        <v>93</v>
      </c>
      <c r="F134" s="591">
        <v>0.115</v>
      </c>
      <c r="G134" s="591" t="s">
        <v>679</v>
      </c>
      <c r="H134" s="828">
        <f>C134*F134</f>
        <v>8625</v>
      </c>
      <c r="I134" s="828"/>
      <c r="J134" s="440"/>
      <c r="K134" s="442"/>
      <c r="L134" s="431"/>
    </row>
    <row r="135" spans="1:12" ht="14.25">
      <c r="A135" s="431"/>
      <c r="B135" s="448"/>
      <c r="C135" s="440"/>
      <c r="D135" s="440"/>
      <c r="E135" s="440"/>
      <c r="F135" s="440"/>
      <c r="G135" s="440"/>
      <c r="H135" s="440"/>
      <c r="I135" s="440"/>
      <c r="J135" s="440"/>
      <c r="K135" s="442"/>
      <c r="L135" s="431"/>
    </row>
    <row r="136" spans="1:12" ht="14.25">
      <c r="A136" s="431"/>
      <c r="B136" s="456"/>
      <c r="C136" s="857" t="s">
        <v>708</v>
      </c>
      <c r="D136" s="857"/>
      <c r="E136" s="457"/>
      <c r="F136" s="597" t="s">
        <v>722</v>
      </c>
      <c r="G136" s="597"/>
      <c r="H136" s="457"/>
      <c r="I136" s="457"/>
      <c r="J136" s="457" t="s">
        <v>723</v>
      </c>
      <c r="K136" s="458"/>
      <c r="L136" s="431"/>
    </row>
    <row r="137" spans="1:12" ht="14.25">
      <c r="A137" s="431"/>
      <c r="B137" s="448" t="s">
        <v>707</v>
      </c>
      <c r="C137" s="828">
        <f>H134</f>
        <v>8625</v>
      </c>
      <c r="D137" s="828"/>
      <c r="E137" s="591" t="s">
        <v>93</v>
      </c>
      <c r="F137" s="476">
        <v>53.337</v>
      </c>
      <c r="G137" s="591" t="s">
        <v>680</v>
      </c>
      <c r="H137" s="591">
        <v>1000</v>
      </c>
      <c r="I137" s="591" t="s">
        <v>679</v>
      </c>
      <c r="J137" s="477">
        <f>C137*F137/H137</f>
        <v>460.031625</v>
      </c>
      <c r="K137" s="442"/>
      <c r="L137" s="431"/>
    </row>
    <row r="138" spans="1:12" ht="15" thickBot="1">
      <c r="A138" s="431"/>
      <c r="B138" s="443"/>
      <c r="C138" s="575"/>
      <c r="D138" s="575"/>
      <c r="E138" s="460"/>
      <c r="F138" s="576"/>
      <c r="G138" s="460"/>
      <c r="H138" s="460"/>
      <c r="I138" s="460"/>
      <c r="J138" s="577"/>
      <c r="K138" s="445"/>
      <c r="L138" s="431"/>
    </row>
    <row r="139" spans="1:12" ht="40.5" customHeight="1">
      <c r="A139" s="431"/>
      <c r="B139" s="562" t="s">
        <v>671</v>
      </c>
      <c r="C139" s="563"/>
      <c r="D139" s="563"/>
      <c r="E139" s="564"/>
      <c r="F139" s="565"/>
      <c r="G139" s="564"/>
      <c r="H139" s="564"/>
      <c r="I139" s="564"/>
      <c r="J139" s="566"/>
      <c r="K139" s="567"/>
      <c r="L139" s="431"/>
    </row>
    <row r="140" spans="1:12" ht="14.25">
      <c r="A140" s="431"/>
      <c r="B140" s="568" t="s">
        <v>768</v>
      </c>
      <c r="C140" s="569"/>
      <c r="D140" s="569"/>
      <c r="E140" s="570"/>
      <c r="F140" s="571"/>
      <c r="G140" s="570"/>
      <c r="H140" s="570"/>
      <c r="I140" s="570"/>
      <c r="J140" s="572"/>
      <c r="K140" s="573"/>
      <c r="L140" s="431"/>
    </row>
    <row r="141" spans="1:12" ht="14.25">
      <c r="A141" s="431"/>
      <c r="B141" s="448"/>
      <c r="C141" s="588"/>
      <c r="D141" s="588"/>
      <c r="E141" s="591"/>
      <c r="F141" s="578"/>
      <c r="G141" s="591"/>
      <c r="H141" s="591"/>
      <c r="I141" s="591"/>
      <c r="J141" s="477"/>
      <c r="K141" s="442"/>
      <c r="L141" s="431"/>
    </row>
    <row r="142" spans="1:12" ht="14.25">
      <c r="A142" s="431"/>
      <c r="B142" s="568" t="s">
        <v>769</v>
      </c>
      <c r="C142" s="569"/>
      <c r="D142" s="569"/>
      <c r="E142" s="570"/>
      <c r="F142" s="571"/>
      <c r="G142" s="570"/>
      <c r="H142" s="570"/>
      <c r="I142" s="570"/>
      <c r="J142" s="572"/>
      <c r="K142" s="573"/>
      <c r="L142" s="431"/>
    </row>
    <row r="143" spans="1:12" ht="14.25">
      <c r="A143" s="431"/>
      <c r="B143" s="448"/>
      <c r="C143" s="588"/>
      <c r="D143" s="588"/>
      <c r="E143" s="591"/>
      <c r="F143" s="578"/>
      <c r="G143" s="591"/>
      <c r="H143" s="591"/>
      <c r="I143" s="591"/>
      <c r="J143" s="477"/>
      <c r="K143" s="442"/>
      <c r="L143" s="431"/>
    </row>
    <row r="144" spans="1:12" ht="76.5" customHeight="1">
      <c r="A144" s="431"/>
      <c r="B144" s="829" t="s">
        <v>770</v>
      </c>
      <c r="C144" s="830"/>
      <c r="D144" s="830"/>
      <c r="E144" s="830"/>
      <c r="F144" s="830"/>
      <c r="G144" s="830"/>
      <c r="H144" s="830"/>
      <c r="I144" s="830"/>
      <c r="J144" s="830"/>
      <c r="K144" s="831"/>
      <c r="L144" s="431"/>
    </row>
    <row r="145" spans="1:12" ht="15" thickBot="1">
      <c r="A145" s="431"/>
      <c r="B145" s="448"/>
      <c r="C145" s="588"/>
      <c r="D145" s="588"/>
      <c r="E145" s="591"/>
      <c r="F145" s="578"/>
      <c r="G145" s="591"/>
      <c r="H145" s="591"/>
      <c r="I145" s="591"/>
      <c r="J145" s="477"/>
      <c r="K145" s="442"/>
      <c r="L145" s="431"/>
    </row>
    <row r="146" spans="1:12" ht="14.25">
      <c r="A146" s="431"/>
      <c r="B146" s="436" t="s">
        <v>675</v>
      </c>
      <c r="C146" s="579"/>
      <c r="D146" s="579"/>
      <c r="E146" s="580"/>
      <c r="F146" s="581"/>
      <c r="G146" s="580"/>
      <c r="H146" s="580"/>
      <c r="I146" s="580"/>
      <c r="J146" s="582"/>
      <c r="K146" s="438"/>
      <c r="L146" s="431"/>
    </row>
    <row r="147" spans="1:12" ht="14.25">
      <c r="A147" s="431"/>
      <c r="B147" s="448"/>
      <c r="C147" s="828" t="s">
        <v>771</v>
      </c>
      <c r="D147" s="828"/>
      <c r="E147" s="591"/>
      <c r="F147" s="578" t="s">
        <v>772</v>
      </c>
      <c r="G147" s="591"/>
      <c r="H147" s="591"/>
      <c r="I147" s="591"/>
      <c r="J147" s="832" t="s">
        <v>773</v>
      </c>
      <c r="K147" s="833"/>
      <c r="L147" s="431"/>
    </row>
    <row r="148" spans="1:12" ht="14.25">
      <c r="A148" s="431"/>
      <c r="B148" s="448"/>
      <c r="C148" s="834">
        <v>52.869</v>
      </c>
      <c r="D148" s="834"/>
      <c r="E148" s="591" t="s">
        <v>93</v>
      </c>
      <c r="F148" s="592">
        <v>312000000</v>
      </c>
      <c r="G148" s="583" t="s">
        <v>680</v>
      </c>
      <c r="H148" s="591">
        <v>1000</v>
      </c>
      <c r="I148" s="591" t="s">
        <v>679</v>
      </c>
      <c r="J148" s="832">
        <f>C148*(F148/1000)</f>
        <v>16495128</v>
      </c>
      <c r="K148" s="835"/>
      <c r="L148" s="431"/>
    </row>
    <row r="149" spans="1:12" ht="15" thickBot="1">
      <c r="A149" s="431"/>
      <c r="B149" s="443"/>
      <c r="C149" s="575"/>
      <c r="D149" s="575"/>
      <c r="E149" s="460"/>
      <c r="F149" s="576"/>
      <c r="G149" s="460"/>
      <c r="H149" s="460"/>
      <c r="I149" s="460"/>
      <c r="J149" s="577"/>
      <c r="K149" s="445"/>
      <c r="L149" s="431"/>
    </row>
    <row r="150" spans="1:12" ht="15" thickBot="1">
      <c r="A150" s="431"/>
      <c r="B150" s="443"/>
      <c r="C150" s="444"/>
      <c r="D150" s="444"/>
      <c r="E150" s="444"/>
      <c r="F150" s="444"/>
      <c r="G150" s="444"/>
      <c r="H150" s="444"/>
      <c r="I150" s="444"/>
      <c r="J150" s="444"/>
      <c r="K150" s="445"/>
      <c r="L150" s="431"/>
    </row>
    <row r="151" spans="1:12" ht="14.25">
      <c r="A151" s="431"/>
      <c r="B151" s="431"/>
      <c r="C151" s="431"/>
      <c r="D151" s="431"/>
      <c r="E151" s="431"/>
      <c r="F151" s="431"/>
      <c r="G151" s="431"/>
      <c r="H151" s="431"/>
      <c r="I151" s="431"/>
      <c r="J151" s="431"/>
      <c r="K151" s="431"/>
      <c r="L151" s="431"/>
    </row>
    <row r="152" spans="1:12" ht="14.25">
      <c r="A152" s="431"/>
      <c r="B152" s="431"/>
      <c r="C152" s="431"/>
      <c r="D152" s="431"/>
      <c r="E152" s="431"/>
      <c r="F152" s="431"/>
      <c r="G152" s="431"/>
      <c r="H152" s="431"/>
      <c r="I152" s="431"/>
      <c r="J152" s="431"/>
      <c r="K152" s="431"/>
      <c r="L152" s="431"/>
    </row>
    <row r="153" spans="1:12" ht="14.25">
      <c r="A153" s="431"/>
      <c r="B153" s="431"/>
      <c r="C153" s="431"/>
      <c r="D153" s="431"/>
      <c r="E153" s="431"/>
      <c r="F153" s="431"/>
      <c r="G153" s="431"/>
      <c r="H153" s="431"/>
      <c r="I153" s="431"/>
      <c r="J153" s="431"/>
      <c r="K153" s="431"/>
      <c r="L153" s="431"/>
    </row>
    <row r="154" spans="1:12" ht="14.25">
      <c r="A154" s="478"/>
      <c r="B154" s="478"/>
      <c r="C154" s="478"/>
      <c r="D154" s="478"/>
      <c r="E154" s="478"/>
      <c r="F154" s="478"/>
      <c r="G154" s="478"/>
      <c r="H154" s="478"/>
      <c r="I154" s="478"/>
      <c r="J154" s="478"/>
      <c r="K154" s="478"/>
      <c r="L154" s="478"/>
    </row>
    <row r="155" spans="1:12" ht="14.25">
      <c r="A155" s="478"/>
      <c r="B155" s="478"/>
      <c r="C155" s="478"/>
      <c r="D155" s="478"/>
      <c r="E155" s="478"/>
      <c r="F155" s="478"/>
      <c r="G155" s="478"/>
      <c r="H155" s="478"/>
      <c r="I155" s="478"/>
      <c r="J155" s="478"/>
      <c r="K155" s="478"/>
      <c r="L155" s="478"/>
    </row>
    <row r="156" spans="1:12" ht="14.25">
      <c r="A156" s="478"/>
      <c r="B156" s="478"/>
      <c r="C156" s="478"/>
      <c r="D156" s="478"/>
      <c r="E156" s="478"/>
      <c r="F156" s="478"/>
      <c r="G156" s="478"/>
      <c r="H156" s="478"/>
      <c r="I156" s="478"/>
      <c r="J156" s="478"/>
      <c r="K156" s="478"/>
      <c r="L156" s="478"/>
    </row>
    <row r="157" spans="1:12" ht="14.25">
      <c r="A157" s="478"/>
      <c r="B157" s="478"/>
      <c r="C157" s="478"/>
      <c r="D157" s="478"/>
      <c r="E157" s="478"/>
      <c r="F157" s="478"/>
      <c r="G157" s="478"/>
      <c r="H157" s="478"/>
      <c r="I157" s="478"/>
      <c r="J157" s="478"/>
      <c r="K157" s="478"/>
      <c r="L157" s="478"/>
    </row>
    <row r="158" spans="1:12" ht="14.25">
      <c r="A158" s="478"/>
      <c r="B158" s="478"/>
      <c r="C158" s="478"/>
      <c r="D158" s="478"/>
      <c r="E158" s="478"/>
      <c r="F158" s="478"/>
      <c r="G158" s="478"/>
      <c r="H158" s="478"/>
      <c r="I158" s="478"/>
      <c r="J158" s="478"/>
      <c r="K158" s="478"/>
      <c r="L158" s="478"/>
    </row>
    <row r="159" spans="1:12" ht="14.25">
      <c r="A159" s="478"/>
      <c r="B159" s="478"/>
      <c r="C159" s="478"/>
      <c r="D159" s="478"/>
      <c r="E159" s="478"/>
      <c r="F159" s="478"/>
      <c r="G159" s="478"/>
      <c r="H159" s="478"/>
      <c r="I159" s="478"/>
      <c r="J159" s="478"/>
      <c r="K159" s="478"/>
      <c r="L159" s="478"/>
    </row>
    <row r="160" spans="1:12" ht="14.25">
      <c r="A160" s="478"/>
      <c r="B160" s="478"/>
      <c r="C160" s="478"/>
      <c r="D160" s="478"/>
      <c r="E160" s="478"/>
      <c r="F160" s="478"/>
      <c r="G160" s="478"/>
      <c r="H160" s="478"/>
      <c r="I160" s="478"/>
      <c r="J160" s="478"/>
      <c r="K160" s="478"/>
      <c r="L160" s="478"/>
    </row>
    <row r="161" spans="1:12" ht="14.25">
      <c r="A161" s="478"/>
      <c r="B161" s="478"/>
      <c r="C161" s="478"/>
      <c r="D161" s="478"/>
      <c r="E161" s="478"/>
      <c r="F161" s="478"/>
      <c r="G161" s="478"/>
      <c r="H161" s="478"/>
      <c r="I161" s="478"/>
      <c r="J161" s="478"/>
      <c r="K161" s="478"/>
      <c r="L161" s="478"/>
    </row>
    <row r="162" spans="1:12" ht="14.25">
      <c r="A162" s="478"/>
      <c r="B162" s="478"/>
      <c r="C162" s="478"/>
      <c r="D162" s="478"/>
      <c r="E162" s="478"/>
      <c r="F162" s="478"/>
      <c r="G162" s="478"/>
      <c r="H162" s="478"/>
      <c r="I162" s="478"/>
      <c r="J162" s="478"/>
      <c r="K162" s="478"/>
      <c r="L162" s="478"/>
    </row>
    <row r="163" spans="1:12" ht="14.25">
      <c r="A163" s="478"/>
      <c r="B163" s="478"/>
      <c r="C163" s="478"/>
      <c r="D163" s="478"/>
      <c r="E163" s="478"/>
      <c r="F163" s="478"/>
      <c r="G163" s="478"/>
      <c r="H163" s="478"/>
      <c r="I163" s="478"/>
      <c r="J163" s="478"/>
      <c r="K163" s="478"/>
      <c r="L163" s="478"/>
    </row>
    <row r="164" spans="1:12" ht="14.25">
      <c r="A164" s="478"/>
      <c r="B164" s="478"/>
      <c r="C164" s="478"/>
      <c r="D164" s="478"/>
      <c r="E164" s="478"/>
      <c r="F164" s="478"/>
      <c r="G164" s="478"/>
      <c r="H164" s="478"/>
      <c r="I164" s="478"/>
      <c r="J164" s="478"/>
      <c r="K164" s="478"/>
      <c r="L164" s="478"/>
    </row>
    <row r="165" spans="1:12" ht="14.25">
      <c r="A165" s="478"/>
      <c r="B165" s="478"/>
      <c r="C165" s="478"/>
      <c r="D165" s="478"/>
      <c r="E165" s="478"/>
      <c r="F165" s="478"/>
      <c r="G165" s="478"/>
      <c r="H165" s="478"/>
      <c r="I165" s="478"/>
      <c r="J165" s="478"/>
      <c r="K165" s="478"/>
      <c r="L165" s="478"/>
    </row>
    <row r="166" spans="1:12" ht="14.25">
      <c r="A166" s="478"/>
      <c r="B166" s="478"/>
      <c r="C166" s="478"/>
      <c r="D166" s="478"/>
      <c r="E166" s="478"/>
      <c r="F166" s="478"/>
      <c r="G166" s="478"/>
      <c r="H166" s="478"/>
      <c r="I166" s="478"/>
      <c r="J166" s="478"/>
      <c r="K166" s="478"/>
      <c r="L166" s="478"/>
    </row>
    <row r="167" spans="1:12" ht="14.25">
      <c r="A167" s="478"/>
      <c r="B167" s="478"/>
      <c r="C167" s="478"/>
      <c r="D167" s="478"/>
      <c r="E167" s="478"/>
      <c r="F167" s="478"/>
      <c r="G167" s="478"/>
      <c r="H167" s="478"/>
      <c r="I167" s="478"/>
      <c r="J167" s="478"/>
      <c r="K167" s="478"/>
      <c r="L167" s="478"/>
    </row>
    <row r="168" spans="1:12" ht="14.25">
      <c r="A168" s="478"/>
      <c r="B168" s="478"/>
      <c r="C168" s="478"/>
      <c r="D168" s="478"/>
      <c r="E168" s="478"/>
      <c r="F168" s="478"/>
      <c r="G168" s="478"/>
      <c r="H168" s="478"/>
      <c r="I168" s="478"/>
      <c r="J168" s="478"/>
      <c r="K168" s="478"/>
      <c r="L168" s="478"/>
    </row>
    <row r="169" spans="1:12" ht="14.25">
      <c r="A169" s="478"/>
      <c r="B169" s="478"/>
      <c r="C169" s="478"/>
      <c r="D169" s="478"/>
      <c r="E169" s="478"/>
      <c r="F169" s="478"/>
      <c r="G169" s="478"/>
      <c r="H169" s="478"/>
      <c r="I169" s="478"/>
      <c r="J169" s="478"/>
      <c r="K169" s="478"/>
      <c r="L169" s="478"/>
    </row>
    <row r="170" spans="1:12" ht="14.25">
      <c r="A170" s="478"/>
      <c r="B170" s="478"/>
      <c r="C170" s="478"/>
      <c r="D170" s="478"/>
      <c r="E170" s="478"/>
      <c r="F170" s="478"/>
      <c r="G170" s="478"/>
      <c r="H170" s="478"/>
      <c r="I170" s="478"/>
      <c r="J170" s="478"/>
      <c r="K170" s="478"/>
      <c r="L170" s="478"/>
    </row>
    <row r="171" spans="1:12" ht="14.25">
      <c r="A171" s="478"/>
      <c r="B171" s="478"/>
      <c r="C171" s="478"/>
      <c r="D171" s="478"/>
      <c r="E171" s="478"/>
      <c r="F171" s="478"/>
      <c r="G171" s="478"/>
      <c r="H171" s="478"/>
      <c r="I171" s="478"/>
      <c r="J171" s="478"/>
      <c r="K171" s="478"/>
      <c r="L171" s="478"/>
    </row>
    <row r="172" spans="1:12" ht="14.25">
      <c r="A172" s="478"/>
      <c r="B172" s="478"/>
      <c r="C172" s="478"/>
      <c r="D172" s="478"/>
      <c r="E172" s="478"/>
      <c r="F172" s="478"/>
      <c r="G172" s="478"/>
      <c r="H172" s="478"/>
      <c r="I172" s="478"/>
      <c r="J172" s="478"/>
      <c r="K172" s="478"/>
      <c r="L172" s="478"/>
    </row>
    <row r="173" spans="1:12" ht="14.25">
      <c r="A173" s="478"/>
      <c r="B173" s="478"/>
      <c r="C173" s="478"/>
      <c r="D173" s="478"/>
      <c r="E173" s="478"/>
      <c r="F173" s="478"/>
      <c r="G173" s="478"/>
      <c r="H173" s="478"/>
      <c r="I173" s="478"/>
      <c r="J173" s="478"/>
      <c r="K173" s="478"/>
      <c r="L173" s="478"/>
    </row>
    <row r="174" spans="1:12" ht="14.25">
      <c r="A174" s="478"/>
      <c r="B174" s="478"/>
      <c r="C174" s="478"/>
      <c r="D174" s="478"/>
      <c r="E174" s="478"/>
      <c r="F174" s="478"/>
      <c r="G174" s="478"/>
      <c r="H174" s="478"/>
      <c r="I174" s="478"/>
      <c r="J174" s="478"/>
      <c r="K174" s="478"/>
      <c r="L174" s="478"/>
    </row>
    <row r="175" spans="1:12" ht="14.25">
      <c r="A175" s="478"/>
      <c r="B175" s="478"/>
      <c r="C175" s="478"/>
      <c r="D175" s="478"/>
      <c r="E175" s="478"/>
      <c r="F175" s="478"/>
      <c r="G175" s="478"/>
      <c r="H175" s="478"/>
      <c r="I175" s="478"/>
      <c r="J175" s="478"/>
      <c r="K175" s="478"/>
      <c r="L175" s="478"/>
    </row>
    <row r="176" spans="1:12" ht="14.25">
      <c r="A176" s="478"/>
      <c r="B176" s="478"/>
      <c r="C176" s="478"/>
      <c r="D176" s="478"/>
      <c r="E176" s="478"/>
      <c r="F176" s="478"/>
      <c r="G176" s="478"/>
      <c r="H176" s="478"/>
      <c r="I176" s="478"/>
      <c r="J176" s="478"/>
      <c r="K176" s="478"/>
      <c r="L176" s="478"/>
    </row>
    <row r="177" spans="1:12" ht="14.25">
      <c r="A177" s="478"/>
      <c r="B177" s="478"/>
      <c r="C177" s="478"/>
      <c r="D177" s="478"/>
      <c r="E177" s="478"/>
      <c r="F177" s="478"/>
      <c r="G177" s="478"/>
      <c r="H177" s="478"/>
      <c r="I177" s="478"/>
      <c r="J177" s="478"/>
      <c r="K177" s="478"/>
      <c r="L177" s="478"/>
    </row>
    <row r="178" spans="1:12" ht="14.25">
      <c r="A178" s="478"/>
      <c r="B178" s="478"/>
      <c r="C178" s="478"/>
      <c r="D178" s="478"/>
      <c r="E178" s="478"/>
      <c r="F178" s="478"/>
      <c r="G178" s="478"/>
      <c r="H178" s="478"/>
      <c r="I178" s="478"/>
      <c r="J178" s="478"/>
      <c r="K178" s="478"/>
      <c r="L178" s="478"/>
    </row>
    <row r="179" spans="1:12" ht="14.25">
      <c r="A179" s="478"/>
      <c r="B179" s="478"/>
      <c r="C179" s="478"/>
      <c r="D179" s="478"/>
      <c r="E179" s="478"/>
      <c r="F179" s="478"/>
      <c r="G179" s="478"/>
      <c r="H179" s="478"/>
      <c r="I179" s="478"/>
      <c r="J179" s="478"/>
      <c r="K179" s="478"/>
      <c r="L179" s="478"/>
    </row>
    <row r="180" spans="1:12" ht="14.25">
      <c r="A180" s="478"/>
      <c r="B180" s="478"/>
      <c r="C180" s="478"/>
      <c r="D180" s="478"/>
      <c r="E180" s="478"/>
      <c r="F180" s="478"/>
      <c r="G180" s="478"/>
      <c r="H180" s="478"/>
      <c r="I180" s="478"/>
      <c r="J180" s="478"/>
      <c r="K180" s="478"/>
      <c r="L180" s="478"/>
    </row>
    <row r="181" spans="1:12" ht="14.25">
      <c r="A181" s="478"/>
      <c r="B181" s="478"/>
      <c r="C181" s="478"/>
      <c r="D181" s="478"/>
      <c r="E181" s="478"/>
      <c r="F181" s="478"/>
      <c r="G181" s="478"/>
      <c r="H181" s="478"/>
      <c r="I181" s="478"/>
      <c r="J181" s="478"/>
      <c r="K181" s="478"/>
      <c r="L181" s="478"/>
    </row>
    <row r="182" spans="1:12" ht="14.25">
      <c r="A182" s="478"/>
      <c r="B182" s="478"/>
      <c r="C182" s="478"/>
      <c r="D182" s="478"/>
      <c r="E182" s="478"/>
      <c r="F182" s="478"/>
      <c r="G182" s="478"/>
      <c r="H182" s="478"/>
      <c r="I182" s="478"/>
      <c r="J182" s="478"/>
      <c r="K182" s="478"/>
      <c r="L182" s="478"/>
    </row>
    <row r="183" spans="1:12" ht="14.25">
      <c r="A183" s="478"/>
      <c r="B183" s="478"/>
      <c r="C183" s="478"/>
      <c r="D183" s="478"/>
      <c r="E183" s="478"/>
      <c r="F183" s="478"/>
      <c r="G183" s="478"/>
      <c r="H183" s="478"/>
      <c r="I183" s="478"/>
      <c r="J183" s="478"/>
      <c r="K183" s="478"/>
      <c r="L183" s="478"/>
    </row>
    <row r="184" spans="1:12" ht="14.25">
      <c r="A184" s="478"/>
      <c r="B184" s="478"/>
      <c r="C184" s="478"/>
      <c r="D184" s="478"/>
      <c r="E184" s="478"/>
      <c r="F184" s="478"/>
      <c r="G184" s="478"/>
      <c r="H184" s="478"/>
      <c r="I184" s="478"/>
      <c r="J184" s="478"/>
      <c r="K184" s="478"/>
      <c r="L184" s="478"/>
    </row>
    <row r="185" spans="1:12" ht="14.25">
      <c r="A185" s="478"/>
      <c r="B185" s="478"/>
      <c r="C185" s="478"/>
      <c r="D185" s="478"/>
      <c r="E185" s="478"/>
      <c r="F185" s="478"/>
      <c r="G185" s="478"/>
      <c r="H185" s="478"/>
      <c r="I185" s="478"/>
      <c r="J185" s="478"/>
      <c r="K185" s="478"/>
      <c r="L185" s="478"/>
    </row>
    <row r="186" spans="1:12" ht="14.25">
      <c r="A186" s="478"/>
      <c r="B186" s="478"/>
      <c r="C186" s="478"/>
      <c r="D186" s="478"/>
      <c r="E186" s="478"/>
      <c r="F186" s="478"/>
      <c r="G186" s="478"/>
      <c r="H186" s="478"/>
      <c r="I186" s="478"/>
      <c r="J186" s="478"/>
      <c r="K186" s="478"/>
      <c r="L186" s="478"/>
    </row>
    <row r="187" spans="1:12" ht="14.25">
      <c r="A187" s="478"/>
      <c r="B187" s="478"/>
      <c r="C187" s="478"/>
      <c r="D187" s="478"/>
      <c r="E187" s="478"/>
      <c r="F187" s="478"/>
      <c r="G187" s="478"/>
      <c r="H187" s="478"/>
      <c r="I187" s="478"/>
      <c r="J187" s="478"/>
      <c r="K187" s="478"/>
      <c r="L187" s="478"/>
    </row>
    <row r="188" spans="1:12" ht="14.25">
      <c r="A188" s="478"/>
      <c r="B188" s="478"/>
      <c r="C188" s="478"/>
      <c r="D188" s="478"/>
      <c r="E188" s="478"/>
      <c r="F188" s="478"/>
      <c r="G188" s="478"/>
      <c r="H188" s="478"/>
      <c r="I188" s="478"/>
      <c r="J188" s="478"/>
      <c r="K188" s="478"/>
      <c r="L188" s="478"/>
    </row>
    <row r="189" spans="1:12" ht="14.25">
      <c r="A189" s="478"/>
      <c r="B189" s="478"/>
      <c r="C189" s="478"/>
      <c r="D189" s="478"/>
      <c r="E189" s="478"/>
      <c r="F189" s="478"/>
      <c r="G189" s="478"/>
      <c r="H189" s="478"/>
      <c r="I189" s="478"/>
      <c r="J189" s="478"/>
      <c r="K189" s="478"/>
      <c r="L189" s="478"/>
    </row>
    <row r="190" spans="1:12" ht="14.25">
      <c r="A190" s="478"/>
      <c r="B190" s="478"/>
      <c r="C190" s="478"/>
      <c r="D190" s="478"/>
      <c r="E190" s="478"/>
      <c r="F190" s="478"/>
      <c r="G190" s="478"/>
      <c r="H190" s="478"/>
      <c r="I190" s="478"/>
      <c r="J190" s="478"/>
      <c r="K190" s="478"/>
      <c r="L190" s="478"/>
    </row>
    <row r="191" spans="1:12" ht="14.25">
      <c r="A191" s="478"/>
      <c r="B191" s="478"/>
      <c r="C191" s="478"/>
      <c r="D191" s="478"/>
      <c r="E191" s="478"/>
      <c r="F191" s="478"/>
      <c r="G191" s="478"/>
      <c r="H191" s="478"/>
      <c r="I191" s="478"/>
      <c r="J191" s="478"/>
      <c r="K191" s="478"/>
      <c r="L191" s="478"/>
    </row>
    <row r="192" spans="1:12" ht="14.25">
      <c r="A192" s="478"/>
      <c r="B192" s="478"/>
      <c r="C192" s="478"/>
      <c r="D192" s="478"/>
      <c r="E192" s="478"/>
      <c r="F192" s="478"/>
      <c r="G192" s="478"/>
      <c r="H192" s="478"/>
      <c r="I192" s="478"/>
      <c r="J192" s="478"/>
      <c r="K192" s="478"/>
      <c r="L192" s="478"/>
    </row>
    <row r="193" spans="1:12" ht="14.25">
      <c r="A193" s="478"/>
      <c r="B193" s="478"/>
      <c r="C193" s="478"/>
      <c r="D193" s="478"/>
      <c r="E193" s="478"/>
      <c r="F193" s="478"/>
      <c r="G193" s="478"/>
      <c r="H193" s="478"/>
      <c r="I193" s="478"/>
      <c r="J193" s="478"/>
      <c r="K193" s="478"/>
      <c r="L193" s="478"/>
    </row>
    <row r="194" spans="1:12" ht="14.25">
      <c r="A194" s="478"/>
      <c r="B194" s="478"/>
      <c r="C194" s="478"/>
      <c r="D194" s="478"/>
      <c r="E194" s="478"/>
      <c r="F194" s="478"/>
      <c r="G194" s="478"/>
      <c r="H194" s="478"/>
      <c r="I194" s="478"/>
      <c r="J194" s="478"/>
      <c r="K194" s="478"/>
      <c r="L194" s="478"/>
    </row>
    <row r="195" spans="1:12" ht="14.25">
      <c r="A195" s="478"/>
      <c r="B195" s="478"/>
      <c r="C195" s="478"/>
      <c r="D195" s="478"/>
      <c r="E195" s="478"/>
      <c r="F195" s="478"/>
      <c r="G195" s="478"/>
      <c r="H195" s="478"/>
      <c r="I195" s="478"/>
      <c r="J195" s="478"/>
      <c r="K195" s="478"/>
      <c r="L195" s="478"/>
    </row>
    <row r="196" spans="1:12" ht="14.25">
      <c r="A196" s="478"/>
      <c r="B196" s="478"/>
      <c r="C196" s="478"/>
      <c r="D196" s="478"/>
      <c r="E196" s="478"/>
      <c r="F196" s="478"/>
      <c r="G196" s="478"/>
      <c r="H196" s="478"/>
      <c r="I196" s="478"/>
      <c r="J196" s="478"/>
      <c r="K196" s="478"/>
      <c r="L196" s="478"/>
    </row>
    <row r="197" spans="1:12" ht="14.25">
      <c r="A197" s="478"/>
      <c r="B197" s="478"/>
      <c r="C197" s="478"/>
      <c r="D197" s="478"/>
      <c r="E197" s="478"/>
      <c r="F197" s="478"/>
      <c r="G197" s="478"/>
      <c r="H197" s="478"/>
      <c r="I197" s="478"/>
      <c r="J197" s="478"/>
      <c r="K197" s="478"/>
      <c r="L197" s="478"/>
    </row>
    <row r="198" spans="1:12" ht="14.25">
      <c r="A198" s="478"/>
      <c r="B198" s="478"/>
      <c r="C198" s="478"/>
      <c r="D198" s="478"/>
      <c r="E198" s="478"/>
      <c r="F198" s="478"/>
      <c r="G198" s="478"/>
      <c r="H198" s="478"/>
      <c r="I198" s="478"/>
      <c r="J198" s="478"/>
      <c r="K198" s="478"/>
      <c r="L198" s="478"/>
    </row>
    <row r="199" spans="1:12" ht="14.25">
      <c r="A199" s="478"/>
      <c r="B199" s="478"/>
      <c r="C199" s="478"/>
      <c r="D199" s="478"/>
      <c r="E199" s="478"/>
      <c r="F199" s="478"/>
      <c r="G199" s="478"/>
      <c r="H199" s="478"/>
      <c r="I199" s="478"/>
      <c r="J199" s="478"/>
      <c r="K199" s="478"/>
      <c r="L199" s="478"/>
    </row>
    <row r="200" spans="1:12" ht="14.25">
      <c r="A200" s="478"/>
      <c r="B200" s="478"/>
      <c r="C200" s="478"/>
      <c r="D200" s="478"/>
      <c r="E200" s="478"/>
      <c r="F200" s="478"/>
      <c r="G200" s="478"/>
      <c r="H200" s="478"/>
      <c r="I200" s="478"/>
      <c r="J200" s="478"/>
      <c r="K200" s="478"/>
      <c r="L200" s="478"/>
    </row>
    <row r="201" spans="1:12" ht="14.25">
      <c r="A201" s="478"/>
      <c r="B201" s="478"/>
      <c r="C201" s="478"/>
      <c r="D201" s="478"/>
      <c r="E201" s="478"/>
      <c r="F201" s="478"/>
      <c r="G201" s="478"/>
      <c r="H201" s="478"/>
      <c r="I201" s="478"/>
      <c r="J201" s="478"/>
      <c r="K201" s="478"/>
      <c r="L201" s="478"/>
    </row>
    <row r="202" spans="1:12" ht="14.25">
      <c r="A202" s="478"/>
      <c r="B202" s="478"/>
      <c r="C202" s="478"/>
      <c r="D202" s="478"/>
      <c r="E202" s="478"/>
      <c r="F202" s="478"/>
      <c r="G202" s="478"/>
      <c r="H202" s="478"/>
      <c r="I202" s="478"/>
      <c r="J202" s="478"/>
      <c r="K202" s="478"/>
      <c r="L202" s="478"/>
    </row>
    <row r="203" spans="1:12" ht="14.25">
      <c r="A203" s="478"/>
      <c r="B203" s="478"/>
      <c r="C203" s="478"/>
      <c r="D203" s="478"/>
      <c r="E203" s="478"/>
      <c r="F203" s="478"/>
      <c r="G203" s="478"/>
      <c r="H203" s="478"/>
      <c r="I203" s="478"/>
      <c r="J203" s="478"/>
      <c r="K203" s="478"/>
      <c r="L203" s="478"/>
    </row>
    <row r="204" spans="1:12" ht="14.25">
      <c r="A204" s="478"/>
      <c r="B204" s="478"/>
      <c r="C204" s="478"/>
      <c r="D204" s="478"/>
      <c r="E204" s="478"/>
      <c r="F204" s="478"/>
      <c r="G204" s="478"/>
      <c r="H204" s="478"/>
      <c r="I204" s="478"/>
      <c r="J204" s="478"/>
      <c r="K204" s="478"/>
      <c r="L204" s="478"/>
    </row>
    <row r="205" spans="1:12" ht="14.25">
      <c r="A205" s="478"/>
      <c r="B205" s="478"/>
      <c r="C205" s="478"/>
      <c r="D205" s="478"/>
      <c r="E205" s="478"/>
      <c r="F205" s="478"/>
      <c r="G205" s="478"/>
      <c r="H205" s="478"/>
      <c r="I205" s="478"/>
      <c r="J205" s="478"/>
      <c r="K205" s="478"/>
      <c r="L205" s="478"/>
    </row>
    <row r="206" spans="1:12" ht="14.25">
      <c r="A206" s="478"/>
      <c r="B206" s="478"/>
      <c r="C206" s="478"/>
      <c r="D206" s="478"/>
      <c r="E206" s="478"/>
      <c r="F206" s="478"/>
      <c r="G206" s="478"/>
      <c r="H206" s="478"/>
      <c r="I206" s="478"/>
      <c r="J206" s="478"/>
      <c r="K206" s="478"/>
      <c r="L206" s="478"/>
    </row>
    <row r="207" spans="1:12" ht="14.25">
      <c r="A207" s="478"/>
      <c r="B207" s="478"/>
      <c r="C207" s="478"/>
      <c r="D207" s="478"/>
      <c r="E207" s="478"/>
      <c r="F207" s="478"/>
      <c r="G207" s="478"/>
      <c r="H207" s="478"/>
      <c r="I207" s="478"/>
      <c r="J207" s="478"/>
      <c r="K207" s="478"/>
      <c r="L207" s="478"/>
    </row>
    <row r="208" spans="1:12" ht="14.25">
      <c r="A208" s="478"/>
      <c r="B208" s="478"/>
      <c r="C208" s="478"/>
      <c r="D208" s="478"/>
      <c r="E208" s="478"/>
      <c r="F208" s="478"/>
      <c r="G208" s="478"/>
      <c r="H208" s="478"/>
      <c r="I208" s="478"/>
      <c r="J208" s="478"/>
      <c r="K208" s="478"/>
      <c r="L208" s="478"/>
    </row>
    <row r="209" spans="1:12" ht="14.25">
      <c r="A209" s="478"/>
      <c r="B209" s="478"/>
      <c r="C209" s="478"/>
      <c r="D209" s="478"/>
      <c r="E209" s="478"/>
      <c r="F209" s="478"/>
      <c r="G209" s="478"/>
      <c r="H209" s="478"/>
      <c r="I209" s="478"/>
      <c r="J209" s="478"/>
      <c r="K209" s="478"/>
      <c r="L209" s="478"/>
    </row>
    <row r="210" spans="1:12" ht="14.25">
      <c r="A210" s="478"/>
      <c r="B210" s="478"/>
      <c r="C210" s="478"/>
      <c r="D210" s="478"/>
      <c r="E210" s="478"/>
      <c r="F210" s="478"/>
      <c r="G210" s="478"/>
      <c r="H210" s="478"/>
      <c r="I210" s="478"/>
      <c r="J210" s="478"/>
      <c r="K210" s="478"/>
      <c r="L210" s="478"/>
    </row>
    <row r="211" spans="1:12" ht="14.25">
      <c r="A211" s="478"/>
      <c r="B211" s="478"/>
      <c r="C211" s="478"/>
      <c r="D211" s="478"/>
      <c r="E211" s="478"/>
      <c r="F211" s="478"/>
      <c r="G211" s="478"/>
      <c r="H211" s="478"/>
      <c r="I211" s="478"/>
      <c r="J211" s="478"/>
      <c r="K211" s="478"/>
      <c r="L211" s="478"/>
    </row>
    <row r="212" spans="1:12" ht="14.25">
      <c r="A212" s="478"/>
      <c r="B212" s="478"/>
      <c r="C212" s="478"/>
      <c r="D212" s="478"/>
      <c r="E212" s="478"/>
      <c r="F212" s="478"/>
      <c r="G212" s="478"/>
      <c r="H212" s="478"/>
      <c r="I212" s="478"/>
      <c r="J212" s="478"/>
      <c r="K212" s="478"/>
      <c r="L212" s="478"/>
    </row>
    <row r="213" spans="1:12" ht="14.25">
      <c r="A213" s="478"/>
      <c r="B213" s="478"/>
      <c r="C213" s="478"/>
      <c r="D213" s="478"/>
      <c r="E213" s="478"/>
      <c r="F213" s="478"/>
      <c r="G213" s="478"/>
      <c r="H213" s="478"/>
      <c r="I213" s="478"/>
      <c r="J213" s="478"/>
      <c r="K213" s="478"/>
      <c r="L213" s="478"/>
    </row>
    <row r="214" spans="1:12" ht="14.25">
      <c r="A214" s="478"/>
      <c r="B214" s="478"/>
      <c r="C214" s="478"/>
      <c r="D214" s="478"/>
      <c r="E214" s="478"/>
      <c r="F214" s="478"/>
      <c r="G214" s="478"/>
      <c r="H214" s="478"/>
      <c r="I214" s="478"/>
      <c r="J214" s="478"/>
      <c r="K214" s="478"/>
      <c r="L214" s="478"/>
    </row>
    <row r="215" spans="1:12" ht="14.25">
      <c r="A215" s="478"/>
      <c r="B215" s="478"/>
      <c r="C215" s="478"/>
      <c r="D215" s="478"/>
      <c r="E215" s="478"/>
      <c r="F215" s="478"/>
      <c r="G215" s="478"/>
      <c r="H215" s="478"/>
      <c r="I215" s="478"/>
      <c r="J215" s="478"/>
      <c r="K215" s="478"/>
      <c r="L215" s="478"/>
    </row>
    <row r="216" spans="1:12" ht="14.25">
      <c r="A216" s="478"/>
      <c r="B216" s="478"/>
      <c r="C216" s="478"/>
      <c r="D216" s="478"/>
      <c r="E216" s="478"/>
      <c r="F216" s="478"/>
      <c r="G216" s="478"/>
      <c r="H216" s="478"/>
      <c r="I216" s="478"/>
      <c r="J216" s="478"/>
      <c r="K216" s="478"/>
      <c r="L216" s="478"/>
    </row>
    <row r="217" spans="1:12" ht="14.25">
      <c r="A217" s="478"/>
      <c r="B217" s="478"/>
      <c r="C217" s="478"/>
      <c r="D217" s="478"/>
      <c r="E217" s="478"/>
      <c r="F217" s="478"/>
      <c r="G217" s="478"/>
      <c r="H217" s="478"/>
      <c r="I217" s="478"/>
      <c r="J217" s="478"/>
      <c r="K217" s="478"/>
      <c r="L217" s="478"/>
    </row>
    <row r="218" spans="1:12" ht="14.25">
      <c r="A218" s="478"/>
      <c r="B218" s="478"/>
      <c r="C218" s="478"/>
      <c r="D218" s="478"/>
      <c r="E218" s="478"/>
      <c r="F218" s="478"/>
      <c r="G218" s="478"/>
      <c r="H218" s="478"/>
      <c r="I218" s="478"/>
      <c r="J218" s="478"/>
      <c r="K218" s="478"/>
      <c r="L218" s="478"/>
    </row>
    <row r="219" spans="1:12" ht="14.25">
      <c r="A219" s="478"/>
      <c r="B219" s="478"/>
      <c r="C219" s="478"/>
      <c r="D219" s="478"/>
      <c r="E219" s="478"/>
      <c r="F219" s="478"/>
      <c r="G219" s="478"/>
      <c r="H219" s="478"/>
      <c r="I219" s="478"/>
      <c r="J219" s="478"/>
      <c r="K219" s="478"/>
      <c r="L219" s="478"/>
    </row>
    <row r="220" spans="1:12" ht="14.25">
      <c r="A220" s="478"/>
      <c r="B220" s="478"/>
      <c r="C220" s="478"/>
      <c r="D220" s="478"/>
      <c r="E220" s="478"/>
      <c r="F220" s="478"/>
      <c r="G220" s="478"/>
      <c r="H220" s="478"/>
      <c r="I220" s="478"/>
      <c r="J220" s="478"/>
      <c r="K220" s="478"/>
      <c r="L220" s="478"/>
    </row>
    <row r="221" spans="1:12" ht="14.25">
      <c r="A221" s="478"/>
      <c r="B221" s="478"/>
      <c r="C221" s="478"/>
      <c r="D221" s="478"/>
      <c r="E221" s="478"/>
      <c r="F221" s="478"/>
      <c r="G221" s="478"/>
      <c r="H221" s="478"/>
      <c r="I221" s="478"/>
      <c r="J221" s="478"/>
      <c r="K221" s="478"/>
      <c r="L221" s="478"/>
    </row>
    <row r="222" spans="1:12" ht="14.25">
      <c r="A222" s="478"/>
      <c r="B222" s="478"/>
      <c r="C222" s="478"/>
      <c r="D222" s="478"/>
      <c r="E222" s="478"/>
      <c r="F222" s="478"/>
      <c r="G222" s="478"/>
      <c r="H222" s="478"/>
      <c r="I222" s="478"/>
      <c r="J222" s="478"/>
      <c r="K222" s="478"/>
      <c r="L222" s="478"/>
    </row>
    <row r="223" spans="1:12" ht="14.25">
      <c r="A223" s="478"/>
      <c r="B223" s="478"/>
      <c r="C223" s="478"/>
      <c r="D223" s="478"/>
      <c r="E223" s="478"/>
      <c r="F223" s="478"/>
      <c r="G223" s="478"/>
      <c r="H223" s="478"/>
      <c r="I223" s="478"/>
      <c r="J223" s="478"/>
      <c r="K223" s="478"/>
      <c r="L223" s="478"/>
    </row>
    <row r="224" spans="1:12" ht="14.25">
      <c r="A224" s="478"/>
      <c r="B224" s="478"/>
      <c r="C224" s="478"/>
      <c r="D224" s="478"/>
      <c r="E224" s="478"/>
      <c r="F224" s="478"/>
      <c r="G224" s="478"/>
      <c r="H224" s="478"/>
      <c r="I224" s="478"/>
      <c r="J224" s="478"/>
      <c r="K224" s="478"/>
      <c r="L224" s="478"/>
    </row>
    <row r="225" spans="1:12" ht="14.25">
      <c r="A225" s="478"/>
      <c r="B225" s="478"/>
      <c r="C225" s="478"/>
      <c r="D225" s="478"/>
      <c r="E225" s="478"/>
      <c r="F225" s="478"/>
      <c r="G225" s="478"/>
      <c r="H225" s="478"/>
      <c r="I225" s="478"/>
      <c r="J225" s="478"/>
      <c r="K225" s="478"/>
      <c r="L225" s="478"/>
    </row>
    <row r="226" spans="1:12" ht="14.25">
      <c r="A226" s="478"/>
      <c r="B226" s="478"/>
      <c r="C226" s="478"/>
      <c r="D226" s="478"/>
      <c r="E226" s="478"/>
      <c r="F226" s="478"/>
      <c r="G226" s="478"/>
      <c r="H226" s="478"/>
      <c r="I226" s="478"/>
      <c r="J226" s="478"/>
      <c r="K226" s="478"/>
      <c r="L226" s="478"/>
    </row>
    <row r="227" spans="1:12" ht="14.25">
      <c r="A227" s="478"/>
      <c r="B227" s="478"/>
      <c r="C227" s="478"/>
      <c r="D227" s="478"/>
      <c r="E227" s="478"/>
      <c r="F227" s="478"/>
      <c r="G227" s="478"/>
      <c r="H227" s="478"/>
      <c r="I227" s="478"/>
      <c r="J227" s="478"/>
      <c r="K227" s="478"/>
      <c r="L227" s="478"/>
    </row>
    <row r="228" spans="1:12" ht="14.25">
      <c r="A228" s="478"/>
      <c r="B228" s="478"/>
      <c r="C228" s="478"/>
      <c r="D228" s="478"/>
      <c r="E228" s="478"/>
      <c r="F228" s="478"/>
      <c r="G228" s="478"/>
      <c r="H228" s="478"/>
      <c r="I228" s="478"/>
      <c r="J228" s="478"/>
      <c r="K228" s="478"/>
      <c r="L228" s="478"/>
    </row>
    <row r="229" spans="1:12" ht="14.25">
      <c r="A229" s="478"/>
      <c r="B229" s="478"/>
      <c r="C229" s="478"/>
      <c r="D229" s="478"/>
      <c r="E229" s="478"/>
      <c r="F229" s="478"/>
      <c r="G229" s="478"/>
      <c r="H229" s="478"/>
      <c r="I229" s="478"/>
      <c r="J229" s="478"/>
      <c r="K229" s="478"/>
      <c r="L229" s="478"/>
    </row>
    <row r="230" spans="1:12" ht="14.25">
      <c r="A230" s="478"/>
      <c r="B230" s="478"/>
      <c r="C230" s="478"/>
      <c r="D230" s="478"/>
      <c r="E230" s="478"/>
      <c r="F230" s="478"/>
      <c r="G230" s="478"/>
      <c r="H230" s="478"/>
      <c r="I230" s="478"/>
      <c r="J230" s="478"/>
      <c r="K230" s="478"/>
      <c r="L230" s="478"/>
    </row>
    <row r="231" spans="1:12" ht="14.25">
      <c r="A231" s="478"/>
      <c r="B231" s="478"/>
      <c r="C231" s="478"/>
      <c r="D231" s="478"/>
      <c r="E231" s="478"/>
      <c r="F231" s="478"/>
      <c r="G231" s="478"/>
      <c r="H231" s="478"/>
      <c r="I231" s="478"/>
      <c r="J231" s="478"/>
      <c r="K231" s="478"/>
      <c r="L231" s="478"/>
    </row>
    <row r="232" spans="1:12" ht="14.25">
      <c r="A232" s="478"/>
      <c r="B232" s="478"/>
      <c r="C232" s="478"/>
      <c r="D232" s="478"/>
      <c r="E232" s="478"/>
      <c r="F232" s="478"/>
      <c r="G232" s="478"/>
      <c r="H232" s="478"/>
      <c r="I232" s="478"/>
      <c r="J232" s="478"/>
      <c r="K232" s="478"/>
      <c r="L232" s="478"/>
    </row>
    <row r="233" spans="1:12" ht="14.25">
      <c r="A233" s="478"/>
      <c r="B233" s="478"/>
      <c r="C233" s="478"/>
      <c r="D233" s="478"/>
      <c r="E233" s="478"/>
      <c r="F233" s="478"/>
      <c r="G233" s="478"/>
      <c r="H233" s="478"/>
      <c r="I233" s="478"/>
      <c r="J233" s="478"/>
      <c r="K233" s="478"/>
      <c r="L233" s="478"/>
    </row>
    <row r="234" spans="1:12" ht="14.25">
      <c r="A234" s="478"/>
      <c r="B234" s="478"/>
      <c r="C234" s="478"/>
      <c r="D234" s="478"/>
      <c r="E234" s="478"/>
      <c r="F234" s="478"/>
      <c r="G234" s="478"/>
      <c r="H234" s="478"/>
      <c r="I234" s="478"/>
      <c r="J234" s="478"/>
      <c r="K234" s="478"/>
      <c r="L234" s="478"/>
    </row>
    <row r="235" spans="1:12" ht="14.25">
      <c r="A235" s="478"/>
      <c r="B235" s="478"/>
      <c r="C235" s="478"/>
      <c r="D235" s="478"/>
      <c r="E235" s="478"/>
      <c r="F235" s="478"/>
      <c r="G235" s="478"/>
      <c r="H235" s="478"/>
      <c r="I235" s="478"/>
      <c r="J235" s="478"/>
      <c r="K235" s="478"/>
      <c r="L235" s="478"/>
    </row>
    <row r="236" spans="1:12" ht="14.25">
      <c r="A236" s="478"/>
      <c r="B236" s="478"/>
      <c r="C236" s="478"/>
      <c r="D236" s="478"/>
      <c r="E236" s="478"/>
      <c r="F236" s="478"/>
      <c r="G236" s="478"/>
      <c r="H236" s="478"/>
      <c r="I236" s="478"/>
      <c r="J236" s="478"/>
      <c r="K236" s="478"/>
      <c r="L236" s="478"/>
    </row>
    <row r="237" spans="1:12" ht="14.25">
      <c r="A237" s="478"/>
      <c r="B237" s="478"/>
      <c r="C237" s="478"/>
      <c r="D237" s="478"/>
      <c r="E237" s="478"/>
      <c r="F237" s="478"/>
      <c r="G237" s="478"/>
      <c r="H237" s="478"/>
      <c r="I237" s="478"/>
      <c r="J237" s="478"/>
      <c r="K237" s="478"/>
      <c r="L237" s="478"/>
    </row>
    <row r="238" spans="1:12" ht="14.25">
      <c r="A238" s="478"/>
      <c r="B238" s="478"/>
      <c r="C238" s="478"/>
      <c r="D238" s="478"/>
      <c r="E238" s="478"/>
      <c r="F238" s="478"/>
      <c r="G238" s="478"/>
      <c r="H238" s="478"/>
      <c r="I238" s="478"/>
      <c r="J238" s="478"/>
      <c r="K238" s="478"/>
      <c r="L238" s="478"/>
    </row>
    <row r="239" spans="1:12" ht="14.25">
      <c r="A239" s="478"/>
      <c r="B239" s="478"/>
      <c r="C239" s="478"/>
      <c r="D239" s="478"/>
      <c r="E239" s="478"/>
      <c r="F239" s="478"/>
      <c r="G239" s="478"/>
      <c r="H239" s="478"/>
      <c r="I239" s="478"/>
      <c r="J239" s="478"/>
      <c r="K239" s="478"/>
      <c r="L239" s="478"/>
    </row>
    <row r="240" spans="1:12" ht="14.25">
      <c r="A240" s="478"/>
      <c r="B240" s="478"/>
      <c r="C240" s="478"/>
      <c r="D240" s="478"/>
      <c r="E240" s="478"/>
      <c r="F240" s="478"/>
      <c r="G240" s="478"/>
      <c r="H240" s="478"/>
      <c r="I240" s="478"/>
      <c r="J240" s="478"/>
      <c r="K240" s="478"/>
      <c r="L240" s="478"/>
    </row>
    <row r="241" spans="1:12" ht="14.25">
      <c r="A241" s="478"/>
      <c r="B241" s="478"/>
      <c r="C241" s="478"/>
      <c r="D241" s="478"/>
      <c r="E241" s="478"/>
      <c r="F241" s="478"/>
      <c r="G241" s="478"/>
      <c r="H241" s="478"/>
      <c r="I241" s="478"/>
      <c r="J241" s="478"/>
      <c r="K241" s="478"/>
      <c r="L241" s="478"/>
    </row>
    <row r="242" spans="1:12" ht="14.25">
      <c r="A242" s="478"/>
      <c r="B242" s="478"/>
      <c r="C242" s="478"/>
      <c r="D242" s="478"/>
      <c r="E242" s="478"/>
      <c r="F242" s="478"/>
      <c r="G242" s="478"/>
      <c r="H242" s="478"/>
      <c r="I242" s="478"/>
      <c r="J242" s="478"/>
      <c r="K242" s="478"/>
      <c r="L242" s="478"/>
    </row>
    <row r="243" spans="1:12" ht="14.25">
      <c r="A243" s="478"/>
      <c r="B243" s="478"/>
      <c r="C243" s="478"/>
      <c r="D243" s="478"/>
      <c r="E243" s="478"/>
      <c r="F243" s="478"/>
      <c r="G243" s="478"/>
      <c r="H243" s="478"/>
      <c r="I243" s="478"/>
      <c r="J243" s="478"/>
      <c r="K243" s="478"/>
      <c r="L243" s="478"/>
    </row>
    <row r="244" spans="1:12" ht="14.25">
      <c r="A244" s="478"/>
      <c r="B244" s="478"/>
      <c r="C244" s="478"/>
      <c r="D244" s="478"/>
      <c r="E244" s="478"/>
      <c r="F244" s="478"/>
      <c r="G244" s="478"/>
      <c r="H244" s="478"/>
      <c r="I244" s="478"/>
      <c r="J244" s="478"/>
      <c r="K244" s="478"/>
      <c r="L244" s="478"/>
    </row>
    <row r="245" spans="1:12" ht="14.25">
      <c r="A245" s="478"/>
      <c r="B245" s="478"/>
      <c r="C245" s="478"/>
      <c r="D245" s="478"/>
      <c r="E245" s="478"/>
      <c r="F245" s="478"/>
      <c r="G245" s="478"/>
      <c r="H245" s="478"/>
      <c r="I245" s="478"/>
      <c r="J245" s="478"/>
      <c r="K245" s="478"/>
      <c r="L245" s="478"/>
    </row>
    <row r="246" spans="1:12" ht="14.25">
      <c r="A246" s="478"/>
      <c r="B246" s="478"/>
      <c r="C246" s="478"/>
      <c r="D246" s="478"/>
      <c r="E246" s="478"/>
      <c r="F246" s="478"/>
      <c r="G246" s="478"/>
      <c r="H246" s="478"/>
      <c r="I246" s="478"/>
      <c r="J246" s="478"/>
      <c r="K246" s="478"/>
      <c r="L246" s="478"/>
    </row>
    <row r="247" spans="1:12" ht="14.25">
      <c r="A247" s="478"/>
      <c r="B247" s="478"/>
      <c r="C247" s="478"/>
      <c r="D247" s="478"/>
      <c r="E247" s="478"/>
      <c r="F247" s="478"/>
      <c r="G247" s="478"/>
      <c r="H247" s="478"/>
      <c r="I247" s="478"/>
      <c r="J247" s="478"/>
      <c r="K247" s="478"/>
      <c r="L247" s="478"/>
    </row>
    <row r="248" spans="1:12" ht="14.25">
      <c r="A248" s="478"/>
      <c r="B248" s="478"/>
      <c r="C248" s="478"/>
      <c r="D248" s="478"/>
      <c r="E248" s="478"/>
      <c r="F248" s="478"/>
      <c r="G248" s="478"/>
      <c r="H248" s="478"/>
      <c r="I248" s="478"/>
      <c r="J248" s="478"/>
      <c r="K248" s="478"/>
      <c r="L248" s="478"/>
    </row>
    <row r="249" spans="1:12" ht="14.25">
      <c r="A249" s="478"/>
      <c r="B249" s="478"/>
      <c r="C249" s="478"/>
      <c r="D249" s="478"/>
      <c r="E249" s="478"/>
      <c r="F249" s="478"/>
      <c r="G249" s="478"/>
      <c r="H249" s="478"/>
      <c r="I249" s="478"/>
      <c r="J249" s="478"/>
      <c r="K249" s="478"/>
      <c r="L249" s="478"/>
    </row>
    <row r="250" spans="1:12" ht="14.25">
      <c r="A250" s="478"/>
      <c r="B250" s="478"/>
      <c r="C250" s="478"/>
      <c r="D250" s="478"/>
      <c r="E250" s="478"/>
      <c r="F250" s="478"/>
      <c r="G250" s="478"/>
      <c r="H250" s="478"/>
      <c r="I250" s="478"/>
      <c r="J250" s="478"/>
      <c r="K250" s="478"/>
      <c r="L250" s="478"/>
    </row>
    <row r="251" spans="1:12" ht="14.25">
      <c r="A251" s="478"/>
      <c r="B251" s="478"/>
      <c r="C251" s="478"/>
      <c r="D251" s="478"/>
      <c r="E251" s="478"/>
      <c r="F251" s="478"/>
      <c r="G251" s="478"/>
      <c r="H251" s="478"/>
      <c r="I251" s="478"/>
      <c r="J251" s="478"/>
      <c r="K251" s="478"/>
      <c r="L251" s="478"/>
    </row>
    <row r="252" spans="1:12" ht="14.25">
      <c r="A252" s="478"/>
      <c r="B252" s="478"/>
      <c r="C252" s="478"/>
      <c r="D252" s="478"/>
      <c r="E252" s="478"/>
      <c r="F252" s="478"/>
      <c r="G252" s="478"/>
      <c r="H252" s="478"/>
      <c r="I252" s="478"/>
      <c r="J252" s="478"/>
      <c r="K252" s="478"/>
      <c r="L252" s="478"/>
    </row>
    <row r="253" spans="1:12" ht="14.25">
      <c r="A253" s="478"/>
      <c r="B253" s="478"/>
      <c r="C253" s="478"/>
      <c r="D253" s="478"/>
      <c r="E253" s="478"/>
      <c r="F253" s="478"/>
      <c r="G253" s="478"/>
      <c r="H253" s="478"/>
      <c r="I253" s="478"/>
      <c r="J253" s="478"/>
      <c r="K253" s="478"/>
      <c r="L253" s="478"/>
    </row>
    <row r="254" spans="1:12" ht="14.25">
      <c r="A254" s="478"/>
      <c r="B254" s="478"/>
      <c r="C254" s="478"/>
      <c r="D254" s="478"/>
      <c r="E254" s="478"/>
      <c r="F254" s="478"/>
      <c r="G254" s="478"/>
      <c r="H254" s="478"/>
      <c r="I254" s="478"/>
      <c r="J254" s="478"/>
      <c r="K254" s="478"/>
      <c r="L254" s="478"/>
    </row>
    <row r="255" spans="1:12" ht="14.25">
      <c r="A255" s="478"/>
      <c r="B255" s="478"/>
      <c r="C255" s="478"/>
      <c r="D255" s="478"/>
      <c r="E255" s="478"/>
      <c r="F255" s="478"/>
      <c r="G255" s="478"/>
      <c r="H255" s="478"/>
      <c r="I255" s="478"/>
      <c r="J255" s="478"/>
      <c r="K255" s="478"/>
      <c r="L255" s="478"/>
    </row>
    <row r="256" spans="1:12" ht="14.25">
      <c r="A256" s="478"/>
      <c r="B256" s="478"/>
      <c r="C256" s="478"/>
      <c r="D256" s="478"/>
      <c r="E256" s="478"/>
      <c r="F256" s="478"/>
      <c r="G256" s="478"/>
      <c r="H256" s="478"/>
      <c r="I256" s="478"/>
      <c r="J256" s="478"/>
      <c r="K256" s="478"/>
      <c r="L256" s="478"/>
    </row>
    <row r="257" spans="1:12" ht="14.25">
      <c r="A257" s="478"/>
      <c r="B257" s="478"/>
      <c r="C257" s="478"/>
      <c r="D257" s="478"/>
      <c r="E257" s="478"/>
      <c r="F257" s="478"/>
      <c r="G257" s="478"/>
      <c r="H257" s="478"/>
      <c r="I257" s="478"/>
      <c r="J257" s="478"/>
      <c r="K257" s="478"/>
      <c r="L257" s="478"/>
    </row>
    <row r="258" spans="1:12" ht="14.25">
      <c r="A258" s="478"/>
      <c r="B258" s="478"/>
      <c r="C258" s="478"/>
      <c r="D258" s="478"/>
      <c r="E258" s="478"/>
      <c r="F258" s="478"/>
      <c r="G258" s="478"/>
      <c r="H258" s="478"/>
      <c r="I258" s="478"/>
      <c r="J258" s="478"/>
      <c r="K258" s="478"/>
      <c r="L258" s="478"/>
    </row>
    <row r="259" spans="1:12" ht="14.25">
      <c r="A259" s="478"/>
      <c r="B259" s="478"/>
      <c r="C259" s="478"/>
      <c r="D259" s="478"/>
      <c r="E259" s="478"/>
      <c r="F259" s="478"/>
      <c r="G259" s="478"/>
      <c r="H259" s="478"/>
      <c r="I259" s="478"/>
      <c r="J259" s="478"/>
      <c r="K259" s="478"/>
      <c r="L259" s="478"/>
    </row>
    <row r="260" spans="1:12" ht="14.25">
      <c r="A260" s="478"/>
      <c r="B260" s="478"/>
      <c r="C260" s="478"/>
      <c r="D260" s="478"/>
      <c r="E260" s="478"/>
      <c r="F260" s="478"/>
      <c r="G260" s="478"/>
      <c r="H260" s="478"/>
      <c r="I260" s="478"/>
      <c r="J260" s="478"/>
      <c r="K260" s="478"/>
      <c r="L260" s="478"/>
    </row>
    <row r="261" spans="1:12" ht="14.25">
      <c r="A261" s="478"/>
      <c r="B261" s="478"/>
      <c r="C261" s="478"/>
      <c r="D261" s="478"/>
      <c r="E261" s="478"/>
      <c r="F261" s="478"/>
      <c r="G261" s="478"/>
      <c r="H261" s="478"/>
      <c r="I261" s="478"/>
      <c r="J261" s="478"/>
      <c r="K261" s="478"/>
      <c r="L261" s="478"/>
    </row>
    <row r="262" spans="1:12" ht="14.25">
      <c r="A262" s="478"/>
      <c r="B262" s="478"/>
      <c r="C262" s="478"/>
      <c r="D262" s="478"/>
      <c r="E262" s="478"/>
      <c r="F262" s="478"/>
      <c r="G262" s="478"/>
      <c r="H262" s="478"/>
      <c r="I262" s="478"/>
      <c r="J262" s="478"/>
      <c r="K262" s="478"/>
      <c r="L262" s="478"/>
    </row>
    <row r="263" spans="1:12" ht="14.25">
      <c r="A263" s="478"/>
      <c r="B263" s="478"/>
      <c r="C263" s="478"/>
      <c r="D263" s="478"/>
      <c r="E263" s="478"/>
      <c r="F263" s="478"/>
      <c r="G263" s="478"/>
      <c r="H263" s="478"/>
      <c r="I263" s="478"/>
      <c r="J263" s="478"/>
      <c r="K263" s="478"/>
      <c r="L263" s="478"/>
    </row>
    <row r="264" spans="1:12" ht="14.25">
      <c r="A264" s="478"/>
      <c r="B264" s="478"/>
      <c r="C264" s="478"/>
      <c r="D264" s="478"/>
      <c r="E264" s="478"/>
      <c r="F264" s="478"/>
      <c r="G264" s="478"/>
      <c r="H264" s="478"/>
      <c r="I264" s="478"/>
      <c r="J264" s="478"/>
      <c r="K264" s="478"/>
      <c r="L264" s="478"/>
    </row>
    <row r="265" spans="1:12" ht="14.25">
      <c r="A265" s="478"/>
      <c r="B265" s="478"/>
      <c r="C265" s="478"/>
      <c r="D265" s="478"/>
      <c r="E265" s="478"/>
      <c r="F265" s="478"/>
      <c r="G265" s="478"/>
      <c r="H265" s="478"/>
      <c r="I265" s="478"/>
      <c r="J265" s="478"/>
      <c r="K265" s="478"/>
      <c r="L265" s="478"/>
    </row>
    <row r="266" spans="1:12" ht="14.25">
      <c r="A266" s="478"/>
      <c r="B266" s="478"/>
      <c r="C266" s="478"/>
      <c r="D266" s="478"/>
      <c r="E266" s="478"/>
      <c r="F266" s="478"/>
      <c r="G266" s="478"/>
      <c r="H266" s="478"/>
      <c r="I266" s="478"/>
      <c r="J266" s="478"/>
      <c r="K266" s="478"/>
      <c r="L266" s="478"/>
    </row>
    <row r="267" spans="1:12" ht="14.25">
      <c r="A267" s="478"/>
      <c r="B267" s="478"/>
      <c r="C267" s="478"/>
      <c r="D267" s="478"/>
      <c r="E267" s="478"/>
      <c r="F267" s="478"/>
      <c r="G267" s="478"/>
      <c r="H267" s="478"/>
      <c r="I267" s="478"/>
      <c r="J267" s="478"/>
      <c r="K267" s="478"/>
      <c r="L267" s="478"/>
    </row>
    <row r="268" spans="1:12" ht="14.25">
      <c r="A268" s="478"/>
      <c r="B268" s="478"/>
      <c r="C268" s="478"/>
      <c r="D268" s="478"/>
      <c r="E268" s="478"/>
      <c r="F268" s="478"/>
      <c r="G268" s="478"/>
      <c r="H268" s="478"/>
      <c r="I268" s="478"/>
      <c r="J268" s="478"/>
      <c r="K268" s="478"/>
      <c r="L268" s="478"/>
    </row>
    <row r="269" spans="1:12" ht="14.25">
      <c r="A269" s="478"/>
      <c r="B269" s="478"/>
      <c r="C269" s="478"/>
      <c r="D269" s="478"/>
      <c r="E269" s="478"/>
      <c r="F269" s="478"/>
      <c r="G269" s="478"/>
      <c r="H269" s="478"/>
      <c r="I269" s="478"/>
      <c r="J269" s="478"/>
      <c r="K269" s="478"/>
      <c r="L269" s="478"/>
    </row>
    <row r="270" spans="1:12" ht="14.25">
      <c r="A270" s="478"/>
      <c r="B270" s="478"/>
      <c r="C270" s="478"/>
      <c r="D270" s="478"/>
      <c r="E270" s="478"/>
      <c r="F270" s="478"/>
      <c r="G270" s="478"/>
      <c r="H270" s="478"/>
      <c r="I270" s="478"/>
      <c r="J270" s="478"/>
      <c r="K270" s="478"/>
      <c r="L270" s="478"/>
    </row>
    <row r="271" spans="1:12" ht="14.25">
      <c r="A271" s="478"/>
      <c r="B271" s="478"/>
      <c r="C271" s="478"/>
      <c r="D271" s="478"/>
      <c r="E271" s="478"/>
      <c r="F271" s="478"/>
      <c r="G271" s="478"/>
      <c r="H271" s="478"/>
      <c r="I271" s="478"/>
      <c r="J271" s="478"/>
      <c r="K271" s="478"/>
      <c r="L271" s="478"/>
    </row>
    <row r="272" spans="1:12" ht="14.25">
      <c r="A272" s="478"/>
      <c r="B272" s="478"/>
      <c r="C272" s="478"/>
      <c r="D272" s="478"/>
      <c r="E272" s="478"/>
      <c r="F272" s="478"/>
      <c r="G272" s="478"/>
      <c r="H272" s="478"/>
      <c r="I272" s="478"/>
      <c r="J272" s="478"/>
      <c r="K272" s="478"/>
      <c r="L272" s="478"/>
    </row>
    <row r="273" spans="1:12" ht="14.25">
      <c r="A273" s="478"/>
      <c r="B273" s="478"/>
      <c r="C273" s="478"/>
      <c r="D273" s="478"/>
      <c r="E273" s="478"/>
      <c r="F273" s="478"/>
      <c r="G273" s="478"/>
      <c r="H273" s="478"/>
      <c r="I273" s="478"/>
      <c r="J273" s="478"/>
      <c r="K273" s="478"/>
      <c r="L273" s="478"/>
    </row>
    <row r="274" spans="1:12" ht="14.25">
      <c r="A274" s="478"/>
      <c r="B274" s="478"/>
      <c r="C274" s="478"/>
      <c r="D274" s="478"/>
      <c r="E274" s="478"/>
      <c r="F274" s="478"/>
      <c r="G274" s="478"/>
      <c r="H274" s="478"/>
      <c r="I274" s="478"/>
      <c r="J274" s="478"/>
      <c r="K274" s="478"/>
      <c r="L274" s="478"/>
    </row>
    <row r="275" spans="1:12" ht="14.25">
      <c r="A275" s="478"/>
      <c r="B275" s="478"/>
      <c r="C275" s="478"/>
      <c r="D275" s="478"/>
      <c r="E275" s="478"/>
      <c r="F275" s="478"/>
      <c r="G275" s="478"/>
      <c r="H275" s="478"/>
      <c r="I275" s="478"/>
      <c r="J275" s="478"/>
      <c r="K275" s="478"/>
      <c r="L275" s="478"/>
    </row>
    <row r="276" spans="1:12" ht="14.25">
      <c r="A276" s="478"/>
      <c r="B276" s="478"/>
      <c r="C276" s="478"/>
      <c r="D276" s="478"/>
      <c r="E276" s="478"/>
      <c r="F276" s="478"/>
      <c r="G276" s="478"/>
      <c r="H276" s="478"/>
      <c r="I276" s="478"/>
      <c r="J276" s="478"/>
      <c r="K276" s="478"/>
      <c r="L276" s="478"/>
    </row>
    <row r="277" spans="1:12" ht="14.25">
      <c r="A277" s="478"/>
      <c r="B277" s="478"/>
      <c r="C277" s="478"/>
      <c r="D277" s="478"/>
      <c r="E277" s="478"/>
      <c r="F277" s="478"/>
      <c r="G277" s="478"/>
      <c r="H277" s="478"/>
      <c r="I277" s="478"/>
      <c r="J277" s="478"/>
      <c r="K277" s="478"/>
      <c r="L277" s="478"/>
    </row>
    <row r="278" spans="1:12" ht="14.25">
      <c r="A278" s="478"/>
      <c r="B278" s="478"/>
      <c r="C278" s="478"/>
      <c r="D278" s="478"/>
      <c r="E278" s="478"/>
      <c r="F278" s="478"/>
      <c r="G278" s="478"/>
      <c r="H278" s="478"/>
      <c r="I278" s="478"/>
      <c r="J278" s="478"/>
      <c r="K278" s="478"/>
      <c r="L278" s="478"/>
    </row>
    <row r="279" spans="1:12" ht="14.25">
      <c r="A279" s="478"/>
      <c r="B279" s="478"/>
      <c r="C279" s="478"/>
      <c r="D279" s="478"/>
      <c r="E279" s="478"/>
      <c r="F279" s="478"/>
      <c r="G279" s="478"/>
      <c r="H279" s="478"/>
      <c r="I279" s="478"/>
      <c r="J279" s="478"/>
      <c r="K279" s="478"/>
      <c r="L279" s="478"/>
    </row>
    <row r="280" spans="1:12" ht="14.25">
      <c r="A280" s="478"/>
      <c r="B280" s="478"/>
      <c r="C280" s="478"/>
      <c r="D280" s="478"/>
      <c r="E280" s="478"/>
      <c r="F280" s="478"/>
      <c r="G280" s="478"/>
      <c r="H280" s="478"/>
      <c r="I280" s="478"/>
      <c r="J280" s="478"/>
      <c r="K280" s="478"/>
      <c r="L280" s="478"/>
    </row>
    <row r="281" spans="1:12" ht="14.25">
      <c r="A281" s="478"/>
      <c r="B281" s="478"/>
      <c r="C281" s="478"/>
      <c r="D281" s="478"/>
      <c r="E281" s="478"/>
      <c r="F281" s="478"/>
      <c r="G281" s="478"/>
      <c r="H281" s="478"/>
      <c r="I281" s="478"/>
      <c r="J281" s="478"/>
      <c r="K281" s="478"/>
      <c r="L281" s="478"/>
    </row>
    <row r="282" spans="1:12" ht="14.25">
      <c r="A282" s="478"/>
      <c r="B282" s="478"/>
      <c r="C282" s="478"/>
      <c r="D282" s="478"/>
      <c r="E282" s="478"/>
      <c r="F282" s="478"/>
      <c r="G282" s="478"/>
      <c r="H282" s="478"/>
      <c r="I282" s="478"/>
      <c r="J282" s="478"/>
      <c r="K282" s="478"/>
      <c r="L282" s="478"/>
    </row>
    <row r="283" spans="1:12" ht="14.25">
      <c r="A283" s="478"/>
      <c r="B283" s="478"/>
      <c r="C283" s="478"/>
      <c r="D283" s="478"/>
      <c r="E283" s="478"/>
      <c r="F283" s="478"/>
      <c r="G283" s="478"/>
      <c r="H283" s="478"/>
      <c r="I283" s="478"/>
      <c r="J283" s="478"/>
      <c r="K283" s="478"/>
      <c r="L283" s="478"/>
    </row>
    <row r="284" spans="1:12" ht="14.25">
      <c r="A284" s="478"/>
      <c r="B284" s="478"/>
      <c r="C284" s="478"/>
      <c r="D284" s="478"/>
      <c r="E284" s="478"/>
      <c r="F284" s="478"/>
      <c r="G284" s="478"/>
      <c r="H284" s="478"/>
      <c r="I284" s="478"/>
      <c r="J284" s="478"/>
      <c r="K284" s="478"/>
      <c r="L284" s="478"/>
    </row>
    <row r="285" spans="1:12" ht="14.25">
      <c r="A285" s="478"/>
      <c r="B285" s="478"/>
      <c r="C285" s="478"/>
      <c r="D285" s="478"/>
      <c r="E285" s="478"/>
      <c r="F285" s="478"/>
      <c r="G285" s="478"/>
      <c r="H285" s="478"/>
      <c r="I285" s="478"/>
      <c r="J285" s="478"/>
      <c r="K285" s="478"/>
      <c r="L285" s="478"/>
    </row>
    <row r="286" spans="1:12" ht="14.25">
      <c r="A286" s="478"/>
      <c r="B286" s="478"/>
      <c r="C286" s="478"/>
      <c r="D286" s="478"/>
      <c r="E286" s="478"/>
      <c r="F286" s="478"/>
      <c r="G286" s="478"/>
      <c r="H286" s="478"/>
      <c r="I286" s="478"/>
      <c r="J286" s="478"/>
      <c r="K286" s="478"/>
      <c r="L286" s="478"/>
    </row>
    <row r="287" spans="1:12" ht="14.25">
      <c r="A287" s="478"/>
      <c r="B287" s="478"/>
      <c r="C287" s="478"/>
      <c r="D287" s="478"/>
      <c r="E287" s="478"/>
      <c r="F287" s="478"/>
      <c r="G287" s="478"/>
      <c r="H287" s="478"/>
      <c r="I287" s="478"/>
      <c r="J287" s="478"/>
      <c r="K287" s="478"/>
      <c r="L287" s="478"/>
    </row>
    <row r="288" spans="1:12" ht="14.25">
      <c r="A288" s="478"/>
      <c r="B288" s="478"/>
      <c r="C288" s="478"/>
      <c r="D288" s="478"/>
      <c r="E288" s="478"/>
      <c r="F288" s="478"/>
      <c r="G288" s="478"/>
      <c r="H288" s="478"/>
      <c r="I288" s="478"/>
      <c r="J288" s="478"/>
      <c r="K288" s="478"/>
      <c r="L288" s="478"/>
    </row>
    <row r="289" spans="1:12" ht="14.25">
      <c r="A289" s="478"/>
      <c r="B289" s="478"/>
      <c r="C289" s="478"/>
      <c r="D289" s="478"/>
      <c r="E289" s="478"/>
      <c r="F289" s="478"/>
      <c r="G289" s="478"/>
      <c r="H289" s="478"/>
      <c r="I289" s="478"/>
      <c r="J289" s="478"/>
      <c r="K289" s="478"/>
      <c r="L289" s="478"/>
    </row>
    <row r="290" spans="1:12" ht="14.25">
      <c r="A290" s="478"/>
      <c r="B290" s="478"/>
      <c r="C290" s="478"/>
      <c r="D290" s="478"/>
      <c r="E290" s="478"/>
      <c r="F290" s="478"/>
      <c r="G290" s="478"/>
      <c r="H290" s="478"/>
      <c r="I290" s="478"/>
      <c r="J290" s="478"/>
      <c r="K290" s="478"/>
      <c r="L290" s="478"/>
    </row>
    <row r="291" spans="1:12" ht="14.25">
      <c r="A291" s="478"/>
      <c r="B291" s="478"/>
      <c r="C291" s="478"/>
      <c r="D291" s="478"/>
      <c r="E291" s="478"/>
      <c r="F291" s="478"/>
      <c r="G291" s="478"/>
      <c r="H291" s="478"/>
      <c r="I291" s="478"/>
      <c r="J291" s="478"/>
      <c r="K291" s="478"/>
      <c r="L291" s="478"/>
    </row>
    <row r="292" spans="1:12" ht="14.25">
      <c r="A292" s="478"/>
      <c r="B292" s="478"/>
      <c r="C292" s="478"/>
      <c r="D292" s="478"/>
      <c r="E292" s="478"/>
      <c r="F292" s="478"/>
      <c r="G292" s="478"/>
      <c r="H292" s="478"/>
      <c r="I292" s="478"/>
      <c r="J292" s="478"/>
      <c r="K292" s="478"/>
      <c r="L292" s="478"/>
    </row>
    <row r="293" spans="1:12" ht="14.25">
      <c r="A293" s="478"/>
      <c r="B293" s="478"/>
      <c r="C293" s="478"/>
      <c r="D293" s="478"/>
      <c r="E293" s="478"/>
      <c r="F293" s="478"/>
      <c r="G293" s="478"/>
      <c r="H293" s="478"/>
      <c r="I293" s="478"/>
      <c r="J293" s="478"/>
      <c r="K293" s="478"/>
      <c r="L293" s="478"/>
    </row>
    <row r="294" spans="1:12" ht="14.25">
      <c r="A294" s="478"/>
      <c r="B294" s="478"/>
      <c r="C294" s="478"/>
      <c r="D294" s="478"/>
      <c r="E294" s="478"/>
      <c r="F294" s="478"/>
      <c r="G294" s="478"/>
      <c r="H294" s="478"/>
      <c r="I294" s="478"/>
      <c r="J294" s="478"/>
      <c r="K294" s="478"/>
      <c r="L294" s="478"/>
    </row>
    <row r="295" spans="1:12" ht="14.25">
      <c r="A295" s="478"/>
      <c r="B295" s="478"/>
      <c r="C295" s="478"/>
      <c r="D295" s="478"/>
      <c r="E295" s="478"/>
      <c r="F295" s="478"/>
      <c r="G295" s="478"/>
      <c r="H295" s="478"/>
      <c r="I295" s="478"/>
      <c r="J295" s="478"/>
      <c r="K295" s="478"/>
      <c r="L295" s="478"/>
    </row>
    <row r="296" spans="1:12" ht="14.25">
      <c r="A296" s="478"/>
      <c r="B296" s="478"/>
      <c r="C296" s="478"/>
      <c r="D296" s="478"/>
      <c r="E296" s="478"/>
      <c r="F296" s="478"/>
      <c r="G296" s="478"/>
      <c r="H296" s="478"/>
      <c r="I296" s="478"/>
      <c r="J296" s="478"/>
      <c r="K296" s="478"/>
      <c r="L296" s="478"/>
    </row>
    <row r="297" spans="1:12" ht="14.25">
      <c r="A297" s="478"/>
      <c r="B297" s="478"/>
      <c r="C297" s="478"/>
      <c r="D297" s="478"/>
      <c r="E297" s="478"/>
      <c r="F297" s="478"/>
      <c r="G297" s="478"/>
      <c r="H297" s="478"/>
      <c r="I297" s="478"/>
      <c r="J297" s="478"/>
      <c r="K297" s="478"/>
      <c r="L297" s="478"/>
    </row>
    <row r="298" spans="1:12" ht="14.25">
      <c r="A298" s="478"/>
      <c r="B298" s="478"/>
      <c r="C298" s="478"/>
      <c r="D298" s="478"/>
      <c r="E298" s="478"/>
      <c r="F298" s="478"/>
      <c r="G298" s="478"/>
      <c r="H298" s="478"/>
      <c r="I298" s="478"/>
      <c r="J298" s="478"/>
      <c r="K298" s="478"/>
      <c r="L298" s="478"/>
    </row>
    <row r="299" spans="1:12" ht="14.25">
      <c r="A299" s="478"/>
      <c r="B299" s="478"/>
      <c r="C299" s="478"/>
      <c r="D299" s="478"/>
      <c r="E299" s="478"/>
      <c r="F299" s="478"/>
      <c r="G299" s="478"/>
      <c r="H299" s="478"/>
      <c r="I299" s="478"/>
      <c r="J299" s="478"/>
      <c r="K299" s="478"/>
      <c r="L299" s="478"/>
    </row>
    <row r="300" spans="1:12" ht="14.25">
      <c r="A300" s="478"/>
      <c r="B300" s="478"/>
      <c r="C300" s="478"/>
      <c r="D300" s="478"/>
      <c r="E300" s="478"/>
      <c r="F300" s="478"/>
      <c r="G300" s="478"/>
      <c r="H300" s="478"/>
      <c r="I300" s="478"/>
      <c r="J300" s="478"/>
      <c r="K300" s="478"/>
      <c r="L300" s="478"/>
    </row>
    <row r="301" spans="1:12" ht="14.25">
      <c r="A301" s="478"/>
      <c r="B301" s="478"/>
      <c r="C301" s="478"/>
      <c r="D301" s="478"/>
      <c r="E301" s="478"/>
      <c r="F301" s="478"/>
      <c r="G301" s="478"/>
      <c r="H301" s="478"/>
      <c r="I301" s="478"/>
      <c r="J301" s="478"/>
      <c r="K301" s="478"/>
      <c r="L301" s="478"/>
    </row>
    <row r="302" spans="1:12" ht="14.25">
      <c r="A302" s="478"/>
      <c r="B302" s="478"/>
      <c r="C302" s="478"/>
      <c r="D302" s="478"/>
      <c r="E302" s="478"/>
      <c r="F302" s="478"/>
      <c r="G302" s="478"/>
      <c r="H302" s="478"/>
      <c r="I302" s="478"/>
      <c r="J302" s="478"/>
      <c r="K302" s="478"/>
      <c r="L302" s="478"/>
    </row>
    <row r="303" spans="1:12" ht="14.25">
      <c r="A303" s="478"/>
      <c r="B303" s="478"/>
      <c r="C303" s="478"/>
      <c r="D303" s="478"/>
      <c r="E303" s="478"/>
      <c r="F303" s="478"/>
      <c r="G303" s="478"/>
      <c r="H303" s="478"/>
      <c r="I303" s="478"/>
      <c r="J303" s="478"/>
      <c r="K303" s="478"/>
      <c r="L303" s="478"/>
    </row>
    <row r="304" spans="1:12" ht="14.25">
      <c r="A304" s="478"/>
      <c r="B304" s="478"/>
      <c r="C304" s="478"/>
      <c r="D304" s="478"/>
      <c r="E304" s="478"/>
      <c r="F304" s="478"/>
      <c r="G304" s="478"/>
      <c r="H304" s="478"/>
      <c r="I304" s="478"/>
      <c r="J304" s="478"/>
      <c r="K304" s="478"/>
      <c r="L304" s="478"/>
    </row>
    <row r="305" spans="1:12" ht="14.25">
      <c r="A305" s="478"/>
      <c r="B305" s="478"/>
      <c r="C305" s="478"/>
      <c r="D305" s="478"/>
      <c r="E305" s="478"/>
      <c r="F305" s="478"/>
      <c r="G305" s="478"/>
      <c r="H305" s="478"/>
      <c r="I305" s="478"/>
      <c r="J305" s="478"/>
      <c r="K305" s="478"/>
      <c r="L305" s="478"/>
    </row>
    <row r="306" spans="1:12" ht="14.25">
      <c r="A306" s="478"/>
      <c r="B306" s="478"/>
      <c r="C306" s="478"/>
      <c r="D306" s="478"/>
      <c r="E306" s="478"/>
      <c r="F306" s="478"/>
      <c r="G306" s="478"/>
      <c r="H306" s="478"/>
      <c r="I306" s="478"/>
      <c r="J306" s="478"/>
      <c r="K306" s="478"/>
      <c r="L306" s="478"/>
    </row>
    <row r="307" spans="1:12" ht="14.25">
      <c r="A307" s="478"/>
      <c r="B307" s="478"/>
      <c r="C307" s="478"/>
      <c r="D307" s="478"/>
      <c r="E307" s="478"/>
      <c r="F307" s="478"/>
      <c r="G307" s="478"/>
      <c r="H307" s="478"/>
      <c r="I307" s="478"/>
      <c r="J307" s="478"/>
      <c r="K307" s="478"/>
      <c r="L307" s="478"/>
    </row>
    <row r="308" spans="1:12" ht="14.25">
      <c r="A308" s="478"/>
      <c r="B308" s="478"/>
      <c r="C308" s="478"/>
      <c r="D308" s="478"/>
      <c r="E308" s="478"/>
      <c r="F308" s="478"/>
      <c r="G308" s="478"/>
      <c r="H308" s="478"/>
      <c r="I308" s="478"/>
      <c r="J308" s="478"/>
      <c r="K308" s="478"/>
      <c r="L308" s="478"/>
    </row>
    <row r="309" spans="1:12" ht="14.25">
      <c r="A309" s="478"/>
      <c r="B309" s="478"/>
      <c r="C309" s="478"/>
      <c r="D309" s="478"/>
      <c r="E309" s="478"/>
      <c r="F309" s="478"/>
      <c r="G309" s="478"/>
      <c r="H309" s="478"/>
      <c r="I309" s="478"/>
      <c r="J309" s="478"/>
      <c r="K309" s="478"/>
      <c r="L309" s="478"/>
    </row>
    <row r="310" spans="1:12" ht="14.25">
      <c r="A310" s="478"/>
      <c r="B310" s="478"/>
      <c r="C310" s="478"/>
      <c r="D310" s="478"/>
      <c r="E310" s="478"/>
      <c r="F310" s="478"/>
      <c r="G310" s="478"/>
      <c r="H310" s="478"/>
      <c r="I310" s="478"/>
      <c r="J310" s="478"/>
      <c r="K310" s="478"/>
      <c r="L310" s="478"/>
    </row>
    <row r="311" spans="1:12" ht="14.25">
      <c r="A311" s="478"/>
      <c r="B311" s="478"/>
      <c r="C311" s="478"/>
      <c r="D311" s="478"/>
      <c r="E311" s="478"/>
      <c r="F311" s="478"/>
      <c r="G311" s="478"/>
      <c r="H311" s="478"/>
      <c r="I311" s="478"/>
      <c r="J311" s="478"/>
      <c r="K311" s="478"/>
      <c r="L311" s="478"/>
    </row>
    <row r="312" spans="1:12" ht="14.25">
      <c r="A312" s="478"/>
      <c r="B312" s="478"/>
      <c r="C312" s="478"/>
      <c r="D312" s="478"/>
      <c r="E312" s="478"/>
      <c r="F312" s="478"/>
      <c r="G312" s="478"/>
      <c r="H312" s="478"/>
      <c r="I312" s="478"/>
      <c r="J312" s="478"/>
      <c r="K312" s="478"/>
      <c r="L312" s="478"/>
    </row>
    <row r="313" spans="1:12" ht="14.25">
      <c r="A313" s="478"/>
      <c r="B313" s="478"/>
      <c r="C313" s="478"/>
      <c r="D313" s="478"/>
      <c r="E313" s="478"/>
      <c r="F313" s="478"/>
      <c r="G313" s="478"/>
      <c r="H313" s="478"/>
      <c r="I313" s="478"/>
      <c r="J313" s="478"/>
      <c r="K313" s="478"/>
      <c r="L313" s="478"/>
    </row>
    <row r="314" spans="1:12" ht="14.25">
      <c r="A314" s="478"/>
      <c r="B314" s="478"/>
      <c r="C314" s="478"/>
      <c r="D314" s="478"/>
      <c r="E314" s="478"/>
      <c r="F314" s="478"/>
      <c r="G314" s="478"/>
      <c r="H314" s="478"/>
      <c r="I314" s="478"/>
      <c r="J314" s="478"/>
      <c r="K314" s="478"/>
      <c r="L314" s="478"/>
    </row>
    <row r="315" spans="1:12" ht="14.25">
      <c r="A315" s="478"/>
      <c r="B315" s="478"/>
      <c r="C315" s="478"/>
      <c r="D315" s="478"/>
      <c r="E315" s="478"/>
      <c r="F315" s="478"/>
      <c r="G315" s="478"/>
      <c r="H315" s="478"/>
      <c r="I315" s="478"/>
      <c r="J315" s="478"/>
      <c r="K315" s="478"/>
      <c r="L315" s="478"/>
    </row>
    <row r="316" spans="1:12" ht="14.25">
      <c r="A316" s="478"/>
      <c r="B316" s="478"/>
      <c r="C316" s="478"/>
      <c r="D316" s="478"/>
      <c r="E316" s="478"/>
      <c r="F316" s="478"/>
      <c r="G316" s="478"/>
      <c r="H316" s="478"/>
      <c r="I316" s="478"/>
      <c r="J316" s="478"/>
      <c r="K316" s="478"/>
      <c r="L316" s="478"/>
    </row>
    <row r="317" spans="1:12" ht="14.25">
      <c r="A317" s="478"/>
      <c r="B317" s="478"/>
      <c r="C317" s="478"/>
      <c r="D317" s="478"/>
      <c r="E317" s="478"/>
      <c r="F317" s="478"/>
      <c r="G317" s="478"/>
      <c r="H317" s="478"/>
      <c r="I317" s="478"/>
      <c r="J317" s="478"/>
      <c r="K317" s="478"/>
      <c r="L317" s="478"/>
    </row>
    <row r="318" spans="1:12" ht="14.25">
      <c r="A318" s="478"/>
      <c r="B318" s="478"/>
      <c r="C318" s="478"/>
      <c r="D318" s="478"/>
      <c r="E318" s="478"/>
      <c r="F318" s="478"/>
      <c r="G318" s="478"/>
      <c r="H318" s="478"/>
      <c r="I318" s="478"/>
      <c r="J318" s="478"/>
      <c r="K318" s="478"/>
      <c r="L318" s="478"/>
    </row>
    <row r="319" spans="1:12" ht="14.25">
      <c r="A319" s="478"/>
      <c r="B319" s="478"/>
      <c r="C319" s="478"/>
      <c r="D319" s="478"/>
      <c r="E319" s="478"/>
      <c r="F319" s="478"/>
      <c r="G319" s="478"/>
      <c r="H319" s="478"/>
      <c r="I319" s="478"/>
      <c r="J319" s="478"/>
      <c r="K319" s="478"/>
      <c r="L319" s="478"/>
    </row>
    <row r="320" spans="1:12" ht="14.25">
      <c r="A320" s="478"/>
      <c r="B320" s="478"/>
      <c r="C320" s="478"/>
      <c r="D320" s="478"/>
      <c r="E320" s="478"/>
      <c r="F320" s="478"/>
      <c r="G320" s="478"/>
      <c r="H320" s="478"/>
      <c r="I320" s="478"/>
      <c r="J320" s="478"/>
      <c r="K320" s="478"/>
      <c r="L320" s="478"/>
    </row>
    <row r="321" spans="1:12" ht="14.25">
      <c r="A321" s="478"/>
      <c r="B321" s="478"/>
      <c r="C321" s="478"/>
      <c r="D321" s="478"/>
      <c r="E321" s="478"/>
      <c r="F321" s="478"/>
      <c r="G321" s="478"/>
      <c r="H321" s="478"/>
      <c r="I321" s="478"/>
      <c r="J321" s="478"/>
      <c r="K321" s="478"/>
      <c r="L321" s="478"/>
    </row>
    <row r="322" spans="1:12" ht="14.25">
      <c r="A322" s="478"/>
      <c r="B322" s="478"/>
      <c r="C322" s="478"/>
      <c r="D322" s="478"/>
      <c r="E322" s="478"/>
      <c r="F322" s="478"/>
      <c r="G322" s="478"/>
      <c r="H322" s="478"/>
      <c r="I322" s="478"/>
      <c r="J322" s="478"/>
      <c r="K322" s="478"/>
      <c r="L322" s="478"/>
    </row>
    <row r="323" spans="1:12" ht="14.25">
      <c r="A323" s="478"/>
      <c r="B323" s="478"/>
      <c r="C323" s="478"/>
      <c r="D323" s="478"/>
      <c r="E323" s="478"/>
      <c r="F323" s="478"/>
      <c r="G323" s="478"/>
      <c r="H323" s="478"/>
      <c r="I323" s="478"/>
      <c r="J323" s="478"/>
      <c r="K323" s="478"/>
      <c r="L323" s="478"/>
    </row>
    <row r="324" spans="1:12" ht="14.25">
      <c r="A324" s="478"/>
      <c r="B324" s="478"/>
      <c r="C324" s="478"/>
      <c r="D324" s="478"/>
      <c r="E324" s="478"/>
      <c r="F324" s="478"/>
      <c r="G324" s="478"/>
      <c r="H324" s="478"/>
      <c r="I324" s="478"/>
      <c r="J324" s="478"/>
      <c r="K324" s="478"/>
      <c r="L324" s="478"/>
    </row>
    <row r="325" spans="1:12" ht="14.25">
      <c r="A325" s="478"/>
      <c r="B325" s="478"/>
      <c r="C325" s="478"/>
      <c r="D325" s="478"/>
      <c r="E325" s="478"/>
      <c r="F325" s="478"/>
      <c r="G325" s="478"/>
      <c r="H325" s="478"/>
      <c r="I325" s="478"/>
      <c r="J325" s="478"/>
      <c r="K325" s="478"/>
      <c r="L325" s="478"/>
    </row>
    <row r="326" spans="1:12" ht="14.25">
      <c r="A326" s="478"/>
      <c r="B326" s="478"/>
      <c r="C326" s="478"/>
      <c r="D326" s="478"/>
      <c r="E326" s="478"/>
      <c r="F326" s="478"/>
      <c r="G326" s="478"/>
      <c r="H326" s="478"/>
      <c r="I326" s="478"/>
      <c r="J326" s="478"/>
      <c r="K326" s="478"/>
      <c r="L326" s="478"/>
    </row>
    <row r="327" spans="1:12" ht="14.25">
      <c r="A327" s="478"/>
      <c r="B327" s="478"/>
      <c r="C327" s="478"/>
      <c r="D327" s="478"/>
      <c r="E327" s="478"/>
      <c r="F327" s="478"/>
      <c r="G327" s="478"/>
      <c r="H327" s="478"/>
      <c r="I327" s="478"/>
      <c r="J327" s="478"/>
      <c r="K327" s="478"/>
      <c r="L327" s="478"/>
    </row>
    <row r="328" spans="1:12" ht="14.25">
      <c r="A328" s="478"/>
      <c r="B328" s="478"/>
      <c r="C328" s="478"/>
      <c r="D328" s="478"/>
      <c r="E328" s="478"/>
      <c r="F328" s="478"/>
      <c r="G328" s="478"/>
      <c r="H328" s="478"/>
      <c r="I328" s="478"/>
      <c r="J328" s="478"/>
      <c r="K328" s="478"/>
      <c r="L328" s="478"/>
    </row>
    <row r="329" spans="1:12" ht="14.25">
      <c r="A329" s="478"/>
      <c r="B329" s="478"/>
      <c r="C329" s="478"/>
      <c r="D329" s="478"/>
      <c r="E329" s="478"/>
      <c r="F329" s="478"/>
      <c r="G329" s="478"/>
      <c r="H329" s="478"/>
      <c r="I329" s="478"/>
      <c r="J329" s="478"/>
      <c r="K329" s="478"/>
      <c r="L329" s="478"/>
    </row>
    <row r="330" spans="1:12" ht="14.25">
      <c r="A330" s="478"/>
      <c r="B330" s="478"/>
      <c r="C330" s="478"/>
      <c r="D330" s="478"/>
      <c r="E330" s="478"/>
      <c r="F330" s="478"/>
      <c r="G330" s="478"/>
      <c r="H330" s="478"/>
      <c r="I330" s="478"/>
      <c r="J330" s="478"/>
      <c r="K330" s="478"/>
      <c r="L330" s="478"/>
    </row>
    <row r="331" spans="1:12" ht="14.25">
      <c r="A331" s="478"/>
      <c r="B331" s="478"/>
      <c r="C331" s="478"/>
      <c r="D331" s="478"/>
      <c r="E331" s="478"/>
      <c r="F331" s="478"/>
      <c r="G331" s="478"/>
      <c r="H331" s="478"/>
      <c r="I331" s="478"/>
      <c r="J331" s="478"/>
      <c r="K331" s="478"/>
      <c r="L331" s="478"/>
    </row>
    <row r="332" spans="1:12" ht="14.25">
      <c r="A332" s="478"/>
      <c r="B332" s="478"/>
      <c r="C332" s="478"/>
      <c r="D332" s="478"/>
      <c r="E332" s="478"/>
      <c r="F332" s="478"/>
      <c r="G332" s="478"/>
      <c r="H332" s="478"/>
      <c r="I332" s="478"/>
      <c r="J332" s="478"/>
      <c r="K332" s="478"/>
      <c r="L332" s="478"/>
    </row>
    <row r="333" spans="1:12" ht="14.25">
      <c r="A333" s="478"/>
      <c r="B333" s="478"/>
      <c r="C333" s="478"/>
      <c r="D333" s="478"/>
      <c r="E333" s="478"/>
      <c r="F333" s="478"/>
      <c r="G333" s="478"/>
      <c r="H333" s="478"/>
      <c r="I333" s="478"/>
      <c r="J333" s="478"/>
      <c r="K333" s="478"/>
      <c r="L333" s="478"/>
    </row>
    <row r="334" spans="1:12" ht="14.25">
      <c r="A334" s="478"/>
      <c r="B334" s="478"/>
      <c r="C334" s="478"/>
      <c r="D334" s="478"/>
      <c r="E334" s="478"/>
      <c r="F334" s="478"/>
      <c r="G334" s="478"/>
      <c r="H334" s="478"/>
      <c r="I334" s="478"/>
      <c r="J334" s="478"/>
      <c r="K334" s="478"/>
      <c r="L334" s="478"/>
    </row>
    <row r="335" spans="1:12" ht="14.25">
      <c r="A335" s="478"/>
      <c r="B335" s="478"/>
      <c r="C335" s="478"/>
      <c r="D335" s="478"/>
      <c r="E335" s="478"/>
      <c r="F335" s="478"/>
      <c r="G335" s="478"/>
      <c r="H335" s="478"/>
      <c r="I335" s="478"/>
      <c r="J335" s="478"/>
      <c r="K335" s="478"/>
      <c r="L335" s="478"/>
    </row>
    <row r="336" spans="1:12" ht="14.25">
      <c r="A336" s="478"/>
      <c r="B336" s="478"/>
      <c r="C336" s="478"/>
      <c r="D336" s="478"/>
      <c r="E336" s="478"/>
      <c r="F336" s="478"/>
      <c r="G336" s="478"/>
      <c r="H336" s="478"/>
      <c r="I336" s="478"/>
      <c r="J336" s="478"/>
      <c r="K336" s="478"/>
      <c r="L336" s="478"/>
    </row>
    <row r="337" spans="1:12" ht="14.25">
      <c r="A337" s="478"/>
      <c r="B337" s="478"/>
      <c r="C337" s="478"/>
      <c r="D337" s="478"/>
      <c r="E337" s="478"/>
      <c r="F337" s="478"/>
      <c r="G337" s="478"/>
      <c r="H337" s="478"/>
      <c r="I337" s="478"/>
      <c r="J337" s="478"/>
      <c r="K337" s="478"/>
      <c r="L337" s="478"/>
    </row>
    <row r="338" spans="1:12" ht="14.25">
      <c r="A338" s="478"/>
      <c r="B338" s="478"/>
      <c r="C338" s="478"/>
      <c r="D338" s="478"/>
      <c r="E338" s="478"/>
      <c r="F338" s="478"/>
      <c r="G338" s="478"/>
      <c r="H338" s="478"/>
      <c r="I338" s="478"/>
      <c r="J338" s="478"/>
      <c r="K338" s="478"/>
      <c r="L338" s="478"/>
    </row>
    <row r="339" spans="1:12" ht="14.25">
      <c r="A339" s="478"/>
      <c r="B339" s="478"/>
      <c r="C339" s="478"/>
      <c r="D339" s="478"/>
      <c r="E339" s="478"/>
      <c r="F339" s="478"/>
      <c r="G339" s="478"/>
      <c r="H339" s="478"/>
      <c r="I339" s="478"/>
      <c r="J339" s="478"/>
      <c r="K339" s="478"/>
      <c r="L339" s="478"/>
    </row>
    <row r="340" spans="1:12" ht="14.25">
      <c r="A340" s="478"/>
      <c r="B340" s="478"/>
      <c r="C340" s="478"/>
      <c r="D340" s="478"/>
      <c r="E340" s="478"/>
      <c r="F340" s="478"/>
      <c r="G340" s="478"/>
      <c r="H340" s="478"/>
      <c r="I340" s="478"/>
      <c r="J340" s="478"/>
      <c r="K340" s="478"/>
      <c r="L340" s="478"/>
    </row>
    <row r="341" spans="1:12" ht="14.25">
      <c r="A341" s="478"/>
      <c r="B341" s="478"/>
      <c r="C341" s="478"/>
      <c r="D341" s="478"/>
      <c r="E341" s="478"/>
      <c r="F341" s="478"/>
      <c r="G341" s="478"/>
      <c r="H341" s="478"/>
      <c r="I341" s="478"/>
      <c r="J341" s="478"/>
      <c r="K341" s="478"/>
      <c r="L341" s="478"/>
    </row>
    <row r="342" spans="1:12" ht="14.25">
      <c r="A342" s="478"/>
      <c r="B342" s="478"/>
      <c r="C342" s="478"/>
      <c r="D342" s="478"/>
      <c r="E342" s="478"/>
      <c r="F342" s="478"/>
      <c r="G342" s="478"/>
      <c r="H342" s="478"/>
      <c r="I342" s="478"/>
      <c r="J342" s="478"/>
      <c r="K342" s="478"/>
      <c r="L342" s="478"/>
    </row>
    <row r="343" spans="1:12" ht="14.25">
      <c r="A343" s="478"/>
      <c r="B343" s="478"/>
      <c r="C343" s="478"/>
      <c r="D343" s="478"/>
      <c r="E343" s="478"/>
      <c r="F343" s="478"/>
      <c r="G343" s="478"/>
      <c r="H343" s="478"/>
      <c r="I343" s="478"/>
      <c r="J343" s="478"/>
      <c r="K343" s="478"/>
      <c r="L343" s="478"/>
    </row>
    <row r="344" spans="1:12" ht="14.25">
      <c r="A344" s="478"/>
      <c r="B344" s="478"/>
      <c r="C344" s="478"/>
      <c r="D344" s="478"/>
      <c r="E344" s="478"/>
      <c r="F344" s="478"/>
      <c r="G344" s="478"/>
      <c r="H344" s="478"/>
      <c r="I344" s="478"/>
      <c r="J344" s="478"/>
      <c r="K344" s="478"/>
      <c r="L344" s="478"/>
    </row>
    <row r="345" spans="1:12" ht="14.25">
      <c r="A345" s="478"/>
      <c r="B345" s="478"/>
      <c r="C345" s="478"/>
      <c r="D345" s="478"/>
      <c r="E345" s="478"/>
      <c r="F345" s="478"/>
      <c r="G345" s="478"/>
      <c r="H345" s="478"/>
      <c r="I345" s="478"/>
      <c r="J345" s="478"/>
      <c r="K345" s="478"/>
      <c r="L345" s="478"/>
    </row>
    <row r="346" spans="1:12" ht="14.25">
      <c r="A346" s="478"/>
      <c r="B346" s="478"/>
      <c r="C346" s="478"/>
      <c r="D346" s="478"/>
      <c r="E346" s="478"/>
      <c r="F346" s="478"/>
      <c r="G346" s="478"/>
      <c r="H346" s="478"/>
      <c r="I346" s="478"/>
      <c r="J346" s="478"/>
      <c r="K346" s="478"/>
      <c r="L346" s="478"/>
    </row>
    <row r="347" spans="1:12" ht="14.25">
      <c r="A347" s="478"/>
      <c r="B347" s="478"/>
      <c r="C347" s="478"/>
      <c r="D347" s="478"/>
      <c r="E347" s="478"/>
      <c r="F347" s="478"/>
      <c r="G347" s="478"/>
      <c r="H347" s="478"/>
      <c r="I347" s="478"/>
      <c r="J347" s="478"/>
      <c r="K347" s="478"/>
      <c r="L347" s="478"/>
    </row>
    <row r="348" spans="1:12" ht="14.25">
      <c r="A348" s="478"/>
      <c r="B348" s="478"/>
      <c r="C348" s="478"/>
      <c r="D348" s="478"/>
      <c r="E348" s="478"/>
      <c r="F348" s="478"/>
      <c r="G348" s="478"/>
      <c r="H348" s="478"/>
      <c r="I348" s="478"/>
      <c r="J348" s="478"/>
      <c r="K348" s="478"/>
      <c r="L348" s="478"/>
    </row>
    <row r="349" spans="1:12" ht="14.25">
      <c r="A349" s="478"/>
      <c r="B349" s="478"/>
      <c r="C349" s="478"/>
      <c r="D349" s="478"/>
      <c r="E349" s="478"/>
      <c r="F349" s="478"/>
      <c r="G349" s="478"/>
      <c r="H349" s="478"/>
      <c r="I349" s="478"/>
      <c r="J349" s="478"/>
      <c r="K349" s="478"/>
      <c r="L349" s="478"/>
    </row>
    <row r="350" spans="1:12" ht="14.25">
      <c r="A350" s="478"/>
      <c r="B350" s="478"/>
      <c r="C350" s="478"/>
      <c r="D350" s="478"/>
      <c r="E350" s="478"/>
      <c r="F350" s="478"/>
      <c r="G350" s="478"/>
      <c r="H350" s="478"/>
      <c r="I350" s="478"/>
      <c r="J350" s="478"/>
      <c r="K350" s="478"/>
      <c r="L350" s="478"/>
    </row>
    <row r="351" spans="1:12" ht="14.25">
      <c r="A351" s="478"/>
      <c r="B351" s="478"/>
      <c r="C351" s="478"/>
      <c r="D351" s="478"/>
      <c r="E351" s="478"/>
      <c r="F351" s="478"/>
      <c r="G351" s="478"/>
      <c r="H351" s="478"/>
      <c r="I351" s="478"/>
      <c r="J351" s="478"/>
      <c r="K351" s="478"/>
      <c r="L351" s="478"/>
    </row>
    <row r="352" spans="1:12" ht="14.25">
      <c r="A352" s="478"/>
      <c r="B352" s="478"/>
      <c r="C352" s="478"/>
      <c r="D352" s="478"/>
      <c r="E352" s="478"/>
      <c r="F352" s="478"/>
      <c r="G352" s="478"/>
      <c r="H352" s="478"/>
      <c r="I352" s="478"/>
      <c r="J352" s="478"/>
      <c r="K352" s="478"/>
      <c r="L352" s="478"/>
    </row>
    <row r="353" spans="1:12" ht="14.25">
      <c r="A353" s="478"/>
      <c r="B353" s="478"/>
      <c r="C353" s="478"/>
      <c r="D353" s="478"/>
      <c r="E353" s="478"/>
      <c r="F353" s="478"/>
      <c r="G353" s="478"/>
      <c r="H353" s="478"/>
      <c r="I353" s="478"/>
      <c r="J353" s="478"/>
      <c r="K353" s="478"/>
      <c r="L353" s="478"/>
    </row>
    <row r="354" spans="1:12" ht="14.25">
      <c r="A354" s="478"/>
      <c r="B354" s="478"/>
      <c r="C354" s="478"/>
      <c r="D354" s="478"/>
      <c r="E354" s="478"/>
      <c r="F354" s="478"/>
      <c r="G354" s="478"/>
      <c r="H354" s="478"/>
      <c r="I354" s="478"/>
      <c r="J354" s="478"/>
      <c r="K354" s="478"/>
      <c r="L354" s="478"/>
    </row>
  </sheetData>
  <sheetProtection sheet="1" objects="1" scenarios="1"/>
  <mergeCells count="55">
    <mergeCell ref="C134:D134"/>
    <mergeCell ref="H134:I134"/>
    <mergeCell ref="C136:D136"/>
    <mergeCell ref="B90:K90"/>
    <mergeCell ref="C94:D94"/>
    <mergeCell ref="C97:D97"/>
    <mergeCell ref="C100:D100"/>
    <mergeCell ref="C103:D103"/>
    <mergeCell ref="C120:D120"/>
    <mergeCell ref="B105:K105"/>
    <mergeCell ref="C80:D80"/>
    <mergeCell ref="C83:D83"/>
    <mergeCell ref="B88:K88"/>
    <mergeCell ref="C74:D74"/>
    <mergeCell ref="B85:K85"/>
    <mergeCell ref="B86:K86"/>
    <mergeCell ref="B58:K58"/>
    <mergeCell ref="B52:K52"/>
    <mergeCell ref="B53:K53"/>
    <mergeCell ref="B55:K55"/>
    <mergeCell ref="B57:K57"/>
    <mergeCell ref="C77:D77"/>
    <mergeCell ref="B6:K6"/>
    <mergeCell ref="B7:K7"/>
    <mergeCell ref="B8:K8"/>
    <mergeCell ref="B10:K10"/>
    <mergeCell ref="B12:K12"/>
    <mergeCell ref="C25:D25"/>
    <mergeCell ref="F23:G23"/>
    <mergeCell ref="B30:K30"/>
    <mergeCell ref="B31:K31"/>
    <mergeCell ref="C41:D41"/>
    <mergeCell ref="B48:C48"/>
    <mergeCell ref="G50:H50"/>
    <mergeCell ref="I51:K51"/>
    <mergeCell ref="B33:K33"/>
    <mergeCell ref="B35:K35"/>
    <mergeCell ref="B106:K106"/>
    <mergeCell ref="B108:K108"/>
    <mergeCell ref="B110:K110"/>
    <mergeCell ref="C114:D114"/>
    <mergeCell ref="C117:D117"/>
    <mergeCell ref="C123:D123"/>
    <mergeCell ref="B125:K125"/>
    <mergeCell ref="B126:K126"/>
    <mergeCell ref="B128:K128"/>
    <mergeCell ref="C133:D133"/>
    <mergeCell ref="H133:I133"/>
    <mergeCell ref="B130:K130"/>
    <mergeCell ref="C137:D137"/>
    <mergeCell ref="B144:K144"/>
    <mergeCell ref="C147:D147"/>
    <mergeCell ref="J147:K147"/>
    <mergeCell ref="C148:D148"/>
    <mergeCell ref="J148:K148"/>
  </mergeCells>
  <printOptions/>
  <pageMargins left="0.7" right="0.7" top="0.75" bottom="0.75" header="0.3" footer="0.3"/>
  <pageSetup blackAndWhite="1" horizontalDpi="600" verticalDpi="600" orientation="portrait" scale="80" r:id="rId1"/>
  <colBreaks count="1" manualBreakCount="1">
    <brk id="11" max="65535" man="1"/>
  </colBreaks>
</worksheet>
</file>

<file path=xl/worksheets/sheet36.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479" t="s">
        <v>724</v>
      </c>
    </row>
    <row r="3" ht="31.5">
      <c r="A3" s="480" t="s">
        <v>725</v>
      </c>
    </row>
    <row r="4" ht="15.75">
      <c r="A4" s="481" t="s">
        <v>726</v>
      </c>
    </row>
    <row r="7" ht="31.5">
      <c r="A7" s="480" t="s">
        <v>727</v>
      </c>
    </row>
    <row r="8" ht="15.75">
      <c r="A8" s="481" t="s">
        <v>728</v>
      </c>
    </row>
    <row r="11" ht="15.75">
      <c r="A11" s="1" t="s">
        <v>729</v>
      </c>
    </row>
    <row r="12" ht="15.75">
      <c r="A12" s="481" t="s">
        <v>730</v>
      </c>
    </row>
    <row r="15" ht="15.75">
      <c r="A15" s="1" t="s">
        <v>731</v>
      </c>
    </row>
    <row r="16" ht="15.75">
      <c r="A16" s="481" t="s">
        <v>732</v>
      </c>
    </row>
    <row r="19" ht="15.75">
      <c r="A19" s="1" t="s">
        <v>733</v>
      </c>
    </row>
    <row r="20" ht="15.75">
      <c r="A20" s="481" t="s">
        <v>734</v>
      </c>
    </row>
    <row r="23" ht="15.75">
      <c r="A23" s="1" t="s">
        <v>735</v>
      </c>
    </row>
    <row r="24" ht="15.75">
      <c r="A24" s="481" t="s">
        <v>736</v>
      </c>
    </row>
    <row r="27" ht="15.75">
      <c r="A27" s="1" t="s">
        <v>737</v>
      </c>
    </row>
    <row r="28" ht="15.75">
      <c r="A28" s="481" t="s">
        <v>738</v>
      </c>
    </row>
    <row r="31" ht="15.75">
      <c r="A31" s="1" t="s">
        <v>739</v>
      </c>
    </row>
    <row r="32" ht="15.75">
      <c r="A32" s="481" t="s">
        <v>740</v>
      </c>
    </row>
    <row r="35" ht="15.75">
      <c r="A35" s="1" t="s">
        <v>741</v>
      </c>
    </row>
    <row r="36" ht="15.75">
      <c r="A36" s="481" t="s">
        <v>742</v>
      </c>
    </row>
    <row r="39" ht="15.75">
      <c r="A39" s="1" t="s">
        <v>743</v>
      </c>
    </row>
    <row r="40" ht="15.75">
      <c r="A40" s="481" t="s">
        <v>744</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7.xml><?xml version="1.0" encoding="utf-8"?>
<worksheet xmlns="http://schemas.openxmlformats.org/spreadsheetml/2006/main" xmlns:r="http://schemas.openxmlformats.org/officeDocument/2006/relationships">
  <dimension ref="A1:E254"/>
  <sheetViews>
    <sheetView zoomScalePageLayoutView="0" workbookViewId="0" topLeftCell="A1">
      <selection activeCell="H5" sqref="H5"/>
    </sheetView>
  </sheetViews>
  <sheetFormatPr defaultColWidth="8.796875" defaultRowHeight="15"/>
  <cols>
    <col min="1" max="1" width="81.8984375" style="32" customWidth="1"/>
    <col min="2" max="16384" width="8.8984375" style="32" customWidth="1"/>
  </cols>
  <sheetData>
    <row r="1" ht="15.75">
      <c r="A1" s="518" t="s">
        <v>999</v>
      </c>
    </row>
    <row r="2" ht="15.75">
      <c r="A2" s="32" t="s">
        <v>1000</v>
      </c>
    </row>
    <row r="4" ht="15.75">
      <c r="A4" s="518" t="s">
        <v>996</v>
      </c>
    </row>
    <row r="5" ht="15.75">
      <c r="A5" s="32" t="s">
        <v>997</v>
      </c>
    </row>
    <row r="7" ht="15.75">
      <c r="A7" s="518" t="s">
        <v>994</v>
      </c>
    </row>
    <row r="8" ht="15.75">
      <c r="A8" s="599" t="s">
        <v>995</v>
      </c>
    </row>
    <row r="10" ht="15.75">
      <c r="A10" s="518" t="s">
        <v>992</v>
      </c>
    </row>
    <row r="11" ht="15.75">
      <c r="A11" s="599" t="s">
        <v>991</v>
      </c>
    </row>
    <row r="12" ht="15.75">
      <c r="A12" s="518"/>
    </row>
    <row r="13" ht="15.75">
      <c r="A13" s="518" t="s">
        <v>986</v>
      </c>
    </row>
    <row r="14" ht="15.75">
      <c r="A14" s="32" t="s">
        <v>987</v>
      </c>
    </row>
    <row r="16" spans="1:5" ht="15.75">
      <c r="A16" s="518" t="s">
        <v>984</v>
      </c>
      <c r="B16" s="732"/>
      <c r="C16" s="732"/>
      <c r="D16" s="732"/>
      <c r="E16" s="732"/>
    </row>
    <row r="17" spans="1:5" ht="15.75">
      <c r="A17" s="733" t="s">
        <v>985</v>
      </c>
      <c r="B17" s="732"/>
      <c r="C17" s="732"/>
      <c r="D17" s="732"/>
      <c r="E17" s="732"/>
    </row>
    <row r="19" ht="15.75">
      <c r="A19" s="518" t="s">
        <v>981</v>
      </c>
    </row>
    <row r="20" ht="15.75">
      <c r="A20" s="32" t="s">
        <v>982</v>
      </c>
    </row>
    <row r="22" ht="15.75">
      <c r="A22" s="518" t="s">
        <v>814</v>
      </c>
    </row>
    <row r="23" ht="15.75">
      <c r="A23" s="599" t="s">
        <v>815</v>
      </c>
    </row>
    <row r="24" ht="15.75">
      <c r="A24" s="32" t="s">
        <v>816</v>
      </c>
    </row>
    <row r="25" ht="15.75">
      <c r="A25" s="32" t="s">
        <v>817</v>
      </c>
    </row>
    <row r="26" ht="15.75">
      <c r="A26" s="32" t="s">
        <v>818</v>
      </c>
    </row>
    <row r="27" ht="15.75">
      <c r="A27" s="32" t="s">
        <v>819</v>
      </c>
    </row>
    <row r="28" ht="15.75">
      <c r="A28" s="32" t="s">
        <v>820</v>
      </c>
    </row>
    <row r="29" ht="15.75">
      <c r="A29" s="32" t="s">
        <v>821</v>
      </c>
    </row>
    <row r="30" ht="15.75">
      <c r="A30" s="32" t="s">
        <v>822</v>
      </c>
    </row>
    <row r="31" ht="15.75">
      <c r="A31" s="32" t="s">
        <v>823</v>
      </c>
    </row>
    <row r="32" ht="15.75">
      <c r="A32" s="32" t="s">
        <v>824</v>
      </c>
    </row>
    <row r="33" ht="15.75">
      <c r="A33" s="32" t="s">
        <v>825</v>
      </c>
    </row>
    <row r="34" ht="15.75">
      <c r="A34" s="32" t="s">
        <v>826</v>
      </c>
    </row>
    <row r="35" ht="15.75">
      <c r="A35" s="32" t="s">
        <v>827</v>
      </c>
    </row>
    <row r="36" ht="15.75">
      <c r="A36" s="32" t="s">
        <v>828</v>
      </c>
    </row>
    <row r="37" ht="15.75">
      <c r="A37" s="32" t="s">
        <v>829</v>
      </c>
    </row>
    <row r="38" ht="15.75">
      <c r="A38" s="32" t="s">
        <v>830</v>
      </c>
    </row>
    <row r="39" ht="47.25">
      <c r="A39" s="34" t="s">
        <v>831</v>
      </c>
    </row>
    <row r="40" ht="15.75">
      <c r="A40" s="33" t="s">
        <v>832</v>
      </c>
    </row>
    <row r="41" ht="31.5">
      <c r="A41" s="34" t="s">
        <v>833</v>
      </c>
    </row>
    <row r="42" ht="15.75">
      <c r="A42" s="32" t="s">
        <v>834</v>
      </c>
    </row>
    <row r="43" ht="15.75">
      <c r="A43" s="32" t="s">
        <v>835</v>
      </c>
    </row>
    <row r="44" ht="15.75">
      <c r="A44" s="32" t="s">
        <v>836</v>
      </c>
    </row>
    <row r="45" ht="15.75">
      <c r="A45" s="32" t="s">
        <v>837</v>
      </c>
    </row>
    <row r="46" ht="15.75">
      <c r="A46" s="32" t="s">
        <v>838</v>
      </c>
    </row>
    <row r="47" ht="15.75">
      <c r="A47" s="32" t="s">
        <v>839</v>
      </c>
    </row>
    <row r="48" ht="15.75">
      <c r="A48" s="32" t="s">
        <v>840</v>
      </c>
    </row>
    <row r="49" ht="15.75">
      <c r="A49" s="32" t="s">
        <v>841</v>
      </c>
    </row>
    <row r="50" ht="15.75">
      <c r="A50" s="32" t="s">
        <v>842</v>
      </c>
    </row>
    <row r="51" ht="15.75">
      <c r="A51" s="32" t="s">
        <v>843</v>
      </c>
    </row>
    <row r="52" ht="15.75">
      <c r="A52" s="32" t="s">
        <v>844</v>
      </c>
    </row>
    <row r="53" ht="15.75">
      <c r="A53" s="32" t="s">
        <v>845</v>
      </c>
    </row>
    <row r="54" ht="15.75">
      <c r="A54" s="32" t="s">
        <v>846</v>
      </c>
    </row>
    <row r="55" ht="15.75">
      <c r="A55" s="32" t="s">
        <v>847</v>
      </c>
    </row>
    <row r="56" ht="15.75">
      <c r="A56" s="32" t="s">
        <v>974</v>
      </c>
    </row>
    <row r="57" ht="15.75">
      <c r="A57" s="32" t="s">
        <v>975</v>
      </c>
    </row>
    <row r="58" ht="15.75">
      <c r="A58" s="32" t="s">
        <v>976</v>
      </c>
    </row>
    <row r="59" ht="15.75">
      <c r="A59" s="32" t="s">
        <v>977</v>
      </c>
    </row>
    <row r="61" ht="15.75">
      <c r="A61" s="518" t="s">
        <v>814</v>
      </c>
    </row>
    <row r="62" ht="15.75">
      <c r="A62" s="599" t="s">
        <v>815</v>
      </c>
    </row>
    <row r="63" ht="15.75">
      <c r="A63" s="32" t="s">
        <v>816</v>
      </c>
    </row>
    <row r="64" ht="15.75">
      <c r="A64" s="32" t="s">
        <v>817</v>
      </c>
    </row>
    <row r="65" ht="15.75">
      <c r="A65" s="32" t="s">
        <v>818</v>
      </c>
    </row>
    <row r="66" ht="15.75">
      <c r="A66" s="32" t="s">
        <v>819</v>
      </c>
    </row>
    <row r="67" ht="15.75">
      <c r="A67" s="32" t="s">
        <v>820</v>
      </c>
    </row>
    <row r="68" ht="15.75">
      <c r="A68" s="32" t="s">
        <v>821</v>
      </c>
    </row>
    <row r="69" ht="15.75">
      <c r="A69" s="32" t="s">
        <v>822</v>
      </c>
    </row>
    <row r="70" ht="15.75">
      <c r="A70" s="32" t="s">
        <v>823</v>
      </c>
    </row>
    <row r="71" ht="15.75">
      <c r="A71" s="32" t="s">
        <v>824</v>
      </c>
    </row>
    <row r="72" ht="15.75">
      <c r="A72" s="32" t="s">
        <v>825</v>
      </c>
    </row>
    <row r="73" ht="15.75">
      <c r="A73" s="32" t="s">
        <v>826</v>
      </c>
    </row>
    <row r="74" ht="15.75">
      <c r="A74" s="32" t="s">
        <v>827</v>
      </c>
    </row>
    <row r="75" ht="15.75">
      <c r="A75" s="32" t="s">
        <v>828</v>
      </c>
    </row>
    <row r="76" ht="15.75">
      <c r="A76" s="32" t="s">
        <v>829</v>
      </c>
    </row>
    <row r="77" ht="15.75">
      <c r="A77" s="32" t="s">
        <v>830</v>
      </c>
    </row>
    <row r="78" ht="47.25">
      <c r="A78" s="34" t="s">
        <v>831</v>
      </c>
    </row>
    <row r="79" ht="15.75">
      <c r="A79" s="33" t="s">
        <v>832</v>
      </c>
    </row>
    <row r="80" ht="31.5">
      <c r="A80" s="34" t="s">
        <v>833</v>
      </c>
    </row>
    <row r="81" ht="15.75">
      <c r="A81" s="32" t="s">
        <v>834</v>
      </c>
    </row>
    <row r="82" ht="15.75">
      <c r="A82" s="32" t="s">
        <v>835</v>
      </c>
    </row>
    <row r="83" ht="15.75">
      <c r="A83" s="32" t="s">
        <v>836</v>
      </c>
    </row>
    <row r="84" ht="15.75">
      <c r="A84" s="32" t="s">
        <v>837</v>
      </c>
    </row>
    <row r="85" ht="15.75">
      <c r="A85" s="32" t="s">
        <v>838</v>
      </c>
    </row>
    <row r="86" ht="15.75">
      <c r="A86" s="32" t="s">
        <v>839</v>
      </c>
    </row>
    <row r="87" ht="15.75">
      <c r="A87" s="32" t="s">
        <v>840</v>
      </c>
    </row>
    <row r="88" ht="15.75">
      <c r="A88" s="32" t="s">
        <v>841</v>
      </c>
    </row>
    <row r="89" ht="15.75">
      <c r="A89" s="32" t="s">
        <v>842</v>
      </c>
    </row>
    <row r="90" ht="15.75">
      <c r="A90" s="32" t="s">
        <v>843</v>
      </c>
    </row>
    <row r="91" ht="15.75">
      <c r="A91" s="32" t="s">
        <v>844</v>
      </c>
    </row>
    <row r="92" ht="15.75">
      <c r="A92" s="32" t="s">
        <v>845</v>
      </c>
    </row>
    <row r="93" ht="15.75">
      <c r="A93" s="32" t="s">
        <v>846</v>
      </c>
    </row>
    <row r="94" ht="15.75">
      <c r="A94" s="32" t="s">
        <v>847</v>
      </c>
    </row>
    <row r="95" ht="15.75">
      <c r="A95" s="32" t="s">
        <v>848</v>
      </c>
    </row>
    <row r="96" ht="15.75">
      <c r="A96" s="32" t="s">
        <v>849</v>
      </c>
    </row>
    <row r="99" ht="15.75">
      <c r="A99" s="518" t="s">
        <v>811</v>
      </c>
    </row>
    <row r="100" ht="15.75">
      <c r="A100" s="32" t="s">
        <v>812</v>
      </c>
    </row>
    <row r="102" ht="15.75">
      <c r="A102" s="518" t="s">
        <v>807</v>
      </c>
    </row>
    <row r="103" ht="15.75">
      <c r="A103" s="32" t="s">
        <v>808</v>
      </c>
    </row>
    <row r="104" ht="15.75">
      <c r="A104" s="32" t="s">
        <v>809</v>
      </c>
    </row>
    <row r="105" ht="15.75">
      <c r="A105" s="32" t="s">
        <v>810</v>
      </c>
    </row>
    <row r="107" ht="15.75">
      <c r="A107" s="518" t="s">
        <v>805</v>
      </c>
    </row>
    <row r="108" ht="15.75">
      <c r="A108" s="498" t="s">
        <v>806</v>
      </c>
    </row>
    <row r="110" ht="15.75">
      <c r="A110" s="518" t="s">
        <v>777</v>
      </c>
    </row>
    <row r="111" ht="15.75">
      <c r="A111" s="32" t="s">
        <v>778</v>
      </c>
    </row>
    <row r="113" ht="15.75">
      <c r="A113" s="518" t="s">
        <v>756</v>
      </c>
    </row>
    <row r="114" ht="15.75">
      <c r="A114" s="498" t="s">
        <v>747</v>
      </c>
    </row>
    <row r="115" ht="15.75">
      <c r="A115" s="498" t="s">
        <v>748</v>
      </c>
    </row>
    <row r="116" ht="31.5">
      <c r="A116" s="485" t="s">
        <v>749</v>
      </c>
    </row>
    <row r="117" ht="15.75">
      <c r="A117" s="498" t="s">
        <v>779</v>
      </c>
    </row>
    <row r="118" ht="15.75">
      <c r="A118" s="498" t="s">
        <v>780</v>
      </c>
    </row>
    <row r="119" ht="15.75">
      <c r="A119" s="498" t="s">
        <v>781</v>
      </c>
    </row>
    <row r="120" ht="15.75">
      <c r="A120" s="498" t="s">
        <v>782</v>
      </c>
    </row>
    <row r="121" ht="15.75">
      <c r="A121" s="498" t="s">
        <v>783</v>
      </c>
    </row>
    <row r="122" ht="15.75">
      <c r="A122" s="498" t="s">
        <v>784</v>
      </c>
    </row>
    <row r="123" ht="15.75">
      <c r="A123" s="498" t="s">
        <v>785</v>
      </c>
    </row>
    <row r="124" ht="15.75">
      <c r="A124" s="498" t="s">
        <v>786</v>
      </c>
    </row>
    <row r="125" ht="15.75">
      <c r="A125" s="498" t="s">
        <v>787</v>
      </c>
    </row>
    <row r="126" ht="15.75">
      <c r="A126" s="498" t="s">
        <v>788</v>
      </c>
    </row>
    <row r="127" ht="15.75">
      <c r="A127" s="498" t="s">
        <v>789</v>
      </c>
    </row>
    <row r="128" ht="15.75">
      <c r="A128" s="498" t="s">
        <v>790</v>
      </c>
    </row>
    <row r="129" ht="15.75">
      <c r="A129" s="498" t="s">
        <v>791</v>
      </c>
    </row>
    <row r="130" ht="15.75">
      <c r="A130" s="498" t="s">
        <v>792</v>
      </c>
    </row>
    <row r="131" ht="15.75">
      <c r="A131" s="498" t="s">
        <v>793</v>
      </c>
    </row>
    <row r="132" ht="15.75">
      <c r="A132" s="498" t="s">
        <v>794</v>
      </c>
    </row>
    <row r="133" ht="15.75">
      <c r="A133" s="498" t="s">
        <v>795</v>
      </c>
    </row>
    <row r="134" ht="15.75">
      <c r="A134" s="498" t="s">
        <v>796</v>
      </c>
    </row>
    <row r="135" ht="15.75">
      <c r="A135" s="498" t="s">
        <v>797</v>
      </c>
    </row>
    <row r="136" ht="15.75">
      <c r="A136" s="498" t="s">
        <v>798</v>
      </c>
    </row>
    <row r="137" ht="15.75">
      <c r="A137" s="498" t="s">
        <v>799</v>
      </c>
    </row>
    <row r="138" ht="15.75">
      <c r="A138" s="498" t="s">
        <v>800</v>
      </c>
    </row>
    <row r="139" ht="15.75">
      <c r="A139" s="498" t="s">
        <v>801</v>
      </c>
    </row>
    <row r="140" ht="15.75">
      <c r="A140" s="498" t="s">
        <v>802</v>
      </c>
    </row>
    <row r="141" ht="15.75">
      <c r="A141" s="498" t="s">
        <v>803</v>
      </c>
    </row>
    <row r="142" ht="15.75">
      <c r="A142" s="498" t="s">
        <v>804</v>
      </c>
    </row>
    <row r="144" ht="15.75">
      <c r="A144" s="364" t="s">
        <v>659</v>
      </c>
    </row>
    <row r="145" ht="15.75">
      <c r="A145" s="32" t="s">
        <v>660</v>
      </c>
    </row>
    <row r="146" ht="15.75">
      <c r="A146" s="32" t="s">
        <v>661</v>
      </c>
    </row>
    <row r="147" ht="15.75">
      <c r="A147" s="32" t="s">
        <v>662</v>
      </c>
    </row>
    <row r="149" ht="15.75">
      <c r="A149" s="364" t="s">
        <v>649</v>
      </c>
    </row>
    <row r="150" ht="15.75">
      <c r="A150" s="32" t="s">
        <v>658</v>
      </c>
    </row>
    <row r="152" ht="15.75">
      <c r="A152" s="364" t="s">
        <v>424</v>
      </c>
    </row>
    <row r="153" ht="15.75">
      <c r="A153" s="363" t="s">
        <v>425</v>
      </c>
    </row>
    <row r="154" ht="15.75">
      <c r="A154" s="363" t="s">
        <v>426</v>
      </c>
    </row>
    <row r="155" ht="15.75">
      <c r="A155" s="363" t="s">
        <v>427</v>
      </c>
    </row>
    <row r="156" ht="15.75">
      <c r="A156" s="32" t="s">
        <v>647</v>
      </c>
    </row>
    <row r="158" ht="15.75">
      <c r="A158" s="339" t="s">
        <v>354</v>
      </c>
    </row>
    <row r="159" ht="15.75">
      <c r="A159" s="343" t="s">
        <v>404</v>
      </c>
    </row>
    <row r="160" ht="15.75">
      <c r="A160" s="32" t="s">
        <v>405</v>
      </c>
    </row>
    <row r="161" ht="15.75">
      <c r="A161" s="32" t="s">
        <v>406</v>
      </c>
    </row>
    <row r="162" ht="21.75" customHeight="1">
      <c r="A162" s="34" t="s">
        <v>407</v>
      </c>
    </row>
    <row r="163" ht="15.75">
      <c r="A163" s="32" t="s">
        <v>408</v>
      </c>
    </row>
    <row r="164" ht="15.75">
      <c r="A164" s="32" t="s">
        <v>409</v>
      </c>
    </row>
    <row r="165" ht="15.75">
      <c r="A165" s="32" t="s">
        <v>410</v>
      </c>
    </row>
    <row r="166" ht="15.75">
      <c r="A166" s="32" t="s">
        <v>411</v>
      </c>
    </row>
    <row r="167" ht="15.75">
      <c r="A167" s="32" t="s">
        <v>412</v>
      </c>
    </row>
    <row r="168" ht="15.75">
      <c r="A168" s="32" t="s">
        <v>413</v>
      </c>
    </row>
    <row r="169" ht="15.75">
      <c r="A169" s="32" t="s">
        <v>414</v>
      </c>
    </row>
    <row r="171" ht="15.75">
      <c r="A171" s="339" t="s">
        <v>349</v>
      </c>
    </row>
    <row r="172" ht="15.75">
      <c r="A172" s="32" t="s">
        <v>350</v>
      </c>
    </row>
    <row r="174" ht="15.75">
      <c r="A174" s="339" t="s">
        <v>347</v>
      </c>
    </row>
    <row r="175" ht="15.75">
      <c r="A175" s="32" t="s">
        <v>348</v>
      </c>
    </row>
    <row r="177" ht="15.75">
      <c r="A177" s="339" t="s">
        <v>344</v>
      </c>
    </row>
    <row r="178" ht="15.75">
      <c r="A178" s="32" t="s">
        <v>345</v>
      </c>
    </row>
    <row r="179" ht="15.75">
      <c r="A179" s="32" t="s">
        <v>346</v>
      </c>
    </row>
    <row r="181" ht="15.75">
      <c r="A181" s="339" t="s">
        <v>62</v>
      </c>
    </row>
    <row r="182" ht="15.75">
      <c r="A182" s="32" t="s">
        <v>47</v>
      </c>
    </row>
    <row r="183" ht="15.75">
      <c r="A183" s="32" t="s">
        <v>48</v>
      </c>
    </row>
    <row r="184" ht="15.75">
      <c r="A184" s="32" t="s">
        <v>49</v>
      </c>
    </row>
    <row r="185" ht="15.75">
      <c r="A185" s="32" t="s">
        <v>56</v>
      </c>
    </row>
    <row r="186" ht="15.75">
      <c r="A186" s="32" t="s">
        <v>50</v>
      </c>
    </row>
    <row r="187" ht="15.75">
      <c r="A187" s="32" t="s">
        <v>51</v>
      </c>
    </row>
    <row r="188" ht="31.5">
      <c r="A188" s="34" t="s">
        <v>57</v>
      </c>
    </row>
    <row r="189" ht="31.5">
      <c r="A189" s="34" t="s">
        <v>52</v>
      </c>
    </row>
    <row r="190" ht="15.75">
      <c r="A190" s="34" t="s">
        <v>53</v>
      </c>
    </row>
    <row r="191" ht="15.75">
      <c r="A191" s="34" t="s">
        <v>54</v>
      </c>
    </row>
    <row r="192" ht="31.5">
      <c r="A192" s="34" t="s">
        <v>337</v>
      </c>
    </row>
    <row r="193" ht="15.75">
      <c r="A193" s="32" t="s">
        <v>338</v>
      </c>
    </row>
    <row r="194" ht="31.5">
      <c r="A194" s="34" t="s">
        <v>55</v>
      </c>
    </row>
    <row r="195" ht="15.75">
      <c r="A195" s="32" t="s">
        <v>59</v>
      </c>
    </row>
    <row r="196" ht="15.75">
      <c r="A196" s="32" t="s">
        <v>60</v>
      </c>
    </row>
    <row r="197" ht="15.75">
      <c r="A197" s="32" t="s">
        <v>61</v>
      </c>
    </row>
    <row r="198" ht="31.5">
      <c r="A198" s="34" t="s">
        <v>336</v>
      </c>
    </row>
    <row r="199" ht="15.75">
      <c r="A199" s="32" t="s">
        <v>335</v>
      </c>
    </row>
    <row r="200" ht="31.5">
      <c r="A200" s="34" t="s">
        <v>334</v>
      </c>
    </row>
    <row r="201" ht="15.75">
      <c r="A201" s="32" t="s">
        <v>339</v>
      </c>
    </row>
    <row r="203" ht="15.75">
      <c r="A203" s="339" t="s">
        <v>66</v>
      </c>
    </row>
    <row r="204" ht="15.75">
      <c r="A204" s="32" t="s">
        <v>67</v>
      </c>
    </row>
    <row r="205" ht="15.75">
      <c r="A205" s="32" t="s">
        <v>68</v>
      </c>
    </row>
    <row r="206" ht="15.75">
      <c r="A206" s="32" t="s">
        <v>69</v>
      </c>
    </row>
    <row r="207" ht="15.75">
      <c r="A207" s="32" t="s">
        <v>58</v>
      </c>
    </row>
    <row r="210" ht="15.75">
      <c r="A210" s="339" t="s">
        <v>43</v>
      </c>
    </row>
    <row r="211" ht="15.75">
      <c r="A211" s="32" t="s">
        <v>44</v>
      </c>
    </row>
    <row r="213" ht="15.75">
      <c r="A213" s="339" t="s">
        <v>36</v>
      </c>
    </row>
    <row r="214" ht="15.75">
      <c r="A214" s="32" t="s">
        <v>37</v>
      </c>
    </row>
    <row r="215" ht="15.75">
      <c r="A215" s="32" t="s">
        <v>38</v>
      </c>
    </row>
    <row r="216" ht="31.5">
      <c r="A216" s="34" t="s">
        <v>39</v>
      </c>
    </row>
    <row r="217" ht="15.75">
      <c r="A217" s="32" t="s">
        <v>40</v>
      </c>
    </row>
    <row r="218" ht="15.75">
      <c r="A218" s="32" t="s">
        <v>41</v>
      </c>
    </row>
    <row r="219" ht="15.75">
      <c r="A219" s="32" t="s">
        <v>42</v>
      </c>
    </row>
    <row r="221" ht="18" customHeight="1">
      <c r="A221" s="339" t="s">
        <v>305</v>
      </c>
    </row>
    <row r="222" ht="48.75" customHeight="1">
      <c r="A222" s="34" t="s">
        <v>340</v>
      </c>
    </row>
    <row r="223" ht="15.75">
      <c r="A223" s="32" t="s">
        <v>306</v>
      </c>
    </row>
    <row r="224" ht="15.75">
      <c r="A224" s="32" t="s">
        <v>307</v>
      </c>
    </row>
    <row r="225" ht="15.75">
      <c r="A225" s="32" t="s">
        <v>341</v>
      </c>
    </row>
    <row r="226" ht="15.75">
      <c r="A226" s="32" t="s">
        <v>308</v>
      </c>
    </row>
    <row r="227" ht="15.75">
      <c r="A227" s="32" t="s">
        <v>309</v>
      </c>
    </row>
    <row r="228" ht="15.75">
      <c r="A228" s="32" t="s">
        <v>6</v>
      </c>
    </row>
    <row r="229" ht="15.75">
      <c r="A229" s="32" t="s">
        <v>310</v>
      </c>
    </row>
    <row r="230" ht="15.75">
      <c r="A230" s="32" t="s">
        <v>311</v>
      </c>
    </row>
    <row r="231" ht="31.5">
      <c r="A231" s="34" t="s">
        <v>312</v>
      </c>
    </row>
    <row r="232" ht="31.5">
      <c r="A232" s="34" t="s">
        <v>15</v>
      </c>
    </row>
    <row r="233" ht="15.75">
      <c r="A233" s="32" t="s">
        <v>313</v>
      </c>
    </row>
    <row r="234" ht="15.75">
      <c r="A234" s="32" t="s">
        <v>314</v>
      </c>
    </row>
    <row r="235" ht="15.75">
      <c r="A235" s="32" t="s">
        <v>342</v>
      </c>
    </row>
    <row r="236" ht="15.75">
      <c r="A236" s="32" t="s">
        <v>315</v>
      </c>
    </row>
    <row r="237" ht="15.75">
      <c r="A237" s="32" t="s">
        <v>0</v>
      </c>
    </row>
    <row r="238" ht="31.5">
      <c r="A238" s="34" t="s">
        <v>1</v>
      </c>
    </row>
    <row r="239" ht="15.75">
      <c r="A239" s="32" t="s">
        <v>324</v>
      </c>
    </row>
    <row r="240" ht="15.75">
      <c r="A240" s="32" t="s">
        <v>325</v>
      </c>
    </row>
    <row r="241" ht="31.5">
      <c r="A241" s="34" t="s">
        <v>326</v>
      </c>
    </row>
    <row r="242" ht="15.75">
      <c r="A242" s="32" t="s">
        <v>23</v>
      </c>
    </row>
    <row r="243" ht="15.75">
      <c r="A243" s="32" t="s">
        <v>24</v>
      </c>
    </row>
    <row r="244" ht="15.75">
      <c r="A244" s="32" t="s">
        <v>25</v>
      </c>
    </row>
    <row r="245" ht="15.75">
      <c r="A245" s="32" t="s">
        <v>26</v>
      </c>
    </row>
    <row r="246" ht="15.75">
      <c r="A246" s="32" t="s">
        <v>27</v>
      </c>
    </row>
    <row r="247" ht="15.75">
      <c r="A247" s="32" t="s">
        <v>28</v>
      </c>
    </row>
    <row r="248" ht="15.75">
      <c r="A248" s="32" t="s">
        <v>29</v>
      </c>
    </row>
    <row r="249" ht="15.75">
      <c r="A249" s="32" t="s">
        <v>30</v>
      </c>
    </row>
    <row r="250" ht="15.75">
      <c r="A250" s="32" t="s">
        <v>31</v>
      </c>
    </row>
    <row r="251" ht="15.75">
      <c r="A251" s="32" t="s">
        <v>33</v>
      </c>
    </row>
    <row r="252" ht="15.75">
      <c r="A252" s="32" t="s">
        <v>34</v>
      </c>
    </row>
    <row r="253" ht="15.75">
      <c r="A253" s="32" t="s">
        <v>35</v>
      </c>
    </row>
    <row r="254" ht="15.75">
      <c r="A254" s="32" t="s">
        <v>32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C18" sqref="C18"/>
    </sheetView>
  </sheetViews>
  <sheetFormatPr defaultColWidth="8.796875" defaultRowHeight="15"/>
  <cols>
    <col min="1" max="1" width="13.796875" style="0" customWidth="1"/>
    <col min="2" max="2" width="16.09765625" style="0" customWidth="1"/>
  </cols>
  <sheetData>
    <row r="1" ht="15">
      <c r="J1" s="605" t="s">
        <v>865</v>
      </c>
    </row>
    <row r="2" spans="1:10" ht="54" customHeight="1">
      <c r="A2" s="759" t="s">
        <v>415</v>
      </c>
      <c r="B2" s="760"/>
      <c r="C2" s="760"/>
      <c r="D2" s="760"/>
      <c r="E2" s="760"/>
      <c r="F2" s="760"/>
      <c r="J2" s="605" t="s">
        <v>866</v>
      </c>
    </row>
    <row r="3" spans="1:10" ht="15.75">
      <c r="A3" s="1" t="s">
        <v>867</v>
      </c>
      <c r="B3" s="606" t="s">
        <v>1029</v>
      </c>
      <c r="C3" s="606"/>
      <c r="J3" s="605" t="s">
        <v>868</v>
      </c>
    </row>
    <row r="4" spans="1:10" ht="15.75">
      <c r="A4" s="1"/>
      <c r="B4" s="607"/>
      <c r="J4" s="605" t="s">
        <v>869</v>
      </c>
    </row>
    <row r="5" spans="1:10" ht="15.75">
      <c r="A5" s="1" t="s">
        <v>760</v>
      </c>
      <c r="B5" s="606" t="s">
        <v>1030</v>
      </c>
      <c r="J5" s="605" t="s">
        <v>870</v>
      </c>
    </row>
    <row r="6" spans="1:10" ht="15.75">
      <c r="A6" s="347"/>
      <c r="B6" s="347"/>
      <c r="C6" s="347"/>
      <c r="D6" s="348" t="s">
        <v>871</v>
      </c>
      <c r="E6" s="347"/>
      <c r="F6" s="347"/>
      <c r="J6" s="605" t="s">
        <v>872</v>
      </c>
    </row>
    <row r="7" spans="1:10" ht="15.75">
      <c r="A7" s="348" t="s">
        <v>416</v>
      </c>
      <c r="B7" s="606" t="s">
        <v>1031</v>
      </c>
      <c r="C7" s="349"/>
      <c r="D7" s="348" t="str">
        <f>IF(B7="","",CONCATENATE("Latest date for notice to be published in your newspaper: ",G18," ",G22,", ",G23))</f>
        <v>Latest date for notice to be published in your newspaper: August 9, 2013</v>
      </c>
      <c r="E7" s="347"/>
      <c r="F7" s="347"/>
      <c r="J7" s="605" t="s">
        <v>873</v>
      </c>
    </row>
    <row r="8" spans="1:10" ht="15.75">
      <c r="A8" s="348"/>
      <c r="B8" s="350"/>
      <c r="C8" s="351"/>
      <c r="D8" s="348"/>
      <c r="E8" s="347"/>
      <c r="F8" s="347"/>
      <c r="J8" s="605" t="s">
        <v>874</v>
      </c>
    </row>
    <row r="9" spans="1:10" ht="15.75">
      <c r="A9" s="348" t="s">
        <v>417</v>
      </c>
      <c r="B9" s="606" t="s">
        <v>1032</v>
      </c>
      <c r="C9" s="352"/>
      <c r="D9" s="348"/>
      <c r="E9" s="347"/>
      <c r="F9" s="347"/>
      <c r="J9" s="605" t="s">
        <v>875</v>
      </c>
    </row>
    <row r="10" spans="1:10" ht="15.75">
      <c r="A10" s="348"/>
      <c r="B10" s="348"/>
      <c r="C10" s="348"/>
      <c r="D10" s="348"/>
      <c r="E10" s="347"/>
      <c r="F10" s="347"/>
      <c r="J10" s="605" t="s">
        <v>876</v>
      </c>
    </row>
    <row r="11" spans="1:10" ht="15.75">
      <c r="A11" s="348" t="s">
        <v>418</v>
      </c>
      <c r="B11" s="608" t="s">
        <v>1033</v>
      </c>
      <c r="C11" s="608"/>
      <c r="D11" s="608"/>
      <c r="E11" s="609"/>
      <c r="F11" s="347"/>
      <c r="J11" s="605" t="s">
        <v>877</v>
      </c>
    </row>
    <row r="12" spans="1:10" ht="15.75">
      <c r="A12" s="348"/>
      <c r="B12" s="348"/>
      <c r="C12" s="348"/>
      <c r="D12" s="348"/>
      <c r="E12" s="347"/>
      <c r="F12" s="347"/>
      <c r="J12" s="605" t="s">
        <v>878</v>
      </c>
    </row>
    <row r="13" spans="1:6" ht="15.75">
      <c r="A13" s="348"/>
      <c r="B13" s="348"/>
      <c r="C13" s="348"/>
      <c r="D13" s="348"/>
      <c r="E13" s="347"/>
      <c r="F13" s="347"/>
    </row>
    <row r="14" spans="1:6" ht="15.75">
      <c r="A14" s="348" t="s">
        <v>419</v>
      </c>
      <c r="B14" s="608" t="s">
        <v>1034</v>
      </c>
      <c r="C14" s="608"/>
      <c r="D14" s="608"/>
      <c r="E14" s="609"/>
      <c r="F14" s="347"/>
    </row>
    <row r="17" spans="1:6" ht="15.75">
      <c r="A17" s="761" t="s">
        <v>420</v>
      </c>
      <c r="B17" s="761"/>
      <c r="C17" s="348"/>
      <c r="D17" s="348"/>
      <c r="E17" s="348"/>
      <c r="F17" s="347"/>
    </row>
    <row r="18" spans="1:7" ht="15.75">
      <c r="A18" s="348"/>
      <c r="B18" s="348"/>
      <c r="C18" s="348"/>
      <c r="D18" s="348"/>
      <c r="E18" s="348"/>
      <c r="F18" s="347"/>
      <c r="G18" s="605" t="str">
        <f ca="1">IF(B7="","",INDIRECT(G19))</f>
        <v>August</v>
      </c>
    </row>
    <row r="19" spans="1:7" ht="15.75">
      <c r="A19" s="348" t="s">
        <v>760</v>
      </c>
      <c r="B19" s="348" t="s">
        <v>761</v>
      </c>
      <c r="C19" s="348"/>
      <c r="D19" s="348"/>
      <c r="E19" s="348"/>
      <c r="F19" s="347"/>
      <c r="G19" s="610" t="str">
        <f>IF(B7="","",CONCATENATE("J",G21))</f>
        <v>J8</v>
      </c>
    </row>
    <row r="20" spans="1:7" ht="15.75">
      <c r="A20" s="348"/>
      <c r="B20" s="348"/>
      <c r="C20" s="348"/>
      <c r="D20" s="348"/>
      <c r="E20" s="348"/>
      <c r="F20" s="347"/>
      <c r="G20" s="611">
        <f>B7-10</f>
        <v>41495</v>
      </c>
    </row>
    <row r="21" spans="1:7" ht="15.75">
      <c r="A21" s="348" t="s">
        <v>416</v>
      </c>
      <c r="B21" s="350" t="s">
        <v>421</v>
      </c>
      <c r="C21" s="348"/>
      <c r="D21" s="348"/>
      <c r="E21" s="348"/>
      <c r="G21" s="612">
        <f>IF(B7="","",MONTH(G20))</f>
        <v>8</v>
      </c>
    </row>
    <row r="22" spans="1:7" ht="15.75">
      <c r="A22" s="348"/>
      <c r="B22" s="348"/>
      <c r="C22" s="348"/>
      <c r="D22" s="348"/>
      <c r="E22" s="348"/>
      <c r="G22" s="613">
        <f>IF(B7="","",DAY(G20))</f>
        <v>9</v>
      </c>
    </row>
    <row r="23" spans="1:7" ht="15.75">
      <c r="A23" s="348" t="s">
        <v>417</v>
      </c>
      <c r="B23" s="348" t="s">
        <v>422</v>
      </c>
      <c r="C23" s="348"/>
      <c r="D23" s="348"/>
      <c r="E23" s="348"/>
      <c r="G23" s="614">
        <f>IF(B7="","",YEAR(G20))</f>
        <v>2013</v>
      </c>
    </row>
    <row r="24" spans="1:5" ht="15.75">
      <c r="A24" s="348"/>
      <c r="B24" s="348"/>
      <c r="C24" s="348"/>
      <c r="D24" s="348"/>
      <c r="E24" s="348"/>
    </row>
    <row r="25" spans="1:5" ht="15.75">
      <c r="A25" s="348" t="s">
        <v>418</v>
      </c>
      <c r="B25" s="348" t="s">
        <v>423</v>
      </c>
      <c r="C25" s="348"/>
      <c r="D25" s="348"/>
      <c r="E25" s="348"/>
    </row>
    <row r="26" spans="1:5" ht="15.75">
      <c r="A26" s="348"/>
      <c r="B26" s="348"/>
      <c r="C26" s="348"/>
      <c r="D26" s="348"/>
      <c r="E26" s="348"/>
    </row>
    <row r="27" spans="1:5" ht="15.75">
      <c r="A27" s="348" t="s">
        <v>419</v>
      </c>
      <c r="B27" s="348" t="s">
        <v>423</v>
      </c>
      <c r="C27" s="348"/>
      <c r="D27" s="348"/>
      <c r="E27" s="34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J101"/>
  <sheetViews>
    <sheetView tabSelected="1" zoomScalePageLayoutView="0" workbookViewId="0" topLeftCell="A1">
      <selection activeCell="C53" sqref="C53"/>
    </sheetView>
  </sheetViews>
  <sheetFormatPr defaultColWidth="8.796875" defaultRowHeight="15"/>
  <cols>
    <col min="1" max="1" width="12" style="105" customWidth="1"/>
    <col min="2" max="2" width="24.296875" style="44" customWidth="1"/>
    <col min="3" max="3" width="10.796875" style="44" customWidth="1"/>
    <col min="4" max="4" width="5.796875" style="44" customWidth="1"/>
    <col min="5" max="5" width="14" style="44" customWidth="1"/>
    <col min="6" max="6" width="13.296875" style="44" customWidth="1"/>
    <col min="7" max="7" width="12.296875" style="44" customWidth="1"/>
    <col min="8" max="16384" width="8.8984375" style="105" customWidth="1"/>
  </cols>
  <sheetData>
    <row r="1" spans="2:9" ht="15.75">
      <c r="B1" s="46"/>
      <c r="C1" s="46"/>
      <c r="D1" s="45" t="s">
        <v>164</v>
      </c>
      <c r="E1" s="46"/>
      <c r="F1" s="46"/>
      <c r="G1" s="135"/>
      <c r="I1" s="32">
        <f>inputPrYr!C5</f>
        <v>2014</v>
      </c>
    </row>
    <row r="2" spans="2:7" ht="15.75">
      <c r="B2" s="764" t="str">
        <f>CONCATENATE("To the Clerk of ",(inputPrYr!D3),", State of Kansas")</f>
        <v>To the Clerk of Wilson County, State of Kansas</v>
      </c>
      <c r="C2" s="754"/>
      <c r="D2" s="754"/>
      <c r="E2" s="754"/>
      <c r="F2" s="754"/>
      <c r="G2" s="754"/>
    </row>
    <row r="3" spans="2:7" ht="15.75">
      <c r="B3" s="137" t="s">
        <v>663</v>
      </c>
      <c r="C3" s="55"/>
      <c r="D3" s="55"/>
      <c r="E3" s="55"/>
      <c r="F3" s="55"/>
      <c r="G3" s="55"/>
    </row>
    <row r="4" spans="2:7" ht="15.75">
      <c r="B4" s="762" t="str">
        <f>(inputPrYr!D2)</f>
        <v>City of Fredonia</v>
      </c>
      <c r="C4" s="763"/>
      <c r="D4" s="763"/>
      <c r="E4" s="763"/>
      <c r="F4" s="763"/>
      <c r="G4" s="763"/>
    </row>
    <row r="5" spans="2:7" ht="15.75">
      <c r="B5" s="137" t="s">
        <v>79</v>
      </c>
      <c r="C5" s="55"/>
      <c r="D5" s="55"/>
      <c r="E5" s="55"/>
      <c r="F5" s="55"/>
      <c r="G5" s="55"/>
    </row>
    <row r="6" spans="2:7" ht="15.75">
      <c r="B6" s="137" t="s">
        <v>80</v>
      </c>
      <c r="C6" s="55"/>
      <c r="D6" s="55"/>
      <c r="E6" s="55"/>
      <c r="F6" s="55"/>
      <c r="G6" s="55"/>
    </row>
    <row r="7" spans="2:7" ht="15.75">
      <c r="B7" s="137" t="str">
        <f>CONCATENATE("maximum expenditures for the various funds for the year ",I1,"; and")</f>
        <v>maximum expenditures for the various funds for the year 2014; and</v>
      </c>
      <c r="C7" s="55"/>
      <c r="D7" s="55"/>
      <c r="E7" s="55"/>
      <c r="F7" s="55"/>
      <c r="G7" s="55"/>
    </row>
    <row r="8" spans="2:7" ht="15.75">
      <c r="B8" s="137" t="str">
        <f>CONCATENATE("(3) the Amounts(s) of ",I1-1," Ad Valorem Tax are within statutory limitations.")</f>
        <v>(3) the Amounts(s) of 2013 Ad Valorem Tax are within statutory limitations.</v>
      </c>
      <c r="C8" s="55"/>
      <c r="D8" s="55"/>
      <c r="E8" s="55"/>
      <c r="F8" s="55"/>
      <c r="G8" s="55"/>
    </row>
    <row r="9" spans="2:7" ht="15.75">
      <c r="B9" s="46"/>
      <c r="C9" s="46"/>
      <c r="D9" s="46"/>
      <c r="E9" s="138" t="str">
        <f>CONCATENATE("",I1," Adopted Budget")</f>
        <v>2014 Adopted Budget</v>
      </c>
      <c r="F9" s="139"/>
      <c r="G9" s="140"/>
    </row>
    <row r="10" spans="2:7" ht="21" customHeight="1">
      <c r="B10" s="46"/>
      <c r="C10" s="46"/>
      <c r="D10" s="141"/>
      <c r="E10" s="142" t="s">
        <v>81</v>
      </c>
      <c r="F10" s="143" t="str">
        <f>CONCATENATE("Amount of ",I1-1,"")</f>
        <v>Amount of 2013</v>
      </c>
      <c r="G10" s="143" t="s">
        <v>82</v>
      </c>
    </row>
    <row r="11" spans="2:7" ht="15.75">
      <c r="B11" s="51"/>
      <c r="C11" s="46"/>
      <c r="D11" s="143" t="s">
        <v>83</v>
      </c>
      <c r="E11" s="427" t="s">
        <v>10</v>
      </c>
      <c r="F11" s="145" t="s">
        <v>274</v>
      </c>
      <c r="G11" s="144" t="s">
        <v>84</v>
      </c>
    </row>
    <row r="12" spans="2:7" ht="15.75">
      <c r="B12" s="146" t="s">
        <v>85</v>
      </c>
      <c r="C12" s="70"/>
      <c r="D12" s="147" t="s">
        <v>86</v>
      </c>
      <c r="E12" s="428" t="s">
        <v>669</v>
      </c>
      <c r="F12" s="148" t="s">
        <v>275</v>
      </c>
      <c r="G12" s="147" t="s">
        <v>87</v>
      </c>
    </row>
    <row r="13" spans="2:7" ht="15.75">
      <c r="B13" s="149" t="str">
        <f>CONCATENATE("Computation to Determine Limit for ",I1,"")</f>
        <v>Computation to Determine Limit for 2014</v>
      </c>
      <c r="C13" s="92"/>
      <c r="D13" s="150">
        <v>2</v>
      </c>
      <c r="E13" s="151"/>
      <c r="F13" s="151"/>
      <c r="G13" s="151"/>
    </row>
    <row r="14" spans="2:7" ht="15.75">
      <c r="B14" s="149" t="s">
        <v>935</v>
      </c>
      <c r="C14" s="70"/>
      <c r="D14" s="147">
        <v>3</v>
      </c>
      <c r="E14" s="144"/>
      <c r="F14" s="144"/>
      <c r="G14" s="144"/>
    </row>
    <row r="15" spans="2:7" ht="15.75">
      <c r="B15" s="149" t="s">
        <v>229</v>
      </c>
      <c r="C15" s="70"/>
      <c r="D15" s="147">
        <v>4</v>
      </c>
      <c r="E15" s="144"/>
      <c r="F15" s="144"/>
      <c r="G15" s="144"/>
    </row>
    <row r="16" spans="2:7" ht="15.75">
      <c r="B16" s="149" t="s">
        <v>88</v>
      </c>
      <c r="C16" s="92"/>
      <c r="D16" s="150">
        <v>5</v>
      </c>
      <c r="E16" s="152"/>
      <c r="F16" s="152"/>
      <c r="G16" s="152"/>
    </row>
    <row r="17" spans="2:7" ht="15.75">
      <c r="B17" s="149" t="s">
        <v>89</v>
      </c>
      <c r="C17" s="92"/>
      <c r="D17" s="150">
        <v>6</v>
      </c>
      <c r="E17" s="152"/>
      <c r="F17" s="152"/>
      <c r="G17" s="152"/>
    </row>
    <row r="18" spans="2:7" ht="15.75">
      <c r="B18" s="283" t="str">
        <f>IF(inputPrYr!D19="","","Computation to Determine State Library Grant")</f>
        <v>Computation to Determine State Library Grant</v>
      </c>
      <c r="C18" s="92"/>
      <c r="D18" s="160">
        <f>IF(inputPrYr!D19="","",'Library Grant'!F40)</f>
        <v>7</v>
      </c>
      <c r="E18" s="152"/>
      <c r="F18" s="152"/>
      <c r="G18" s="152"/>
    </row>
    <row r="19" spans="2:7" ht="15.75">
      <c r="B19" s="153" t="s">
        <v>90</v>
      </c>
      <c r="C19" s="154" t="s">
        <v>91</v>
      </c>
      <c r="D19" s="155"/>
      <c r="E19" s="156"/>
      <c r="F19" s="156"/>
      <c r="G19" s="156"/>
    </row>
    <row r="20" spans="2:7" ht="15.75">
      <c r="B20" s="63" t="s">
        <v>74</v>
      </c>
      <c r="C20" s="157" t="str">
        <f>IF(inputPrYr!C17&gt;0,(inputPrYr!C17),"  ")</f>
        <v>12-101a</v>
      </c>
      <c r="D20" s="150">
        <f>general!C59</f>
        <v>8</v>
      </c>
      <c r="E20" s="711">
        <f>IF(general!$E$111&lt;&gt;0,general!$E$111,"  ")</f>
        <v>1262377</v>
      </c>
      <c r="F20" s="712">
        <f>IF(general!$E$118&lt;&gt;0,general!$E$118,0)</f>
        <v>389964.93999999994</v>
      </c>
      <c r="G20" s="713">
        <f>IF($G$59=0,"",ROUND(F20/$G$59*1000,3))</f>
      </c>
    </row>
    <row r="21" spans="2:7" ht="15.75">
      <c r="B21" s="63" t="s">
        <v>1035</v>
      </c>
      <c r="C21" s="157" t="str">
        <f>IF(inputPrYr!C18&gt;0,(inputPrYr!C18),"  ")</f>
        <v>10-113</v>
      </c>
      <c r="D21" s="150">
        <f>IF('DebtSvs-library'!C83&gt;0,'DebtSvs-library'!C83,"  ")</f>
        <v>9</v>
      </c>
      <c r="E21" s="711">
        <f>IF('DebtSvs-library'!E35&lt;&gt;0,'DebtSvs-library'!E35,"  ")</f>
        <v>790309</v>
      </c>
      <c r="F21" s="712">
        <f>IF('DebtSvs-library'!E42&lt;&gt;0,'DebtSvs-library'!E42,0)</f>
        <v>83984</v>
      </c>
      <c r="G21" s="713">
        <f aca="true" t="shared" si="0" ref="G21:G32">IF($G$59=0,"",ROUND(F21/$G$59*1000,3))</f>
      </c>
    </row>
    <row r="22" spans="2:10" ht="15.75">
      <c r="B22" s="86" t="str">
        <f>IF(inputPrYr!$B19&gt;"  ",(inputPrYr!$B19),"  ")</f>
        <v>Library</v>
      </c>
      <c r="C22" s="157" t="str">
        <f>IF(inputPrYr!C19&gt;0,(inputPrYr!C19),"  ")</f>
        <v>12-1220</v>
      </c>
      <c r="D22" s="150">
        <f>IF('DebtSvs-library'!C83&gt;0,'DebtSvs-library'!C83,"  ")</f>
        <v>9</v>
      </c>
      <c r="E22" s="711">
        <f>IF('DebtSvs-library'!E75&lt;&gt;0,'DebtSvs-library'!E75,"  ")</f>
        <v>87939.61</v>
      </c>
      <c r="F22" s="712">
        <f>IF('DebtSvs-library'!E82&lt;&gt;0,'DebtSvs-library'!E82,0)</f>
        <v>73406.61</v>
      </c>
      <c r="G22" s="713">
        <f t="shared" si="0"/>
      </c>
      <c r="I22" s="550"/>
      <c r="J22" s="550"/>
    </row>
    <row r="23" spans="2:10" ht="15.75">
      <c r="B23" s="86" t="str">
        <f>IF(inputPrYr!$B21&gt;"  ",(inputPrYr!$B21),"  ")</f>
        <v>Industrial Development</v>
      </c>
      <c r="C23" s="157" t="str">
        <f>IF(inputPrYr!C21&gt;0,(inputPrYr!C21),"  ")</f>
        <v>12-1617h</v>
      </c>
      <c r="D23" s="150">
        <f>IF('Ind Dev'!C81&gt;0,'Ind Dev'!C81,"  ")</f>
        <v>10</v>
      </c>
      <c r="E23" s="711">
        <f>IF('Ind Dev'!$E$33&gt;0,'Ind Dev'!$E$33,"  ")</f>
        <v>52727</v>
      </c>
      <c r="F23" s="712">
        <f>IF('Ind Dev'!E40&lt;&gt;0,'Ind Dev'!E40,0)</f>
        <v>34241</v>
      </c>
      <c r="G23" s="713">
        <f t="shared" si="0"/>
      </c>
      <c r="I23" s="550"/>
      <c r="J23" s="550"/>
    </row>
    <row r="24" spans="2:10" ht="15.75">
      <c r="B24" s="86" t="str">
        <f>IF(inputPrYr!$B22&gt;"  ",(inputPrYr!$B22),"  ")</f>
        <v>  </v>
      </c>
      <c r="C24" s="157" t="str">
        <f>IF(inputPrYr!C22&gt;0,(inputPrYr!C22),"  ")</f>
        <v>  </v>
      </c>
      <c r="D24" s="150">
        <f>IF('Ind Dev'!C81&gt;0,'Ind Dev'!C81,"  ")</f>
        <v>10</v>
      </c>
      <c r="E24" s="711" t="str">
        <f>IF('Ind Dev'!$E$73&gt;0,'Ind Dev'!$E$73,"  ")</f>
        <v>  </v>
      </c>
      <c r="F24" s="712">
        <f>IF('Ind Dev'!E80&lt;&gt;0,'Ind Dev'!E80,0)</f>
        <v>0</v>
      </c>
      <c r="G24" s="713">
        <f t="shared" si="0"/>
      </c>
      <c r="I24" s="550"/>
      <c r="J24" s="550"/>
    </row>
    <row r="25" spans="2:10" ht="15.75">
      <c r="B25" s="86" t="str">
        <f>IF(inputPrYr!$B23&gt;"  ",(inputPrYr!$B23),"  ")</f>
        <v>  </v>
      </c>
      <c r="C25" s="157" t="str">
        <f>IF(inputPrYr!C23&gt;0,(inputPrYr!C23),"  ")</f>
        <v>  </v>
      </c>
      <c r="D25" s="150"/>
      <c r="E25" s="711"/>
      <c r="F25" s="712"/>
      <c r="G25" s="713">
        <f t="shared" si="0"/>
      </c>
      <c r="I25" s="550"/>
      <c r="J25" s="550"/>
    </row>
    <row r="26" spans="2:10" ht="15.75">
      <c r="B26" s="86" t="str">
        <f>IF(inputPrYr!$B24&gt;"  ",(inputPrYr!$B24),"  ")</f>
        <v>  </v>
      </c>
      <c r="C26" s="157" t="str">
        <f>IF(inputPrYr!C24&gt;0,(inputPrYr!C24),"  ")</f>
        <v>  </v>
      </c>
      <c r="D26" s="150"/>
      <c r="E26" s="711"/>
      <c r="F26" s="712"/>
      <c r="G26" s="713">
        <f t="shared" si="0"/>
      </c>
      <c r="I26" s="550"/>
      <c r="J26" s="550"/>
    </row>
    <row r="27" spans="2:10" ht="15.75">
      <c r="B27" s="86" t="str">
        <f>IF(inputPrYr!$B25&gt;"  ",(inputPrYr!$B25),"  ")</f>
        <v>  </v>
      </c>
      <c r="C27" s="157" t="str">
        <f>IF(inputPrYr!C25&gt;0,(inputPrYr!C25),"  ")</f>
        <v>  </v>
      </c>
      <c r="D27" s="150"/>
      <c r="E27" s="711"/>
      <c r="F27" s="712"/>
      <c r="G27" s="713">
        <f t="shared" si="0"/>
      </c>
      <c r="I27" s="550"/>
      <c r="J27" s="550"/>
    </row>
    <row r="28" spans="2:10" ht="15.75">
      <c r="B28" s="86" t="str">
        <f>IF(inputPrYr!$B26&gt;"  ",(inputPrYr!$B26),"  ")</f>
        <v>  </v>
      </c>
      <c r="C28" s="157" t="str">
        <f>IF(inputPrYr!C26&gt;0,(inputPrYr!C26),"  ")</f>
        <v>  </v>
      </c>
      <c r="D28" s="150"/>
      <c r="E28" s="711"/>
      <c r="F28" s="712"/>
      <c r="G28" s="713">
        <f t="shared" si="0"/>
      </c>
      <c r="I28" s="550"/>
      <c r="J28" s="550"/>
    </row>
    <row r="29" spans="2:10" ht="15.75">
      <c r="B29" s="86" t="str">
        <f>IF(inputPrYr!$B27&gt;"  ",(inputPrYr!$B27),"  ")</f>
        <v>  </v>
      </c>
      <c r="C29" s="157" t="str">
        <f>IF(inputPrYr!C27&gt;0,(inputPrYr!C27),"  ")</f>
        <v>  </v>
      </c>
      <c r="D29" s="150"/>
      <c r="E29" s="711"/>
      <c r="F29" s="712"/>
      <c r="G29" s="713">
        <f t="shared" si="0"/>
      </c>
      <c r="I29" s="550"/>
      <c r="J29" s="550"/>
    </row>
    <row r="30" spans="2:10" ht="15.75">
      <c r="B30" s="86" t="str">
        <f>IF(inputPrYr!$B28&gt;"  ",(inputPrYr!$B28),"  ")</f>
        <v>  </v>
      </c>
      <c r="C30" s="157" t="str">
        <f>IF(inputPrYr!C28&gt;0,(inputPrYr!C28),"  ")</f>
        <v>  </v>
      </c>
      <c r="D30" s="150"/>
      <c r="E30" s="711"/>
      <c r="F30" s="712"/>
      <c r="G30" s="713">
        <f t="shared" si="0"/>
      </c>
      <c r="I30" s="550"/>
      <c r="J30" s="550"/>
    </row>
    <row r="31" spans="2:10" ht="15.75">
      <c r="B31" s="86" t="str">
        <f>IF(inputPrYr!$B29&gt;"  ",(inputPrYr!$B29),"  ")</f>
        <v>  </v>
      </c>
      <c r="C31" s="157" t="str">
        <f>IF(inputPrYr!C29&gt;0,(inputPrYr!C29),"  ")</f>
        <v>  </v>
      </c>
      <c r="D31" s="150"/>
      <c r="E31" s="711"/>
      <c r="F31" s="712"/>
      <c r="G31" s="713">
        <f t="shared" si="0"/>
      </c>
      <c r="I31" s="550"/>
      <c r="J31" s="550"/>
    </row>
    <row r="32" spans="2:9" ht="15.75">
      <c r="B32" s="86" t="str">
        <f>IF(inputPrYr!B30&gt;"  ",(inputPrYr!B30),"  ")</f>
        <v>  </v>
      </c>
      <c r="C32" s="157" t="str">
        <f>IF(inputPrYr!C30&gt;0,(inputPrYr!C30),"  ")</f>
        <v>  </v>
      </c>
      <c r="D32" s="150"/>
      <c r="E32" s="711"/>
      <c r="F32" s="712"/>
      <c r="G32" s="713">
        <f t="shared" si="0"/>
      </c>
      <c r="I32" s="548"/>
    </row>
    <row r="33" spans="2:7" ht="15.75">
      <c r="B33" s="158" t="str">
        <f>IF(inputPrYr!$B34&gt;"  ",(inputPrYr!$B34),"  ")</f>
        <v>Special Highway</v>
      </c>
      <c r="C33" s="159"/>
      <c r="D33" s="160">
        <f>IF('Sp Hwy|Sp Pk'!C67&gt;0,'Sp Hwy|Sp Pk'!C67,"  ")</f>
        <v>11</v>
      </c>
      <c r="E33" s="711">
        <f>IF('Sp Hwy|Sp Pk'!$E$30&gt;0,'Sp Hwy|Sp Pk'!$E$30,"  ")</f>
        <v>75000</v>
      </c>
      <c r="F33" s="711"/>
      <c r="G33" s="714"/>
    </row>
    <row r="34" spans="2:7" ht="15.75">
      <c r="B34" s="158" t="str">
        <f>IF(inputPrYr!$B35&gt;"  ",(inputPrYr!$B35),"  ")</f>
        <v>Special Park</v>
      </c>
      <c r="C34" s="159"/>
      <c r="D34" s="160">
        <f>IF('Sp Hwy|Sp Pk'!C67&gt;0,'Sp Hwy|Sp Pk'!C67,"  ")</f>
        <v>11</v>
      </c>
      <c r="E34" s="711">
        <f>IF('Sp Hwy|Sp Pk'!$E$61&gt;0,'Sp Hwy|Sp Pk'!$E$61,"  ")</f>
        <v>3300</v>
      </c>
      <c r="F34" s="711"/>
      <c r="G34" s="714"/>
    </row>
    <row r="35" spans="2:7" ht="15.75">
      <c r="B35" s="158" t="str">
        <f>IF(inputPrYr!$B36&gt;"  ",(inputPrYr!$B36),"  ")</f>
        <v>Water</v>
      </c>
      <c r="C35" s="161"/>
      <c r="D35" s="160">
        <f>IF('WT|EL'!C66&gt;0,'WT|EL'!C66,"  ")</f>
        <v>12</v>
      </c>
      <c r="E35" s="711">
        <f>IF('WT|EL'!$E$28&gt;0,'WT|EL'!$E$28,"  ")</f>
        <v>957385</v>
      </c>
      <c r="F35" s="711"/>
      <c r="G35" s="714"/>
    </row>
    <row r="36" spans="2:7" ht="15.75">
      <c r="B36" s="158" t="str">
        <f>IF(inputPrYr!$B37&gt;"  ",(inputPrYr!$B37),"  ")</f>
        <v>Electric</v>
      </c>
      <c r="C36" s="159"/>
      <c r="D36" s="160">
        <f>IF('WT|EL'!C66&gt;0,'WT|EL'!C66,"  ")</f>
        <v>12</v>
      </c>
      <c r="E36" s="711">
        <f>IF('WT|EL'!$E$60&gt;0,'WT|EL'!$E$60,"  ")</f>
        <v>3036762</v>
      </c>
      <c r="F36" s="711"/>
      <c r="G36" s="714"/>
    </row>
    <row r="37" spans="2:7" ht="15.75">
      <c r="B37" s="158" t="str">
        <f>IF(inputPrYr!$B38&gt;"  ",(inputPrYr!$B38),"  ")</f>
        <v>Sewer</v>
      </c>
      <c r="C37" s="161"/>
      <c r="D37" s="160">
        <f>IF('SW|TR'!C66&gt;0,'SW|TR'!C66,"  ")</f>
        <v>13</v>
      </c>
      <c r="E37" s="711">
        <f>IF('SW|TR'!$E$29&gt;0,'SW|TR'!$E$29,"  ")</f>
        <v>199521</v>
      </c>
      <c r="F37" s="711"/>
      <c r="G37" s="714"/>
    </row>
    <row r="38" spans="2:7" ht="15.75">
      <c r="B38" s="158" t="str">
        <f>IF(inputPrYr!$B39&gt;"  ",(inputPrYr!$B39),"  ")</f>
        <v>Solid Waste</v>
      </c>
      <c r="C38" s="162"/>
      <c r="D38" s="160">
        <f>IF('SW|TR'!C66&gt;0,'SW|TR'!C66,"  ")</f>
        <v>13</v>
      </c>
      <c r="E38" s="711">
        <f>IF('SW|TR'!$E$60&gt;0,'SW|TR'!$E$60,"  ")</f>
        <v>249658</v>
      </c>
      <c r="F38" s="711"/>
      <c r="G38" s="714"/>
    </row>
    <row r="39" spans="2:7" ht="15.75">
      <c r="B39" s="158" t="str">
        <f>IF(inputPrYr!$B40&gt;"  ",(inputPrYr!$B40),"  ")</f>
        <v>1/2% Capital Sales Tax</v>
      </c>
      <c r="C39" s="162"/>
      <c r="D39" s="160">
        <f>IF('Half % Cap|Tor'!C65&gt;0,'Half % Cap|Tor'!C65,"  ")</f>
        <v>14</v>
      </c>
      <c r="E39" s="711">
        <f>IF('Half % Cap|Tor'!$E$28&gt;0,'Half % Cap|Tor'!$E$28,"  ")</f>
        <v>2536</v>
      </c>
      <c r="F39" s="711"/>
      <c r="G39" s="714"/>
    </row>
    <row r="40" spans="2:7" ht="15.75">
      <c r="B40" s="158" t="str">
        <f>IF(inputPrYr!$B41&gt;"  ",(inputPrYr!$B41),"  ")</f>
        <v>Tourism</v>
      </c>
      <c r="C40" s="162"/>
      <c r="D40" s="160">
        <f>IF('Half % Cap|Tor'!C65&gt;0,'Half % Cap|Tor'!C65,"  ")</f>
        <v>14</v>
      </c>
      <c r="E40" s="711">
        <f>IF('Half % Cap|Tor'!$E$59&gt;0,'Half % Cap|Tor'!$E$59,"  ")</f>
        <v>11700</v>
      </c>
      <c r="F40" s="711"/>
      <c r="G40" s="714"/>
    </row>
    <row r="41" spans="2:7" ht="15.75">
      <c r="B41" s="158" t="str">
        <f>IF(inputPrYr!$B42&gt;"  ",(inputPrYr!$B42),"  ")</f>
        <v>1/2% Infrastructure Sales Tax</v>
      </c>
      <c r="C41" s="159"/>
      <c r="D41" s="160">
        <f>IF('Half % Inf|1% Pool'!C65&gt;0,'Half % Inf|1% Pool'!C65,"  ")</f>
        <v>15</v>
      </c>
      <c r="E41" s="711">
        <f>IF('Half % Inf|1% Pool'!$E$28&gt;0,'Half % Inf|1% Pool'!$E$28,"  ")</f>
        <v>192700</v>
      </c>
      <c r="F41" s="711"/>
      <c r="G41" s="714"/>
    </row>
    <row r="42" spans="2:7" ht="15.75">
      <c r="B42" s="158" t="str">
        <f>IF(inputPrYr!$B43&gt;"  ",(inputPrYr!$B43),"  ")</f>
        <v>1% Swimming Pool Sales Tax</v>
      </c>
      <c r="C42" s="159"/>
      <c r="D42" s="160">
        <f>IF('Half % Inf|1% Pool'!C65&gt;0,'Half % Inf|1% Pool'!C65,"  ")</f>
        <v>15</v>
      </c>
      <c r="E42" s="711">
        <f>IF('Half % Inf|1% Pool'!$E$59&gt;0,'Half % Inf|1% Pool'!$E$59,"  ")</f>
        <v>375987</v>
      </c>
      <c r="F42" s="711"/>
      <c r="G42" s="714"/>
    </row>
    <row r="43" spans="2:7" ht="15.75">
      <c r="B43" s="158"/>
      <c r="C43" s="159"/>
      <c r="D43" s="160"/>
      <c r="E43" s="711"/>
      <c r="F43" s="711"/>
      <c r="G43" s="714"/>
    </row>
    <row r="44" spans="2:7" ht="15.75">
      <c r="B44" s="158"/>
      <c r="C44" s="159"/>
      <c r="D44" s="160"/>
      <c r="E44" s="711"/>
      <c r="F44" s="711"/>
      <c r="G44" s="714"/>
    </row>
    <row r="45" spans="2:7" ht="15.75">
      <c r="B45" s="158"/>
      <c r="C45" s="159"/>
      <c r="D45" s="160"/>
      <c r="E45" s="711"/>
      <c r="F45" s="711"/>
      <c r="G45" s="714"/>
    </row>
    <row r="46" spans="2:7" ht="15.75">
      <c r="B46" s="158"/>
      <c r="C46" s="159"/>
      <c r="D46" s="160"/>
      <c r="E46" s="711"/>
      <c r="F46" s="711"/>
      <c r="G46" s="714"/>
    </row>
    <row r="47" spans="2:7" ht="15.75">
      <c r="B47" s="158"/>
      <c r="C47" s="161"/>
      <c r="D47" s="160"/>
      <c r="E47" s="711"/>
      <c r="F47" s="711"/>
      <c r="G47" s="714"/>
    </row>
    <row r="48" spans="2:7" ht="15.75">
      <c r="B48" s="158"/>
      <c r="C48" s="162"/>
      <c r="D48" s="160"/>
      <c r="E48" s="711"/>
      <c r="F48" s="711"/>
      <c r="G48" s="714"/>
    </row>
    <row r="49" spans="2:7" ht="15.75">
      <c r="B49" s="158"/>
      <c r="C49" s="159"/>
      <c r="D49" s="160"/>
      <c r="E49" s="711"/>
      <c r="F49" s="711"/>
      <c r="G49" s="714"/>
    </row>
    <row r="50" spans="2:7" ht="15.75">
      <c r="B50" s="158"/>
      <c r="C50" s="159"/>
      <c r="D50" s="160"/>
      <c r="E50" s="711"/>
      <c r="F50" s="711"/>
      <c r="G50" s="714"/>
    </row>
    <row r="51" spans="2:7" ht="15.75">
      <c r="B51" s="158"/>
      <c r="C51" s="161"/>
      <c r="D51" s="160"/>
      <c r="E51" s="711"/>
      <c r="F51" s="711"/>
      <c r="G51" s="714"/>
    </row>
    <row r="52" spans="2:7" ht="15.75">
      <c r="B52" s="158"/>
      <c r="C52" s="162"/>
      <c r="D52" s="160"/>
      <c r="E52" s="711"/>
      <c r="F52" s="711"/>
      <c r="G52" s="714"/>
    </row>
    <row r="53" spans="2:7" ht="15.75">
      <c r="B53" s="158" t="str">
        <f>IF(inputPrYr!$B57&gt;"  ",(NonBudA!$A3),"  ")</f>
        <v>Non-Budgeted Funds-A</v>
      </c>
      <c r="C53" s="162"/>
      <c r="D53" s="160">
        <f>IF(NonBudA!F33&gt;0,NonBudA!F33,"  ")</f>
        <v>16</v>
      </c>
      <c r="E53" s="711"/>
      <c r="F53" s="711"/>
      <c r="G53" s="714"/>
    </row>
    <row r="54" spans="2:7" ht="15.75">
      <c r="B54" s="158" t="str">
        <f>IF(inputPrYr!$B63&gt;"  ",(NonBudB!$A3),"  ")</f>
        <v>Non-Budgeted Funds-B</v>
      </c>
      <c r="C54" s="162"/>
      <c r="D54" s="160">
        <f>IF(NonBudB!F33&gt;0,NonBudB!F33,"  ")</f>
        <v>17</v>
      </c>
      <c r="E54" s="711"/>
      <c r="F54" s="711"/>
      <c r="G54" s="714"/>
    </row>
    <row r="55" spans="2:7" ht="15.75">
      <c r="B55" s="158" t="str">
        <f>IF(inputPrYr!$B69&gt;"  ",(NonBudC!$A3),"  ")</f>
        <v>Non-Budgeted Funds-C</v>
      </c>
      <c r="C55" s="159"/>
      <c r="D55" s="160">
        <f>IF(NonBudC!F33&gt;0,NonBudC!F33,"  ")</f>
        <v>18</v>
      </c>
      <c r="E55" s="711"/>
      <c r="F55" s="711"/>
      <c r="G55" s="714"/>
    </row>
    <row r="56" spans="2:7" ht="16.5" thickBot="1">
      <c r="B56" s="158" t="str">
        <f>IF(inputPrYr!$B75&gt;"  ",(NonBudD!$A3),"  ")</f>
        <v>Non-Budgeted Funds-D</v>
      </c>
      <c r="C56" s="161"/>
      <c r="D56" s="160">
        <f>IF(NonBudD!F33&gt;0,NonBudD!F33,"  ")</f>
        <v>19</v>
      </c>
      <c r="E56" s="715"/>
      <c r="F56" s="715"/>
      <c r="G56" s="716"/>
    </row>
    <row r="57" spans="2:7" ht="15.75">
      <c r="B57" s="399" t="s">
        <v>764</v>
      </c>
      <c r="C57" s="92"/>
      <c r="D57" s="257" t="s">
        <v>93</v>
      </c>
      <c r="E57" s="717">
        <f>SUM(E20:E56)</f>
        <v>7297901.609999999</v>
      </c>
      <c r="F57" s="717">
        <f>SUM(F20:F56)</f>
        <v>581596.5499999999</v>
      </c>
      <c r="G57" s="718">
        <f>IF(SUM(G20:G56)=0,"",SUM(G20:G56))</f>
      </c>
    </row>
    <row r="58" spans="2:7" ht="15.75">
      <c r="B58" s="163" t="s">
        <v>330</v>
      </c>
      <c r="C58" s="164"/>
      <c r="D58" s="165"/>
      <c r="E58" s="166"/>
      <c r="F58" s="167" t="str">
        <f>IF(F57&gt;computation!J40,"Yes","No")</f>
        <v>Yes</v>
      </c>
      <c r="G58" s="426" t="s">
        <v>233</v>
      </c>
    </row>
    <row r="59" spans="2:7" ht="15.75">
      <c r="B59" s="149" t="s">
        <v>329</v>
      </c>
      <c r="C59" s="92"/>
      <c r="D59" s="150">
        <f>summ!D70</f>
        <v>20</v>
      </c>
      <c r="E59" s="46"/>
      <c r="F59" s="46"/>
      <c r="G59" s="524"/>
    </row>
    <row r="60" spans="2:7" ht="15.75">
      <c r="B60" s="149" t="s">
        <v>13</v>
      </c>
      <c r="C60" s="92"/>
      <c r="D60" s="150">
        <f>IF(nhood!C39&gt;0,nhood!C39,"")</f>
        <v>21</v>
      </c>
      <c r="E60" s="46"/>
      <c r="F60" s="46"/>
      <c r="G60" s="766" t="str">
        <f>CONCATENATE("Nov 1, ",I1-1," Total Assessed Valuation")</f>
        <v>Nov 1, 2013 Total Assessed Valuation</v>
      </c>
    </row>
    <row r="61" spans="2:7" ht="15.75">
      <c r="B61" s="106" t="s">
        <v>94</v>
      </c>
      <c r="C61" s="75"/>
      <c r="D61" s="75"/>
      <c r="E61" s="75"/>
      <c r="F61" s="75"/>
      <c r="G61" s="767"/>
    </row>
    <row r="62" spans="2:7" ht="15.75">
      <c r="B62" s="345"/>
      <c r="C62" s="75"/>
      <c r="D62" s="46"/>
      <c r="E62" s="287"/>
      <c r="F62" s="75"/>
      <c r="G62" s="75"/>
    </row>
    <row r="63" spans="2:7" ht="15.75">
      <c r="B63" s="346"/>
      <c r="C63" s="75"/>
      <c r="D63" s="76" t="s">
        <v>1170</v>
      </c>
      <c r="E63" s="287"/>
      <c r="F63" s="75"/>
      <c r="G63" s="75"/>
    </row>
    <row r="64" spans="2:7" ht="15.75">
      <c r="B64" s="106" t="s">
        <v>246</v>
      </c>
      <c r="C64" s="46"/>
      <c r="D64" s="74" t="s">
        <v>1169</v>
      </c>
      <c r="E64" s="287"/>
      <c r="F64" s="75"/>
      <c r="G64" s="75"/>
    </row>
    <row r="65" spans="2:7" ht="15.75">
      <c r="B65" s="345"/>
      <c r="C65" s="75"/>
      <c r="D65" s="75"/>
      <c r="E65" s="287"/>
      <c r="F65" s="287"/>
      <c r="G65" s="287"/>
    </row>
    <row r="66" spans="2:7" ht="15.75">
      <c r="B66" s="346"/>
      <c r="C66" s="168"/>
      <c r="D66" s="75"/>
      <c r="E66" s="75"/>
      <c r="F66" s="701"/>
      <c r="G66" s="701"/>
    </row>
    <row r="67" spans="2:7" ht="15.75">
      <c r="B67" s="75" t="s">
        <v>934</v>
      </c>
      <c r="C67" s="168"/>
      <c r="D67" s="75" t="s">
        <v>1170</v>
      </c>
      <c r="E67" s="75"/>
      <c r="F67" s="702"/>
      <c r="G67" s="702"/>
    </row>
    <row r="68" spans="2:7" ht="15.75">
      <c r="B68" s="346"/>
      <c r="C68" s="169"/>
      <c r="D68" s="75" t="s">
        <v>1171</v>
      </c>
      <c r="E68" s="75"/>
      <c r="F68" s="97"/>
      <c r="G68" s="97"/>
    </row>
    <row r="69" spans="2:7" ht="15.75">
      <c r="B69" s="554" t="s">
        <v>5</v>
      </c>
      <c r="C69" s="170">
        <f>I1-1</f>
        <v>2013</v>
      </c>
      <c r="D69" s="75"/>
      <c r="E69" s="75"/>
      <c r="F69" s="702"/>
      <c r="G69" s="702"/>
    </row>
    <row r="70" spans="2:7" ht="15.75">
      <c r="B70" s="287"/>
      <c r="C70" s="170"/>
      <c r="D70" s="75"/>
      <c r="E70" s="75"/>
      <c r="F70" s="137"/>
      <c r="G70" s="46"/>
    </row>
    <row r="71" spans="2:7" ht="15.75">
      <c r="B71" s="555"/>
      <c r="C71" s="46"/>
      <c r="D71" s="75" t="s">
        <v>1170</v>
      </c>
      <c r="E71" s="75"/>
      <c r="F71" s="75"/>
      <c r="G71" s="75"/>
    </row>
    <row r="72" spans="2:7" ht="15.75">
      <c r="B72" s="136" t="s">
        <v>95</v>
      </c>
      <c r="C72" s="46"/>
      <c r="D72" s="765" t="s">
        <v>1172</v>
      </c>
      <c r="E72" s="747"/>
      <c r="F72" s="747"/>
      <c r="G72" s="747"/>
    </row>
    <row r="73" ht="15.75">
      <c r="B73" s="32"/>
    </row>
    <row r="83" spans="2:7" ht="15">
      <c r="B83" s="105"/>
      <c r="C83" s="105"/>
      <c r="D83" s="105"/>
      <c r="E83" s="105"/>
      <c r="F83" s="105"/>
      <c r="G83" s="105"/>
    </row>
    <row r="84" spans="2:7" ht="15">
      <c r="B84" s="105"/>
      <c r="C84" s="105"/>
      <c r="D84" s="105"/>
      <c r="E84" s="105"/>
      <c r="F84" s="105"/>
      <c r="G84" s="105"/>
    </row>
    <row r="85" spans="2:7" ht="15">
      <c r="B85" s="105"/>
      <c r="C85" s="105"/>
      <c r="D85" s="105"/>
      <c r="E85" s="105"/>
      <c r="F85" s="105"/>
      <c r="G85" s="105"/>
    </row>
    <row r="86" spans="2:7" ht="15">
      <c r="B86" s="105"/>
      <c r="C86" s="105"/>
      <c r="D86" s="105"/>
      <c r="E86" s="105"/>
      <c r="F86" s="105"/>
      <c r="G86" s="105"/>
    </row>
    <row r="87" spans="2:7" ht="15">
      <c r="B87" s="105"/>
      <c r="C87" s="105"/>
      <c r="D87" s="105"/>
      <c r="E87" s="105"/>
      <c r="F87" s="105"/>
      <c r="G87" s="105"/>
    </row>
    <row r="88" spans="2:7" ht="15">
      <c r="B88" s="105"/>
      <c r="C88" s="105"/>
      <c r="D88" s="105"/>
      <c r="E88" s="105"/>
      <c r="F88" s="105"/>
      <c r="G88" s="105"/>
    </row>
    <row r="89" spans="2:7" ht="15">
      <c r="B89" s="105"/>
      <c r="C89" s="105"/>
      <c r="D89" s="105"/>
      <c r="E89" s="105"/>
      <c r="F89" s="105"/>
      <c r="G89" s="105"/>
    </row>
    <row r="90" spans="2:7" ht="15">
      <c r="B90" s="105"/>
      <c r="C90" s="105"/>
      <c r="D90" s="105"/>
      <c r="E90" s="105"/>
      <c r="F90" s="105"/>
      <c r="G90" s="105"/>
    </row>
    <row r="91" spans="2:7" ht="15">
      <c r="B91" s="105"/>
      <c r="C91" s="105"/>
      <c r="D91" s="105"/>
      <c r="E91" s="105"/>
      <c r="F91" s="105"/>
      <c r="G91" s="105"/>
    </row>
    <row r="92" spans="2:7" ht="15">
      <c r="B92" s="105"/>
      <c r="C92" s="105"/>
      <c r="D92" s="105"/>
      <c r="E92" s="105"/>
      <c r="F92" s="105"/>
      <c r="G92" s="105"/>
    </row>
    <row r="93" spans="2:7" ht="15">
      <c r="B93" s="105"/>
      <c r="C93" s="105"/>
      <c r="D93" s="105"/>
      <c r="E93" s="105"/>
      <c r="F93" s="105"/>
      <c r="G93" s="105"/>
    </row>
    <row r="94" spans="2:7" ht="15">
      <c r="B94" s="105"/>
      <c r="C94" s="105"/>
      <c r="D94" s="105"/>
      <c r="E94" s="105"/>
      <c r="F94" s="105"/>
      <c r="G94" s="105"/>
    </row>
    <row r="95" spans="2:7" ht="15">
      <c r="B95" s="105"/>
      <c r="C95" s="105"/>
      <c r="D95" s="105"/>
      <c r="E95" s="105"/>
      <c r="F95" s="105"/>
      <c r="G95" s="105"/>
    </row>
    <row r="96" spans="2:7" ht="15">
      <c r="B96" s="105"/>
      <c r="C96" s="105"/>
      <c r="D96" s="105"/>
      <c r="E96" s="105"/>
      <c r="F96" s="105"/>
      <c r="G96" s="105"/>
    </row>
    <row r="97" spans="2:7" ht="15">
      <c r="B97" s="105"/>
      <c r="C97" s="105"/>
      <c r="D97" s="105"/>
      <c r="E97" s="105"/>
      <c r="F97" s="105"/>
      <c r="G97" s="105"/>
    </row>
    <row r="98" spans="2:7" ht="15">
      <c r="B98" s="105"/>
      <c r="C98" s="105"/>
      <c r="D98" s="105"/>
      <c r="E98" s="105"/>
      <c r="F98" s="105"/>
      <c r="G98" s="105"/>
    </row>
    <row r="101" spans="2:7" ht="15.75">
      <c r="B101" s="32"/>
      <c r="C101" s="32"/>
      <c r="D101" s="32"/>
      <c r="E101" s="32"/>
      <c r="F101" s="32"/>
      <c r="G101" s="32"/>
    </row>
  </sheetData>
  <sheetProtection/>
  <mergeCells count="4">
    <mergeCell ref="B4:G4"/>
    <mergeCell ref="B2:G2"/>
    <mergeCell ref="D72:G72"/>
    <mergeCell ref="G60:G61"/>
  </mergeCells>
  <printOptions/>
  <pageMargins left="1" right="0.5" top="0.5" bottom="0.5" header="0.25" footer="0.25"/>
  <pageSetup blackAndWhite="1" fitToHeight="1" fitToWidth="1" horizontalDpi="120" verticalDpi="120" orientation="portrait" scale="63"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G11" sqref="G11"/>
    </sheetView>
  </sheetViews>
  <sheetFormatPr defaultColWidth="8.796875" defaultRowHeight="15.75" customHeight="1"/>
  <cols>
    <col min="1" max="2" width="3.296875" style="32" customWidth="1"/>
    <col min="3" max="3" width="31.296875" style="32" customWidth="1"/>
    <col min="4" max="4" width="2.296875" style="32" customWidth="1"/>
    <col min="5" max="5" width="15.796875" style="32" customWidth="1"/>
    <col min="6" max="6" width="2" style="32" customWidth="1"/>
    <col min="7" max="7" width="15.796875" style="32" customWidth="1"/>
    <col min="8" max="8" width="1.8984375" style="32" customWidth="1"/>
    <col min="9" max="9" width="1.796875" style="32" customWidth="1"/>
    <col min="10" max="10" width="15.796875" style="32" customWidth="1"/>
    <col min="11" max="16384" width="8.8984375" style="32" customWidth="1"/>
  </cols>
  <sheetData>
    <row r="1" spans="1:10" ht="15.75" customHeight="1">
      <c r="A1" s="172"/>
      <c r="B1" s="172"/>
      <c r="C1" s="173" t="str">
        <f>inputPrYr!D2</f>
        <v>City of Fredonia</v>
      </c>
      <c r="D1" s="172"/>
      <c r="E1" s="172"/>
      <c r="F1" s="172"/>
      <c r="G1" s="172"/>
      <c r="H1" s="172"/>
      <c r="I1" s="172"/>
      <c r="J1" s="172">
        <f>inputPrYr!C5</f>
        <v>2014</v>
      </c>
    </row>
    <row r="2" spans="1:10" ht="15.75" customHeight="1">
      <c r="A2" s="172"/>
      <c r="B2" s="172"/>
      <c r="C2" s="172"/>
      <c r="D2" s="172"/>
      <c r="E2" s="172"/>
      <c r="F2" s="172"/>
      <c r="G2" s="172"/>
      <c r="H2" s="172"/>
      <c r="I2" s="172"/>
      <c r="J2" s="172"/>
    </row>
    <row r="3" spans="1:10" ht="15.75">
      <c r="A3" s="769" t="str">
        <f>CONCATENATE("Computation to Determine Limit for ",J1,"")</f>
        <v>Computation to Determine Limit for 2014</v>
      </c>
      <c r="B3" s="770"/>
      <c r="C3" s="770"/>
      <c r="D3" s="770"/>
      <c r="E3" s="770"/>
      <c r="F3" s="770"/>
      <c r="G3" s="770"/>
      <c r="H3" s="770"/>
      <c r="I3" s="770"/>
      <c r="J3" s="770"/>
    </row>
    <row r="4" spans="1:10" ht="15.75">
      <c r="A4" s="172"/>
      <c r="B4" s="172"/>
      <c r="C4" s="172"/>
      <c r="D4" s="172"/>
      <c r="E4" s="770"/>
      <c r="F4" s="770"/>
      <c r="G4" s="770"/>
      <c r="H4" s="174"/>
      <c r="I4" s="172"/>
      <c r="J4" s="175" t="s">
        <v>177</v>
      </c>
    </row>
    <row r="5" spans="1:10" ht="15.75">
      <c r="A5" s="176" t="s">
        <v>178</v>
      </c>
      <c r="B5" s="172" t="str">
        <f>CONCATENATE("Total Tax Levy Amount in ",J1-1," Budget")</f>
        <v>Total Tax Levy Amount in 2013 Budget</v>
      </c>
      <c r="C5" s="172"/>
      <c r="D5" s="172"/>
      <c r="E5" s="177"/>
      <c r="F5" s="177"/>
      <c r="G5" s="177"/>
      <c r="H5" s="178" t="s">
        <v>179</v>
      </c>
      <c r="I5" s="177" t="s">
        <v>180</v>
      </c>
      <c r="J5" s="179">
        <f>inputPrYr!E31</f>
        <v>576734</v>
      </c>
    </row>
    <row r="6" spans="1:10" ht="15.75">
      <c r="A6" s="176" t="s">
        <v>181</v>
      </c>
      <c r="B6" s="172" t="str">
        <f>CONCATENATE("Debt Service Levy in ",J1-1," Budget")</f>
        <v>Debt Service Levy in 2013 Budget</v>
      </c>
      <c r="C6" s="172"/>
      <c r="D6" s="172"/>
      <c r="E6" s="177"/>
      <c r="F6" s="177"/>
      <c r="G6" s="177"/>
      <c r="H6" s="178" t="s">
        <v>182</v>
      </c>
      <c r="I6" s="177" t="s">
        <v>180</v>
      </c>
      <c r="J6" s="180">
        <f>inputPrYr!E18</f>
        <v>83173</v>
      </c>
    </row>
    <row r="7" spans="1:10" ht="15.75">
      <c r="A7" s="176" t="s">
        <v>209</v>
      </c>
      <c r="B7" s="181" t="s">
        <v>206</v>
      </c>
      <c r="C7" s="172"/>
      <c r="D7" s="172"/>
      <c r="E7" s="177"/>
      <c r="F7" s="177"/>
      <c r="G7" s="177"/>
      <c r="H7" s="177"/>
      <c r="I7" s="177" t="s">
        <v>180</v>
      </c>
      <c r="J7" s="182">
        <f>J5-J6</f>
        <v>493561</v>
      </c>
    </row>
    <row r="8" spans="1:10" ht="15.75">
      <c r="A8" s="172"/>
      <c r="B8" s="172"/>
      <c r="C8" s="172"/>
      <c r="D8" s="172"/>
      <c r="E8" s="177"/>
      <c r="F8" s="177"/>
      <c r="G8" s="177"/>
      <c r="H8" s="177"/>
      <c r="I8" s="177"/>
      <c r="J8" s="177"/>
    </row>
    <row r="9" spans="1:10" ht="15.75">
      <c r="A9" s="172"/>
      <c r="B9" s="181" t="str">
        <f>CONCATENATE("",J1-1," Valuation Information for Valuation Adjustments:")</f>
        <v>2013 Valuation Information for Valuation Adjustments:</v>
      </c>
      <c r="C9" s="172"/>
      <c r="D9" s="172"/>
      <c r="E9" s="177"/>
      <c r="F9" s="177"/>
      <c r="G9" s="177"/>
      <c r="H9" s="177"/>
      <c r="I9" s="177"/>
      <c r="J9" s="177"/>
    </row>
    <row r="10" spans="1:10" ht="15.75">
      <c r="A10" s="172"/>
      <c r="B10" s="172"/>
      <c r="C10" s="181"/>
      <c r="D10" s="172"/>
      <c r="E10" s="177"/>
      <c r="F10" s="177"/>
      <c r="G10" s="177"/>
      <c r="H10" s="177"/>
      <c r="I10" s="177"/>
      <c r="J10" s="177"/>
    </row>
    <row r="11" spans="1:10" ht="15.75">
      <c r="A11" s="176" t="s">
        <v>183</v>
      </c>
      <c r="B11" s="181" t="str">
        <f>CONCATENATE("New Improvements for ",J1-1,":")</f>
        <v>New Improvements for 2013:</v>
      </c>
      <c r="C11" s="172"/>
      <c r="D11" s="172"/>
      <c r="E11" s="178"/>
      <c r="F11" s="178" t="s">
        <v>179</v>
      </c>
      <c r="G11" s="183">
        <f>inputOth!E8</f>
        <v>26656</v>
      </c>
      <c r="H11" s="184"/>
      <c r="I11" s="177"/>
      <c r="J11" s="177"/>
    </row>
    <row r="12" spans="1:10" ht="15.75">
      <c r="A12" s="176"/>
      <c r="B12" s="185"/>
      <c r="C12" s="172"/>
      <c r="D12" s="172"/>
      <c r="E12" s="178"/>
      <c r="F12" s="178"/>
      <c r="G12" s="184"/>
      <c r="H12" s="184"/>
      <c r="I12" s="177"/>
      <c r="J12" s="177"/>
    </row>
    <row r="13" spans="1:10" ht="15.75">
      <c r="A13" s="176" t="s">
        <v>184</v>
      </c>
      <c r="B13" s="181" t="str">
        <f>CONCATENATE("Increase in Personal Property for ",J1-1,":")</f>
        <v>Increase in Personal Property for 2013:</v>
      </c>
      <c r="C13" s="172"/>
      <c r="D13" s="172"/>
      <c r="E13" s="178"/>
      <c r="F13" s="178"/>
      <c r="G13" s="184"/>
      <c r="H13" s="184"/>
      <c r="I13" s="177"/>
      <c r="J13" s="177"/>
    </row>
    <row r="14" spans="1:10" ht="15.75">
      <c r="A14" s="186"/>
      <c r="B14" s="172" t="s">
        <v>185</v>
      </c>
      <c r="C14" s="172" t="str">
        <f>CONCATENATE("Personal Property ",J1-1,"")</f>
        <v>Personal Property 2013</v>
      </c>
      <c r="D14" s="185" t="s">
        <v>179</v>
      </c>
      <c r="E14" s="183">
        <f>inputOth!E9</f>
        <v>545430</v>
      </c>
      <c r="F14" s="178"/>
      <c r="G14" s="177"/>
      <c r="H14" s="177"/>
      <c r="I14" s="184"/>
      <c r="J14" s="177"/>
    </row>
    <row r="15" spans="1:10" ht="15.75">
      <c r="A15" s="185"/>
      <c r="B15" s="172" t="s">
        <v>186</v>
      </c>
      <c r="C15" s="172" t="str">
        <f>CONCATENATE("Personal Property ",J1-2,"")</f>
        <v>Personal Property 2012</v>
      </c>
      <c r="D15" s="185" t="s">
        <v>182</v>
      </c>
      <c r="E15" s="187">
        <f>inputOth!E15</f>
        <v>545430</v>
      </c>
      <c r="F15" s="178"/>
      <c r="G15" s="184"/>
      <c r="H15" s="184"/>
      <c r="I15" s="177"/>
      <c r="J15" s="177"/>
    </row>
    <row r="16" spans="1:10" ht="15.75">
      <c r="A16" s="185"/>
      <c r="B16" s="172" t="s">
        <v>187</v>
      </c>
      <c r="C16" s="172" t="s">
        <v>208</v>
      </c>
      <c r="D16" s="172"/>
      <c r="E16" s="177"/>
      <c r="F16" s="177" t="s">
        <v>179</v>
      </c>
      <c r="G16" s="179">
        <f>IF(E14&gt;E15,E14-E15,0)</f>
        <v>0</v>
      </c>
      <c r="H16" s="184"/>
      <c r="I16" s="177"/>
      <c r="J16" s="177"/>
    </row>
    <row r="17" spans="1:10" ht="15.75">
      <c r="A17" s="185"/>
      <c r="B17" s="185"/>
      <c r="C17" s="172"/>
      <c r="D17" s="172"/>
      <c r="E17" s="177"/>
      <c r="F17" s="177"/>
      <c r="G17" s="184" t="s">
        <v>200</v>
      </c>
      <c r="H17" s="184"/>
      <c r="I17" s="177"/>
      <c r="J17" s="177"/>
    </row>
    <row r="18" spans="1:10" ht="15.75">
      <c r="A18" s="185" t="s">
        <v>188</v>
      </c>
      <c r="B18" s="181" t="str">
        <f>CONCATENATE("Valuation of annexed territory for ",J1-1,"")</f>
        <v>Valuation of annexed territory for 2013</v>
      </c>
      <c r="C18" s="172"/>
      <c r="D18" s="172"/>
      <c r="E18" s="184"/>
      <c r="F18" s="177"/>
      <c r="G18" s="177"/>
      <c r="H18" s="177"/>
      <c r="I18" s="177"/>
      <c r="J18" s="177"/>
    </row>
    <row r="19" spans="1:10" ht="15.75">
      <c r="A19" s="185"/>
      <c r="B19" s="172" t="s">
        <v>189</v>
      </c>
      <c r="C19" s="172" t="s">
        <v>210</v>
      </c>
      <c r="D19" s="185" t="s">
        <v>179</v>
      </c>
      <c r="E19" s="183">
        <f>inputOth!E11</f>
        <v>0</v>
      </c>
      <c r="F19" s="177"/>
      <c r="G19" s="177"/>
      <c r="H19" s="177"/>
      <c r="I19" s="177"/>
      <c r="J19" s="177"/>
    </row>
    <row r="20" spans="1:10" ht="15.75">
      <c r="A20" s="185"/>
      <c r="B20" s="172" t="s">
        <v>190</v>
      </c>
      <c r="C20" s="172" t="s">
        <v>211</v>
      </c>
      <c r="D20" s="185" t="s">
        <v>179</v>
      </c>
      <c r="E20" s="183">
        <f>inputOth!E12</f>
        <v>0</v>
      </c>
      <c r="F20" s="177"/>
      <c r="G20" s="184"/>
      <c r="H20" s="184"/>
      <c r="I20" s="177"/>
      <c r="J20" s="177"/>
    </row>
    <row r="21" spans="1:10" ht="15.75">
      <c r="A21" s="185"/>
      <c r="B21" s="172" t="s">
        <v>191</v>
      </c>
      <c r="C21" s="172" t="s">
        <v>207</v>
      </c>
      <c r="D21" s="185" t="s">
        <v>182</v>
      </c>
      <c r="E21" s="183">
        <f>inputOth!E13</f>
        <v>0</v>
      </c>
      <c r="F21" s="177"/>
      <c r="G21" s="184"/>
      <c r="H21" s="184"/>
      <c r="I21" s="177"/>
      <c r="J21" s="177"/>
    </row>
    <row r="22" spans="1:10" ht="15.75">
      <c r="A22" s="185"/>
      <c r="B22" s="172" t="s">
        <v>192</v>
      </c>
      <c r="C22" s="172" t="s">
        <v>212</v>
      </c>
      <c r="D22" s="185"/>
      <c r="E22" s="184"/>
      <c r="F22" s="177" t="s">
        <v>179</v>
      </c>
      <c r="G22" s="179">
        <f>E19+E20-E21</f>
        <v>0</v>
      </c>
      <c r="H22" s="184"/>
      <c r="I22" s="177"/>
      <c r="J22" s="177"/>
    </row>
    <row r="23" spans="1:10" ht="15.75">
      <c r="A23" s="185"/>
      <c r="B23" s="185"/>
      <c r="C23" s="172"/>
      <c r="D23" s="185"/>
      <c r="E23" s="184"/>
      <c r="F23" s="177"/>
      <c r="G23" s="184"/>
      <c r="H23" s="184"/>
      <c r="I23" s="177"/>
      <c r="J23" s="177"/>
    </row>
    <row r="24" spans="1:10" ht="15.75">
      <c r="A24" s="185" t="s">
        <v>193</v>
      </c>
      <c r="B24" s="181" t="str">
        <f>CONCATENATE("Valuation of Property that has Changed in Use during ",J1-1,"")</f>
        <v>Valuation of Property that has Changed in Use during 2013</v>
      </c>
      <c r="C24" s="172"/>
      <c r="D24" s="172"/>
      <c r="E24" s="177"/>
      <c r="F24" s="177"/>
      <c r="G24" s="96">
        <f>inputOth!E14</f>
        <v>9277</v>
      </c>
      <c r="H24" s="177"/>
      <c r="I24" s="177"/>
      <c r="J24" s="177"/>
    </row>
    <row r="25" spans="1:10" ht="15.75">
      <c r="A25" s="172" t="s">
        <v>81</v>
      </c>
      <c r="B25" s="172"/>
      <c r="C25" s="172"/>
      <c r="D25" s="185"/>
      <c r="E25" s="184"/>
      <c r="F25" s="177"/>
      <c r="G25" s="188"/>
      <c r="H25" s="184"/>
      <c r="I25" s="177"/>
      <c r="J25" s="177"/>
    </row>
    <row r="26" spans="1:10" ht="15.75">
      <c r="A26" s="185" t="s">
        <v>194</v>
      </c>
      <c r="B26" s="181" t="s">
        <v>213</v>
      </c>
      <c r="C26" s="172"/>
      <c r="D26" s="172"/>
      <c r="E26" s="177"/>
      <c r="F26" s="177"/>
      <c r="G26" s="179">
        <f>G11+G16+G22+G24</f>
        <v>35933</v>
      </c>
      <c r="H26" s="184"/>
      <c r="I26" s="177"/>
      <c r="J26" s="177"/>
    </row>
    <row r="27" spans="1:10" ht="15.75">
      <c r="A27" s="185"/>
      <c r="B27" s="185"/>
      <c r="C27" s="181"/>
      <c r="D27" s="172"/>
      <c r="E27" s="177"/>
      <c r="F27" s="177"/>
      <c r="G27" s="184"/>
      <c r="H27" s="184"/>
      <c r="I27" s="177"/>
      <c r="J27" s="177"/>
    </row>
    <row r="28" spans="1:10" ht="15.75">
      <c r="A28" s="185" t="s">
        <v>195</v>
      </c>
      <c r="B28" s="172" t="str">
        <f>CONCATENATE("Total Estimated Valuation July 1,",J1-1,"")</f>
        <v>Total Estimated Valuation July 1,2013</v>
      </c>
      <c r="C28" s="172"/>
      <c r="D28" s="172"/>
      <c r="E28" s="179">
        <f>inputOth!E7</f>
        <v>10906025</v>
      </c>
      <c r="F28" s="177"/>
      <c r="G28" s="177"/>
      <c r="H28" s="177"/>
      <c r="I28" s="178"/>
      <c r="J28" s="177"/>
    </row>
    <row r="29" spans="1:10" ht="15.75">
      <c r="A29" s="185"/>
      <c r="B29" s="185"/>
      <c r="C29" s="172"/>
      <c r="D29" s="172"/>
      <c r="E29" s="184"/>
      <c r="F29" s="177"/>
      <c r="G29" s="177"/>
      <c r="H29" s="177"/>
      <c r="I29" s="178"/>
      <c r="J29" s="177"/>
    </row>
    <row r="30" spans="1:10" ht="15.75">
      <c r="A30" s="185" t="s">
        <v>196</v>
      </c>
      <c r="B30" s="181" t="s">
        <v>214</v>
      </c>
      <c r="C30" s="172"/>
      <c r="D30" s="172"/>
      <c r="E30" s="177"/>
      <c r="F30" s="177"/>
      <c r="G30" s="179">
        <f>E28-G26</f>
        <v>10870092</v>
      </c>
      <c r="H30" s="184"/>
      <c r="I30" s="178"/>
      <c r="J30" s="177"/>
    </row>
    <row r="31" spans="1:10" ht="15.75">
      <c r="A31" s="185"/>
      <c r="B31" s="185"/>
      <c r="C31" s="181"/>
      <c r="D31" s="172"/>
      <c r="E31" s="172"/>
      <c r="F31" s="172"/>
      <c r="G31" s="189"/>
      <c r="H31" s="190"/>
      <c r="I31" s="185"/>
      <c r="J31" s="172"/>
    </row>
    <row r="32" spans="1:10" ht="15.75">
      <c r="A32" s="185" t="s">
        <v>197</v>
      </c>
      <c r="B32" s="172" t="s">
        <v>215</v>
      </c>
      <c r="C32" s="172"/>
      <c r="D32" s="172"/>
      <c r="E32" s="172"/>
      <c r="F32" s="172"/>
      <c r="G32" s="191">
        <f>IF(G30&gt;0,G26/G30,0)</f>
        <v>0.0033056757937283327</v>
      </c>
      <c r="H32" s="190"/>
      <c r="I32" s="172"/>
      <c r="J32" s="172"/>
    </row>
    <row r="33" spans="1:10" ht="15.75">
      <c r="A33" s="185"/>
      <c r="B33" s="185"/>
      <c r="C33" s="172"/>
      <c r="D33" s="172"/>
      <c r="E33" s="172"/>
      <c r="F33" s="172"/>
      <c r="G33" s="190"/>
      <c r="H33" s="190"/>
      <c r="I33" s="172"/>
      <c r="J33" s="172"/>
    </row>
    <row r="34" spans="1:10" ht="15.75">
      <c r="A34" s="185" t="s">
        <v>198</v>
      </c>
      <c r="B34" s="172" t="s">
        <v>216</v>
      </c>
      <c r="C34" s="172"/>
      <c r="D34" s="172"/>
      <c r="E34" s="172"/>
      <c r="F34" s="172"/>
      <c r="G34" s="190"/>
      <c r="H34" s="192" t="s">
        <v>179</v>
      </c>
      <c r="I34" s="172" t="s">
        <v>180</v>
      </c>
      <c r="J34" s="179">
        <f>ROUND(G32*J7,0)</f>
        <v>1632</v>
      </c>
    </row>
    <row r="35" spans="1:10" ht="15.75">
      <c r="A35" s="185"/>
      <c r="B35" s="185"/>
      <c r="C35" s="172"/>
      <c r="D35" s="172"/>
      <c r="E35" s="172"/>
      <c r="F35" s="172"/>
      <c r="G35" s="190"/>
      <c r="H35" s="192"/>
      <c r="I35" s="172"/>
      <c r="J35" s="184"/>
    </row>
    <row r="36" spans="1:10" ht="16.5" thickBot="1">
      <c r="A36" s="185" t="s">
        <v>199</v>
      </c>
      <c r="B36" s="181" t="s">
        <v>222</v>
      </c>
      <c r="C36" s="172"/>
      <c r="D36" s="172"/>
      <c r="E36" s="172"/>
      <c r="F36" s="172"/>
      <c r="G36" s="172"/>
      <c r="H36" s="172"/>
      <c r="I36" s="172" t="s">
        <v>180</v>
      </c>
      <c r="J36" s="193">
        <f>J7+J34</f>
        <v>495193</v>
      </c>
    </row>
    <row r="37" spans="1:10" ht="16.5" thickTop="1">
      <c r="A37" s="172"/>
      <c r="B37" s="172"/>
      <c r="C37" s="172"/>
      <c r="D37" s="172"/>
      <c r="E37" s="172"/>
      <c r="F37" s="172"/>
      <c r="G37" s="172"/>
      <c r="H37" s="172"/>
      <c r="I37" s="172"/>
      <c r="J37" s="172"/>
    </row>
    <row r="38" spans="1:10" ht="15.75">
      <c r="A38" s="185" t="s">
        <v>220</v>
      </c>
      <c r="B38" s="181" t="str">
        <f>CONCATENATE("Debt Service in this ",J1," Budget")</f>
        <v>Debt Service in this 2014 Budget</v>
      </c>
      <c r="C38" s="172"/>
      <c r="D38" s="172"/>
      <c r="E38" s="172"/>
      <c r="F38" s="172"/>
      <c r="G38" s="172"/>
      <c r="H38" s="172"/>
      <c r="I38" s="172"/>
      <c r="J38" s="194">
        <f>'DebtSvs-library'!E42</f>
        <v>83984</v>
      </c>
    </row>
    <row r="39" spans="1:10" ht="15.75">
      <c r="A39" s="185"/>
      <c r="B39" s="181"/>
      <c r="C39" s="172"/>
      <c r="D39" s="172"/>
      <c r="E39" s="172"/>
      <c r="F39" s="172"/>
      <c r="G39" s="172"/>
      <c r="H39" s="172"/>
      <c r="I39" s="172"/>
      <c r="J39" s="190"/>
    </row>
    <row r="40" spans="1:10" ht="16.5" thickBot="1">
      <c r="A40" s="185" t="s">
        <v>221</v>
      </c>
      <c r="B40" s="181" t="s">
        <v>223</v>
      </c>
      <c r="C40" s="172"/>
      <c r="D40" s="172"/>
      <c r="E40" s="172"/>
      <c r="F40" s="172"/>
      <c r="G40" s="172"/>
      <c r="H40" s="172"/>
      <c r="I40" s="172"/>
      <c r="J40" s="193">
        <f>J36+J38</f>
        <v>579177</v>
      </c>
    </row>
    <row r="41" spans="1:10" ht="16.5" thickTop="1">
      <c r="A41" s="172"/>
      <c r="B41" s="172"/>
      <c r="C41" s="172"/>
      <c r="D41" s="172"/>
      <c r="E41" s="172"/>
      <c r="F41" s="172"/>
      <c r="G41" s="172"/>
      <c r="H41" s="172"/>
      <c r="I41" s="172"/>
      <c r="J41" s="172"/>
    </row>
    <row r="42" spans="1:10" s="195" customFormat="1" ht="18.75">
      <c r="A42" s="768" t="str">
        <f>CONCATENATE("If the ",J1," budget includes tax levies exceeding the total on line 15, you must")</f>
        <v>If the 2014 budget includes tax levies exceeding the total on line 15, you must</v>
      </c>
      <c r="B42" s="768"/>
      <c r="C42" s="768"/>
      <c r="D42" s="768"/>
      <c r="E42" s="768"/>
      <c r="F42" s="768"/>
      <c r="G42" s="768"/>
      <c r="H42" s="768"/>
      <c r="I42" s="768"/>
      <c r="J42" s="768"/>
    </row>
    <row r="43" spans="1:10" s="195" customFormat="1" ht="18.75">
      <c r="A43" s="768" t="s">
        <v>290</v>
      </c>
      <c r="B43" s="768"/>
      <c r="C43" s="768"/>
      <c r="D43" s="768"/>
      <c r="E43" s="768"/>
      <c r="F43" s="768"/>
      <c r="G43" s="768"/>
      <c r="H43" s="768"/>
      <c r="I43" s="768"/>
      <c r="J43" s="768"/>
    </row>
    <row r="44" spans="1:10" s="195" customFormat="1" ht="18.75">
      <c r="A44" s="768" t="s">
        <v>291</v>
      </c>
      <c r="B44" s="768"/>
      <c r="C44" s="768"/>
      <c r="D44" s="768"/>
      <c r="E44" s="768"/>
      <c r="F44" s="768"/>
      <c r="G44" s="768"/>
      <c r="H44" s="768"/>
      <c r="I44" s="768"/>
      <c r="J44" s="768"/>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C7" sqref="C7"/>
    </sheetView>
  </sheetViews>
  <sheetFormatPr defaultColWidth="8.796875" defaultRowHeight="15"/>
  <cols>
    <col min="1" max="1" width="8.8984375" style="44" customWidth="1"/>
    <col min="2" max="2" width="17.8984375" style="44" customWidth="1"/>
    <col min="3" max="3" width="16.09765625" style="44" customWidth="1"/>
    <col min="4" max="6" width="12.796875" style="44" customWidth="1"/>
    <col min="7" max="7" width="10.19921875" style="44" customWidth="1"/>
    <col min="8" max="16384" width="8.8984375" style="44" customWidth="1"/>
  </cols>
  <sheetData>
    <row r="1" spans="1:7" ht="15.75">
      <c r="A1" s="700"/>
      <c r="B1" s="196" t="str">
        <f>inputPrYr!D2</f>
        <v>City of Fredonia</v>
      </c>
      <c r="C1" s="196"/>
      <c r="D1" s="46"/>
      <c r="E1" s="46"/>
      <c r="F1" s="46"/>
      <c r="G1" s="46">
        <f>inputPrYr!C5</f>
        <v>2014</v>
      </c>
    </row>
    <row r="2" spans="1:7" ht="15.75">
      <c r="A2" s="700"/>
      <c r="B2" s="46"/>
      <c r="C2" s="46"/>
      <c r="D2" s="46"/>
      <c r="E2" s="46"/>
      <c r="F2" s="46"/>
      <c r="G2" s="46"/>
    </row>
    <row r="3" spans="1:7" ht="15.75">
      <c r="A3" s="700"/>
      <c r="B3" s="771" t="s">
        <v>8</v>
      </c>
      <c r="C3" s="771"/>
      <c r="D3" s="771"/>
      <c r="E3" s="771"/>
      <c r="F3" s="771"/>
      <c r="G3" s="46"/>
    </row>
    <row r="4" spans="1:7" ht="15.75">
      <c r="A4" s="700"/>
      <c r="B4" s="46"/>
      <c r="C4" s="197"/>
      <c r="D4" s="197"/>
      <c r="E4" s="197"/>
      <c r="F4" s="46"/>
      <c r="G4" s="75"/>
    </row>
    <row r="5" spans="1:8" ht="21" customHeight="1">
      <c r="A5" s="700"/>
      <c r="B5" s="198" t="s">
        <v>289</v>
      </c>
      <c r="C5" s="143" t="s">
        <v>936</v>
      </c>
      <c r="D5" s="772" t="str">
        <f>CONCATENATE("Allocation for Year ",G1,"")</f>
        <v>Allocation for Year 2014</v>
      </c>
      <c r="E5" s="773"/>
      <c r="F5" s="774"/>
      <c r="G5" s="46"/>
      <c r="H5" s="619"/>
    </row>
    <row r="6" spans="1:7" ht="15.75">
      <c r="A6" s="700"/>
      <c r="B6" s="199" t="str">
        <f>CONCATENATE("for ",G1-1,"")</f>
        <v>for 2013</v>
      </c>
      <c r="C6" s="199" t="str">
        <f>CONCATENATE("Amount for ",G1-2,"")</f>
        <v>Amount for 2012</v>
      </c>
      <c r="D6" s="147" t="s">
        <v>173</v>
      </c>
      <c r="E6" s="147" t="s">
        <v>174</v>
      </c>
      <c r="F6" s="147" t="s">
        <v>172</v>
      </c>
      <c r="G6" s="699"/>
    </row>
    <row r="7" spans="1:7" ht="15.75">
      <c r="A7" s="700"/>
      <c r="B7" s="86" t="str">
        <f>(inputPrYr!B17)</f>
        <v>General</v>
      </c>
      <c r="C7" s="150">
        <f>(inputPrYr!E17)</f>
        <v>382669</v>
      </c>
      <c r="D7" s="150">
        <f>IF(inputPrYr!E17=0,0,D22-SUM(D8:D19))</f>
        <v>63383.81</v>
      </c>
      <c r="E7" s="150">
        <f>IF(inputPrYr!E17=0,0,E23-SUM(E8:E19))</f>
        <v>766.21</v>
      </c>
      <c r="F7" s="150">
        <f>IF(inputPrYr!E17=0,0,F24-SUM(F8:F19))</f>
        <v>1380.04</v>
      </c>
      <c r="G7" s="700"/>
    </row>
    <row r="8" spans="1:7" ht="15.75">
      <c r="A8" s="700"/>
      <c r="B8" s="86" t="str">
        <f>IF(inputPrYr!$B18&gt;"  ",(inputPrYr!$B18),"  ")</f>
        <v>Bond &amp; Interest</v>
      </c>
      <c r="C8" s="150">
        <f>IF(inputPrYr!$E18&gt;0,(inputPrYr!$E18),"  ")</f>
        <v>83173</v>
      </c>
      <c r="D8" s="150">
        <f>IF(inputPrYr!E18&gt;0,ROUND(C8*$D$26,0),"  ")</f>
        <v>13776</v>
      </c>
      <c r="E8" s="150">
        <f>IF(inputPrYr!E18&gt;0,ROUND(+C8*E$27,0)," ")</f>
        <v>166</v>
      </c>
      <c r="F8" s="150">
        <f>IF(inputPrYr!E18&gt;0,ROUND(C8*F$28,0)," ")</f>
        <v>300</v>
      </c>
      <c r="G8" s="700"/>
    </row>
    <row r="9" spans="1:7" ht="15.75">
      <c r="A9" s="700"/>
      <c r="B9" s="86" t="str">
        <f>IF(inputPrYr!$B19&gt;"  ",(inputPrYr!$B19),"  ")</f>
        <v>Library</v>
      </c>
      <c r="C9" s="150">
        <f>IF(inputPrYr!$E19&gt;0,(inputPrYr!$E19),"  ")</f>
        <v>72776</v>
      </c>
      <c r="D9" s="150">
        <f>IF(inputPrYr!E19&gt;0,ROUND(C9*$D$26,0),"  ")</f>
        <v>12054</v>
      </c>
      <c r="E9" s="150">
        <f>IF(inputPrYr!E19&gt;0,ROUND(+C9*E$27,0)," ")</f>
        <v>146</v>
      </c>
      <c r="F9" s="150">
        <f>IF(inputPrYr!E19&gt;0,ROUND(+C9*F$28,0)," ")</f>
        <v>262</v>
      </c>
      <c r="G9" s="700"/>
    </row>
    <row r="10" spans="1:7" ht="15.75">
      <c r="A10" s="700"/>
      <c r="B10" s="86" t="str">
        <f>IF(inputPrYr!$B21&gt;"  ",(inputPrYr!$B21),"  ")</f>
        <v>Industrial Development</v>
      </c>
      <c r="C10" s="150">
        <f>IF(inputPrYr!$E21&gt;0,(inputPrYr!$E21),"  ")</f>
        <v>38116</v>
      </c>
      <c r="D10" s="150">
        <f>IF(inputPrYr!E21&gt;0,ROUND(C10*$D$26,0),"  ")</f>
        <v>6313</v>
      </c>
      <c r="E10" s="150">
        <f>IF(inputPrYr!E21&gt;0,ROUND(+C10*E$27,0)," ")</f>
        <v>76</v>
      </c>
      <c r="F10" s="150">
        <f>IF(inputPrYr!E21&gt;0,ROUND(+C10*F$28,0)," ")</f>
        <v>137</v>
      </c>
      <c r="G10" s="700"/>
    </row>
    <row r="11" spans="1:7" ht="15.75">
      <c r="A11" s="700"/>
      <c r="B11" s="86" t="str">
        <f>IF(inputPrYr!$B22&gt;"  ",(inputPrYr!$B22),"  ")</f>
        <v>  </v>
      </c>
      <c r="C11" s="150" t="str">
        <f>IF(inputPrYr!$E22&gt;0,(inputPrYr!$E22),"  ")</f>
        <v>  </v>
      </c>
      <c r="D11" s="150" t="str">
        <f>IF(inputPrYr!E22&gt;0,ROUND(C11*$D$26,0),"  ")</f>
        <v>  </v>
      </c>
      <c r="E11" s="150" t="str">
        <f>IF(inputPrYr!E22&gt;0,ROUND(+C11*E$27,0)," ")</f>
        <v> </v>
      </c>
      <c r="F11" s="150" t="str">
        <f>IF(inputPrYr!E22&gt;0,ROUND(+C11*F$28,0)," ")</f>
        <v> </v>
      </c>
      <c r="G11" s="700"/>
    </row>
    <row r="12" spans="1:7" ht="15.75">
      <c r="A12" s="700"/>
      <c r="B12" s="86" t="str">
        <f>IF(inputPrYr!$B23&gt;"  ",(inputPrYr!$B23),"  ")</f>
        <v>  </v>
      </c>
      <c r="C12" s="150" t="str">
        <f>IF(inputPrYr!$E23&gt;0,(inputPrYr!$E23),"  ")</f>
        <v>  </v>
      </c>
      <c r="D12" s="150" t="str">
        <f>IF(inputPrYr!E23&gt;0,ROUND(C12*$D$26,0),"  ")</f>
        <v>  </v>
      </c>
      <c r="E12" s="150" t="str">
        <f>IF(inputPrYr!E23&gt;0,ROUND(+C12*E$27,0)," ")</f>
        <v> </v>
      </c>
      <c r="F12" s="150" t="str">
        <f>IF(inputPrYr!E23&gt;0,ROUND(+C12*F$28,0)," ")</f>
        <v> </v>
      </c>
      <c r="G12" s="700"/>
    </row>
    <row r="13" spans="1:7" ht="15.75">
      <c r="A13" s="700"/>
      <c r="B13" s="86" t="str">
        <f>IF(inputPrYr!$B24&gt;"  ",(inputPrYr!$B24),"  ")</f>
        <v>  </v>
      </c>
      <c r="C13" s="150" t="str">
        <f>IF(inputPrYr!$E24&gt;0,(inputPrYr!$E24),"  ")</f>
        <v>  </v>
      </c>
      <c r="D13" s="150" t="str">
        <f>IF(inputPrYr!E24&gt;0,ROUND(C13*$D$26,0),"  ")</f>
        <v>  </v>
      </c>
      <c r="E13" s="150" t="str">
        <f>IF(inputPrYr!E24&gt;0,ROUND(+C13*E$27,0)," ")</f>
        <v> </v>
      </c>
      <c r="F13" s="150" t="str">
        <f>IF(inputPrYr!E24&gt;0,ROUND(+C13*F$28,0)," ")</f>
        <v> </v>
      </c>
      <c r="G13" s="700"/>
    </row>
    <row r="14" spans="1:7" ht="15.75">
      <c r="A14" s="700"/>
      <c r="B14" s="86" t="str">
        <f>IF(inputPrYr!$B25&gt;"  ",(inputPrYr!$B25),"  ")</f>
        <v>  </v>
      </c>
      <c r="C14" s="150" t="str">
        <f>IF(inputPrYr!$E25&gt;0,(inputPrYr!$E25),"  ")</f>
        <v>  </v>
      </c>
      <c r="D14" s="150" t="str">
        <f>IF(inputPrYr!E25&gt;0,ROUND(C14*$D$26,0),"  ")</f>
        <v>  </v>
      </c>
      <c r="E14" s="150" t="str">
        <f>IF(inputPrYr!E25&gt;0,ROUND(+C14*E$27,0)," ")</f>
        <v> </v>
      </c>
      <c r="F14" s="150" t="str">
        <f>IF(inputPrYr!E25&gt;0,ROUND(+C14*F$28,0)," ")</f>
        <v> </v>
      </c>
      <c r="G14" s="700"/>
    </row>
    <row r="15" spans="1:7" ht="15.75">
      <c r="A15" s="700"/>
      <c r="B15" s="86" t="str">
        <f>IF(inputPrYr!$B26&gt;"  ",(inputPrYr!$B26),"  ")</f>
        <v>  </v>
      </c>
      <c r="C15" s="150" t="str">
        <f>IF(inputPrYr!$E26&gt;0,(inputPrYr!$E26),"  ")</f>
        <v>  </v>
      </c>
      <c r="D15" s="150" t="str">
        <f>IF(inputPrYr!E26&gt;0,ROUND(C15*$D$26,0),"  ")</f>
        <v>  </v>
      </c>
      <c r="E15" s="150" t="str">
        <f>IF(inputPrYr!E26&gt;0,ROUND(+C15*E$27,0)," ")</f>
        <v> </v>
      </c>
      <c r="F15" s="150" t="str">
        <f>IF(inputPrYr!E26&gt;0,ROUND(+C15*F$28,0)," ")</f>
        <v> </v>
      </c>
      <c r="G15" s="700"/>
    </row>
    <row r="16" spans="1:7" ht="15.75">
      <c r="A16" s="700"/>
      <c r="B16" s="86" t="str">
        <f>IF(inputPrYr!$B27&gt;"  ",(inputPrYr!$B27),"  ")</f>
        <v>  </v>
      </c>
      <c r="C16" s="150" t="str">
        <f>IF(inputPrYr!$E27&gt;0,(inputPrYr!$E27),"  ")</f>
        <v>  </v>
      </c>
      <c r="D16" s="150" t="str">
        <f>IF(inputPrYr!E27&gt;0,ROUND(C16*$D$26,0),"  ")</f>
        <v>  </v>
      </c>
      <c r="E16" s="150" t="str">
        <f>IF(inputPrYr!E27&gt;0,ROUND(+C16*E$27,0)," ")</f>
        <v> </v>
      </c>
      <c r="F16" s="150" t="str">
        <f>IF(inputPrYr!E27&gt;0,ROUND(+C16*F$28,0)," ")</f>
        <v> </v>
      </c>
      <c r="G16" s="700"/>
    </row>
    <row r="17" spans="1:7" ht="15.75">
      <c r="A17" s="700"/>
      <c r="B17" s="86" t="str">
        <f>IF(inputPrYr!$B28&gt;"  ",(inputPrYr!$B28),"  ")</f>
        <v>  </v>
      </c>
      <c r="C17" s="150" t="str">
        <f>IF(inputPrYr!$E28&gt;0,(inputPrYr!$E28),"  ")</f>
        <v>  </v>
      </c>
      <c r="D17" s="150" t="str">
        <f>IF(inputPrYr!E28&gt;0,ROUND(C17*$D$26,0),"  ")</f>
        <v>  </v>
      </c>
      <c r="E17" s="150" t="str">
        <f>IF(inputPrYr!E28&gt;0,ROUND(+C17*E$27,0)," ")</f>
        <v> </v>
      </c>
      <c r="F17" s="150" t="str">
        <f>IF(inputPrYr!E28&gt;0,ROUND(+C17*F$28,0)," ")</f>
        <v> </v>
      </c>
      <c r="G17" s="700"/>
    </row>
    <row r="18" spans="1:7" ht="15.75">
      <c r="A18" s="700"/>
      <c r="B18" s="86" t="str">
        <f>IF(inputPrYr!$B29&gt;"  ",(inputPrYr!$B29),"  ")</f>
        <v>  </v>
      </c>
      <c r="C18" s="150" t="str">
        <f>IF(inputPrYr!$E29&gt;0,(inputPrYr!$E29),"  ")</f>
        <v>  </v>
      </c>
      <c r="D18" s="150" t="str">
        <f>IF(inputPrYr!E29&gt;0,ROUND(C18*$D$26,0),"  ")</f>
        <v>  </v>
      </c>
      <c r="E18" s="150" t="str">
        <f>IF(inputPrYr!E29&gt;0,ROUND(+C18*E$27,0)," ")</f>
        <v> </v>
      </c>
      <c r="F18" s="150" t="str">
        <f>IF(inputPrYr!E29&gt;0,ROUND(+C18*F$28,0)," ")</f>
        <v> </v>
      </c>
      <c r="G18" s="700"/>
    </row>
    <row r="19" spans="1:7" ht="15.75">
      <c r="A19" s="700"/>
      <c r="B19" s="86" t="str">
        <f>IF(inputPrYr!B30&gt;"  ",(inputPrYr!B30),"  ")</f>
        <v>  </v>
      </c>
      <c r="C19" s="150" t="str">
        <f>IF(inputPrYr!E30&gt;0,(inputPrYr!E30),"  ")</f>
        <v>  </v>
      </c>
      <c r="D19" s="150" t="str">
        <f>IF(inputPrYr!E30&gt;0,ROUND(C19*$D$26,0),"  ")</f>
        <v>  </v>
      </c>
      <c r="E19" s="150" t="str">
        <f>IF(inputPrYr!E30&gt;0,ROUND(+C19*E$27,0)," ")</f>
        <v> </v>
      </c>
      <c r="F19" s="150" t="str">
        <f>IF(inputPrYr!E30&gt;0,ROUND(+C19*F$28,0)," ")</f>
        <v> </v>
      </c>
      <c r="G19" s="700"/>
    </row>
    <row r="20" spans="1:7" ht="15.75">
      <c r="A20" s="700"/>
      <c r="B20" s="46" t="s">
        <v>98</v>
      </c>
      <c r="C20" s="157">
        <f>SUM(C7:C19)</f>
        <v>576734</v>
      </c>
      <c r="D20" s="157">
        <f>SUM(D7:D19)</f>
        <v>95526.81</v>
      </c>
      <c r="E20" s="157">
        <f>SUM(E7:E19)</f>
        <v>1154.21</v>
      </c>
      <c r="F20" s="157">
        <f>SUM(F7:F19)</f>
        <v>2079.04</v>
      </c>
      <c r="G20" s="46"/>
    </row>
    <row r="21" spans="1:7" ht="15.75">
      <c r="A21" s="700"/>
      <c r="B21" s="46"/>
      <c r="C21" s="76"/>
      <c r="D21" s="76"/>
      <c r="E21" s="76"/>
      <c r="F21" s="76"/>
      <c r="G21" s="46"/>
    </row>
    <row r="22" spans="1:7" ht="15.75">
      <c r="A22" s="700"/>
      <c r="B22" s="51" t="s">
        <v>99</v>
      </c>
      <c r="C22" s="200"/>
      <c r="D22" s="201">
        <f>(inputOth!E39)</f>
        <v>95526.81</v>
      </c>
      <c r="E22" s="200"/>
      <c r="F22" s="46"/>
      <c r="G22" s="46"/>
    </row>
    <row r="23" spans="1:7" ht="15.75">
      <c r="A23" s="700"/>
      <c r="B23" s="51" t="s">
        <v>100</v>
      </c>
      <c r="C23" s="46"/>
      <c r="D23" s="46"/>
      <c r="E23" s="201">
        <f>(inputOth!E40)</f>
        <v>1154.21</v>
      </c>
      <c r="F23" s="46"/>
      <c r="G23" s="46"/>
    </row>
    <row r="24" spans="1:7" ht="15.75">
      <c r="A24" s="700"/>
      <c r="B24" s="51" t="s">
        <v>175</v>
      </c>
      <c r="C24" s="46"/>
      <c r="D24" s="46"/>
      <c r="E24" s="46"/>
      <c r="F24" s="201">
        <f>inputOth!E41</f>
        <v>2079.04</v>
      </c>
      <c r="G24" s="46"/>
    </row>
    <row r="25" spans="1:7" ht="15.75">
      <c r="A25" s="700"/>
      <c r="B25" s="51"/>
      <c r="C25" s="46"/>
      <c r="D25" s="46"/>
      <c r="E25" s="46"/>
      <c r="F25" s="76"/>
      <c r="G25" s="375"/>
    </row>
    <row r="26" spans="1:7" ht="15.75">
      <c r="A26" s="700"/>
      <c r="B26" s="51" t="s">
        <v>101</v>
      </c>
      <c r="C26" s="46"/>
      <c r="D26" s="202">
        <f>IF(C20=0,0,D22/C20)</f>
        <v>0.16563408781171216</v>
      </c>
      <c r="E26" s="46"/>
      <c r="F26" s="46"/>
      <c r="G26" s="46"/>
    </row>
    <row r="27" spans="1:7" ht="15.75">
      <c r="A27" s="700"/>
      <c r="B27" s="46"/>
      <c r="C27" s="51" t="s">
        <v>102</v>
      </c>
      <c r="D27" s="46"/>
      <c r="E27" s="202">
        <f>IF(C20=0,0,E23/C20)</f>
        <v>0.002001286554980286</v>
      </c>
      <c r="F27" s="46"/>
      <c r="G27" s="46"/>
    </row>
    <row r="28" spans="1:7" ht="15.75">
      <c r="A28" s="700"/>
      <c r="B28" s="46"/>
      <c r="C28" s="46"/>
      <c r="D28" s="51" t="s">
        <v>176</v>
      </c>
      <c r="E28" s="46"/>
      <c r="F28" s="202">
        <f>IF(C20=0,0,F24/C20)</f>
        <v>0.00360485076309009</v>
      </c>
      <c r="G28" s="46"/>
    </row>
    <row r="29" spans="1:7" ht="15.75">
      <c r="A29" s="700"/>
      <c r="B29" s="46"/>
      <c r="C29" s="46"/>
      <c r="D29" s="46"/>
      <c r="E29" s="46"/>
      <c r="F29" s="46"/>
      <c r="G29" s="46"/>
    </row>
    <row r="30" spans="1:7" ht="15.75">
      <c r="A30" s="700"/>
      <c r="B30" s="67"/>
      <c r="C30" s="67"/>
      <c r="D30" s="67"/>
      <c r="E30" s="67"/>
      <c r="F30" s="67"/>
      <c r="G30" s="67"/>
    </row>
  </sheetData>
  <sheetProtection sheet="1"/>
  <mergeCells count="2">
    <mergeCell ref="B3:F3"/>
    <mergeCell ref="D5:F5"/>
  </mergeCells>
  <printOptions/>
  <pageMargins left="0.5" right="0.5" top="1" bottom="0.5" header="0.5" footer="0.5"/>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G31"/>
  <sheetViews>
    <sheetView zoomScalePageLayoutView="0" workbookViewId="0" topLeftCell="A1">
      <selection activeCell="F13" sqref="F13"/>
    </sheetView>
  </sheetViews>
  <sheetFormatPr defaultColWidth="8.796875" defaultRowHeight="15"/>
  <cols>
    <col min="1" max="1" width="4.19921875" style="32" customWidth="1"/>
    <col min="2" max="3" width="17.796875" style="32" customWidth="1"/>
    <col min="4" max="7" width="12.796875" style="32" customWidth="1"/>
    <col min="8" max="16384" width="8.8984375" style="32" customWidth="1"/>
  </cols>
  <sheetData>
    <row r="1" spans="2:7" ht="15.75">
      <c r="B1" s="173" t="str">
        <f>inputPrYr!D2</f>
        <v>City of Fredonia</v>
      </c>
      <c r="C1" s="173"/>
      <c r="D1" s="172"/>
      <c r="E1" s="172"/>
      <c r="F1" s="172"/>
      <c r="G1" s="172">
        <f>inputPrYr!$C$5</f>
        <v>2014</v>
      </c>
    </row>
    <row r="2" spans="2:7" ht="15.75">
      <c r="B2" s="172"/>
      <c r="C2" s="172"/>
      <c r="D2" s="172"/>
      <c r="E2" s="172"/>
      <c r="F2" s="172"/>
      <c r="G2" s="172"/>
    </row>
    <row r="3" spans="2:7" ht="15.75">
      <c r="B3" s="775" t="s">
        <v>229</v>
      </c>
      <c r="C3" s="775"/>
      <c r="D3" s="775"/>
      <c r="E3" s="775"/>
      <c r="F3" s="775"/>
      <c r="G3" s="775"/>
    </row>
    <row r="4" spans="2:7" ht="15.75">
      <c r="B4" s="203"/>
      <c r="C4" s="203"/>
      <c r="D4" s="203"/>
      <c r="E4" s="203"/>
      <c r="F4" s="203"/>
      <c r="G4" s="203"/>
    </row>
    <row r="5" spans="2:7" ht="15.75">
      <c r="B5" s="204" t="s">
        <v>654</v>
      </c>
      <c r="C5" s="204" t="s">
        <v>655</v>
      </c>
      <c r="D5" s="204" t="s">
        <v>124</v>
      </c>
      <c r="E5" s="204" t="s">
        <v>243</v>
      </c>
      <c r="F5" s="204" t="s">
        <v>244</v>
      </c>
      <c r="G5" s="204" t="s">
        <v>281</v>
      </c>
    </row>
    <row r="6" spans="2:7" ht="15.75">
      <c r="B6" s="205" t="s">
        <v>656</v>
      </c>
      <c r="C6" s="205" t="s">
        <v>657</v>
      </c>
      <c r="D6" s="205" t="s">
        <v>282</v>
      </c>
      <c r="E6" s="205" t="s">
        <v>282</v>
      </c>
      <c r="F6" s="205" t="s">
        <v>282</v>
      </c>
      <c r="G6" s="205" t="s">
        <v>283</v>
      </c>
    </row>
    <row r="7" spans="2:7" ht="15" customHeight="1">
      <c r="B7" s="206" t="s">
        <v>284</v>
      </c>
      <c r="C7" s="206" t="s">
        <v>285</v>
      </c>
      <c r="D7" s="207">
        <f>G1-2</f>
        <v>2012</v>
      </c>
      <c r="E7" s="207">
        <f>G1-1</f>
        <v>2013</v>
      </c>
      <c r="F7" s="207">
        <f>G1</f>
        <v>2014</v>
      </c>
      <c r="G7" s="206" t="s">
        <v>286</v>
      </c>
    </row>
    <row r="8" spans="2:7" ht="14.25" customHeight="1">
      <c r="B8" s="208" t="s">
        <v>1007</v>
      </c>
      <c r="C8" s="208" t="s">
        <v>74</v>
      </c>
      <c r="D8" s="209">
        <v>320000</v>
      </c>
      <c r="E8" s="209">
        <v>320000</v>
      </c>
      <c r="F8" s="209">
        <v>355000</v>
      </c>
      <c r="G8" s="210" t="s">
        <v>1038</v>
      </c>
    </row>
    <row r="9" spans="2:7" ht="15" customHeight="1">
      <c r="B9" s="211" t="s">
        <v>1006</v>
      </c>
      <c r="C9" s="211" t="s">
        <v>74</v>
      </c>
      <c r="D9" s="212">
        <v>0</v>
      </c>
      <c r="E9" s="212">
        <v>5000</v>
      </c>
      <c r="F9" s="212">
        <v>5000</v>
      </c>
      <c r="G9" s="210" t="s">
        <v>1038</v>
      </c>
    </row>
    <row r="10" spans="2:7" ht="15" customHeight="1">
      <c r="B10" s="211" t="s">
        <v>1008</v>
      </c>
      <c r="C10" s="211" t="s">
        <v>74</v>
      </c>
      <c r="D10" s="212">
        <v>0</v>
      </c>
      <c r="E10" s="212">
        <v>5000</v>
      </c>
      <c r="F10" s="212">
        <v>5000</v>
      </c>
      <c r="G10" s="210" t="s">
        <v>1038</v>
      </c>
    </row>
    <row r="11" spans="2:7" ht="15" customHeight="1">
      <c r="B11" s="211"/>
      <c r="C11" s="211"/>
      <c r="D11" s="212"/>
      <c r="E11" s="212"/>
      <c r="F11" s="212"/>
      <c r="G11" s="210"/>
    </row>
    <row r="12" spans="2:7" ht="15" customHeight="1">
      <c r="B12" s="211" t="s">
        <v>1007</v>
      </c>
      <c r="C12" s="211" t="s">
        <v>1035</v>
      </c>
      <c r="D12" s="212">
        <v>295725</v>
      </c>
      <c r="E12" s="212">
        <v>290925</v>
      </c>
      <c r="F12" s="212">
        <v>280725</v>
      </c>
      <c r="G12" s="210" t="s">
        <v>1038</v>
      </c>
    </row>
    <row r="13" spans="2:7" ht="15" customHeight="1">
      <c r="B13" s="211" t="s">
        <v>1006</v>
      </c>
      <c r="C13" s="211" t="s">
        <v>1035</v>
      </c>
      <c r="D13" s="212">
        <v>40000</v>
      </c>
      <c r="E13" s="212">
        <v>30000</v>
      </c>
      <c r="F13" s="212">
        <v>30000</v>
      </c>
      <c r="G13" s="210" t="s">
        <v>1038</v>
      </c>
    </row>
    <row r="14" spans="2:7" ht="15" customHeight="1">
      <c r="B14" s="211" t="s">
        <v>1008</v>
      </c>
      <c r="C14" s="211" t="s">
        <v>1035</v>
      </c>
      <c r="D14" s="212">
        <v>20000</v>
      </c>
      <c r="E14" s="212">
        <v>30000</v>
      </c>
      <c r="F14" s="212">
        <v>30000</v>
      </c>
      <c r="G14" s="210" t="s">
        <v>1038</v>
      </c>
    </row>
    <row r="15" spans="2:7" ht="15" customHeight="1">
      <c r="B15" s="211"/>
      <c r="C15" s="211"/>
      <c r="D15" s="212"/>
      <c r="E15" s="212"/>
      <c r="F15" s="212"/>
      <c r="G15" s="210"/>
    </row>
    <row r="16" spans="2:7" ht="15" customHeight="1">
      <c r="B16" s="211" t="s">
        <v>1007</v>
      </c>
      <c r="C16" s="211" t="s">
        <v>1036</v>
      </c>
      <c r="D16" s="212">
        <v>25000</v>
      </c>
      <c r="E16" s="212">
        <v>25000</v>
      </c>
      <c r="F16" s="212">
        <v>0</v>
      </c>
      <c r="G16" s="210" t="s">
        <v>1038</v>
      </c>
    </row>
    <row r="17" spans="2:7" ht="15" customHeight="1">
      <c r="B17" s="211"/>
      <c r="C17" s="211"/>
      <c r="D17" s="212"/>
      <c r="E17" s="212"/>
      <c r="F17" s="212"/>
      <c r="G17" s="210"/>
    </row>
    <row r="18" spans="2:7" ht="15" customHeight="1">
      <c r="B18" s="211" t="s">
        <v>1008</v>
      </c>
      <c r="C18" s="211" t="s">
        <v>1023</v>
      </c>
      <c r="D18" s="212">
        <v>0</v>
      </c>
      <c r="E18" s="212">
        <v>5000</v>
      </c>
      <c r="F18" s="212">
        <v>5000</v>
      </c>
      <c r="G18" s="210" t="s">
        <v>1037</v>
      </c>
    </row>
    <row r="19" spans="2:7" ht="15" customHeight="1">
      <c r="B19" s="211"/>
      <c r="C19" s="211"/>
      <c r="D19" s="212"/>
      <c r="E19" s="212"/>
      <c r="F19" s="212"/>
      <c r="G19" s="210"/>
    </row>
    <row r="20" spans="2:7" ht="15" customHeight="1">
      <c r="B20" s="211"/>
      <c r="C20" s="211"/>
      <c r="D20" s="212"/>
      <c r="E20" s="212"/>
      <c r="F20" s="212"/>
      <c r="G20" s="210"/>
    </row>
    <row r="21" spans="2:7" ht="15" customHeight="1">
      <c r="B21" s="211"/>
      <c r="C21" s="211"/>
      <c r="D21" s="212"/>
      <c r="E21" s="212"/>
      <c r="F21" s="212"/>
      <c r="G21" s="210"/>
    </row>
    <row r="22" spans="2:7" ht="15" customHeight="1">
      <c r="B22" s="211"/>
      <c r="C22" s="211"/>
      <c r="D22" s="212"/>
      <c r="E22" s="212"/>
      <c r="F22" s="212"/>
      <c r="G22" s="210"/>
    </row>
    <row r="23" spans="2:7" ht="15" customHeight="1">
      <c r="B23" s="211"/>
      <c r="C23" s="211"/>
      <c r="D23" s="212"/>
      <c r="E23" s="212"/>
      <c r="F23" s="212"/>
      <c r="G23" s="210"/>
    </row>
    <row r="24" spans="2:7" ht="15" customHeight="1">
      <c r="B24" s="211"/>
      <c r="C24" s="211"/>
      <c r="D24" s="212"/>
      <c r="E24" s="212"/>
      <c r="F24" s="212"/>
      <c r="G24" s="210"/>
    </row>
    <row r="25" spans="2:7" ht="15" customHeight="1">
      <c r="B25" s="211"/>
      <c r="C25" s="211"/>
      <c r="D25" s="212"/>
      <c r="E25" s="212"/>
      <c r="F25" s="212"/>
      <c r="G25" s="210"/>
    </row>
    <row r="26" spans="2:7" ht="15" customHeight="1">
      <c r="B26" s="97"/>
      <c r="C26" s="213" t="s">
        <v>92</v>
      </c>
      <c r="D26" s="214">
        <f>SUM(D8:D25)</f>
        <v>700725</v>
      </c>
      <c r="E26" s="214">
        <f>SUM(E8:E25)</f>
        <v>710925</v>
      </c>
      <c r="F26" s="214">
        <f>SUM(F8:F25)</f>
        <v>710725</v>
      </c>
      <c r="G26" s="215"/>
    </row>
    <row r="27" spans="2:7" ht="15" customHeight="1">
      <c r="B27" s="97"/>
      <c r="C27" s="216" t="s">
        <v>287</v>
      </c>
      <c r="D27" s="155"/>
      <c r="E27" s="217"/>
      <c r="F27" s="217"/>
      <c r="G27" s="215"/>
    </row>
    <row r="28" spans="2:7" ht="15" customHeight="1">
      <c r="B28" s="97"/>
      <c r="C28" s="213" t="s">
        <v>288</v>
      </c>
      <c r="D28" s="214">
        <f>D26</f>
        <v>700725</v>
      </c>
      <c r="E28" s="214">
        <f>SUM(E26-E27)</f>
        <v>710925</v>
      </c>
      <c r="F28" s="214">
        <f>SUM(F26-F27)</f>
        <v>710725</v>
      </c>
      <c r="G28" s="215"/>
    </row>
    <row r="29" spans="2:7" ht="15" customHeight="1">
      <c r="B29" s="97"/>
      <c r="C29" s="97"/>
      <c r="D29" s="97"/>
      <c r="E29" s="97"/>
      <c r="F29" s="97"/>
      <c r="G29" s="97"/>
    </row>
    <row r="30" spans="2:7" ht="15" customHeight="1">
      <c r="B30" s="97"/>
      <c r="C30" s="97"/>
      <c r="D30" s="97"/>
      <c r="E30" s="97"/>
      <c r="F30" s="97"/>
      <c r="G30" s="97"/>
    </row>
    <row r="31" spans="2:7" ht="15" customHeight="1">
      <c r="B31" s="369" t="s">
        <v>653</v>
      </c>
      <c r="C31" s="370" t="str">
        <f>CONCATENATE("Adjustments are required only if the transfer is being made in ",E7," and/or ",F7," from a non-budgeted fund.")</f>
        <v>Adjustments are required only if the transfer is being made in 2013 and/or 2014 from a non-budgeted fund.</v>
      </c>
      <c r="D31" s="97"/>
      <c r="E31" s="97"/>
      <c r="F31" s="97"/>
      <c r="G31" s="97"/>
    </row>
    <row r="32" ht="15" customHeight="1"/>
  </sheetData>
  <sheetProtection sheet="1"/>
  <mergeCells count="1">
    <mergeCell ref="B3:G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34">
      <selection activeCell="A89" sqref="A89"/>
    </sheetView>
  </sheetViews>
  <sheetFormatPr defaultColWidth="8.796875" defaultRowHeight="15"/>
  <cols>
    <col min="1" max="1" width="70.59765625" style="489" customWidth="1"/>
    <col min="2" max="16384" width="8.8984375" style="489" customWidth="1"/>
  </cols>
  <sheetData>
    <row r="1" ht="18.75">
      <c r="A1" s="490" t="s">
        <v>377</v>
      </c>
    </row>
    <row r="2" ht="18.75">
      <c r="A2" s="490"/>
    </row>
    <row r="3" ht="18.75">
      <c r="A3" s="490"/>
    </row>
    <row r="4" ht="51.75" customHeight="1">
      <c r="A4" s="500" t="s">
        <v>750</v>
      </c>
    </row>
    <row r="5" ht="18.75">
      <c r="A5" s="490"/>
    </row>
    <row r="6" ht="15.75">
      <c r="A6" s="491"/>
    </row>
    <row r="7" ht="47.25">
      <c r="A7" s="492" t="s">
        <v>378</v>
      </c>
    </row>
    <row r="8" ht="15.75">
      <c r="A8" s="491"/>
    </row>
    <row r="9" ht="15.75">
      <c r="A9" s="491"/>
    </row>
    <row r="10" ht="63">
      <c r="A10" s="492" t="s">
        <v>379</v>
      </c>
    </row>
    <row r="11" ht="15.75">
      <c r="A11" s="493"/>
    </row>
    <row r="12" ht="15.75">
      <c r="A12" s="491"/>
    </row>
    <row r="13" ht="47.25">
      <c r="A13" s="492" t="s">
        <v>380</v>
      </c>
    </row>
    <row r="14" ht="15.75">
      <c r="A14" s="493"/>
    </row>
    <row r="15" ht="15.75">
      <c r="A15" s="491"/>
    </row>
    <row r="16" ht="47.25">
      <c r="A16" s="492" t="s">
        <v>381</v>
      </c>
    </row>
    <row r="17" ht="15.75">
      <c r="A17" s="493"/>
    </row>
    <row r="18" ht="15.75">
      <c r="A18" s="493"/>
    </row>
    <row r="19" ht="47.25">
      <c r="A19" s="492" t="s">
        <v>382</v>
      </c>
    </row>
    <row r="20" ht="15.75">
      <c r="A20" s="493"/>
    </row>
    <row r="21" ht="15.75">
      <c r="A21" s="493"/>
    </row>
    <row r="22" ht="47.25">
      <c r="A22" s="492" t="s">
        <v>383</v>
      </c>
    </row>
    <row r="23" ht="15.75">
      <c r="A23" s="493"/>
    </row>
    <row r="24" ht="15.75">
      <c r="A24" s="493"/>
    </row>
    <row r="25" ht="31.5">
      <c r="A25" s="492" t="s">
        <v>384</v>
      </c>
    </row>
    <row r="26" ht="15.75">
      <c r="A26" s="491"/>
    </row>
    <row r="27" ht="15.75">
      <c r="A27" s="491"/>
    </row>
    <row r="28" ht="60">
      <c r="A28" s="494" t="s">
        <v>385</v>
      </c>
    </row>
    <row r="29" ht="15">
      <c r="A29" s="495"/>
    </row>
    <row r="30" ht="15">
      <c r="A30" s="495"/>
    </row>
    <row r="31" ht="47.25">
      <c r="A31" s="492" t="s">
        <v>386</v>
      </c>
    </row>
    <row r="32" ht="15.75">
      <c r="A32" s="491"/>
    </row>
    <row r="33" ht="15.75">
      <c r="A33" s="491"/>
    </row>
    <row r="34" ht="66.75" customHeight="1">
      <c r="A34" s="499" t="s">
        <v>751</v>
      </c>
    </row>
    <row r="35" ht="15.75">
      <c r="A35" s="491"/>
    </row>
    <row r="36" ht="15.75">
      <c r="A36" s="491"/>
    </row>
    <row r="37" ht="63">
      <c r="A37" s="496" t="s">
        <v>387</v>
      </c>
    </row>
    <row r="38" ht="15.75">
      <c r="A38" s="493"/>
    </row>
    <row r="39" ht="15.75">
      <c r="A39" s="491"/>
    </row>
    <row r="40" ht="63">
      <c r="A40" s="492" t="s">
        <v>388</v>
      </c>
    </row>
    <row r="41" ht="15.75">
      <c r="A41" s="493"/>
    </row>
    <row r="42" ht="15.75">
      <c r="A42" s="493"/>
    </row>
    <row r="43" ht="82.5" customHeight="1">
      <c r="A43" s="488" t="s">
        <v>752</v>
      </c>
    </row>
    <row r="44" ht="15.75">
      <c r="A44" s="493"/>
    </row>
    <row r="45" ht="15.75">
      <c r="A45" s="493"/>
    </row>
    <row r="46" ht="69" customHeight="1">
      <c r="A46" s="488" t="s">
        <v>753</v>
      </c>
    </row>
    <row r="47" ht="15.75">
      <c r="A47" s="493"/>
    </row>
    <row r="48" ht="15.75">
      <c r="A48" s="493"/>
    </row>
    <row r="49" ht="69" customHeight="1">
      <c r="A49" s="488" t="s">
        <v>754</v>
      </c>
    </row>
    <row r="50" ht="15.75">
      <c r="A50" s="493"/>
    </row>
    <row r="51" ht="15.75">
      <c r="A51" s="493"/>
    </row>
    <row r="52" ht="53.25" customHeight="1">
      <c r="A52" s="488" t="s">
        <v>813</v>
      </c>
    </row>
    <row r="53" ht="15.75">
      <c r="A53" s="493"/>
    </row>
    <row r="54" ht="15.75">
      <c r="A54" s="493"/>
    </row>
    <row r="55" ht="63">
      <c r="A55" s="492" t="s">
        <v>389</v>
      </c>
    </row>
    <row r="56" ht="15.75">
      <c r="A56" s="493"/>
    </row>
    <row r="57" ht="15.75">
      <c r="A57" s="493"/>
    </row>
    <row r="58" ht="63">
      <c r="A58" s="492" t="s">
        <v>390</v>
      </c>
    </row>
    <row r="59" ht="15.75">
      <c r="A59" s="493"/>
    </row>
    <row r="60" ht="15.75">
      <c r="A60" s="493"/>
    </row>
    <row r="61" ht="47.25">
      <c r="A61" s="492" t="s">
        <v>391</v>
      </c>
    </row>
    <row r="62" ht="15.75">
      <c r="A62" s="493"/>
    </row>
    <row r="63" ht="15.75">
      <c r="A63" s="493"/>
    </row>
    <row r="64" ht="47.25">
      <c r="A64" s="492" t="s">
        <v>392</v>
      </c>
    </row>
    <row r="65" ht="15.75">
      <c r="A65" s="493"/>
    </row>
    <row r="66" ht="15.75">
      <c r="A66" s="493"/>
    </row>
    <row r="67" ht="78.75">
      <c r="A67" s="492" t="s">
        <v>393</v>
      </c>
    </row>
    <row r="68" ht="15">
      <c r="A68" s="497"/>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2013-08-15T18:48:36Z</cp:lastPrinted>
  <dcterms:created xsi:type="dcterms:W3CDTF">1999-08-03T13:11:47Z</dcterms:created>
  <dcterms:modified xsi:type="dcterms:W3CDTF">2014-01-22T01:13:26Z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